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28680" yWindow="-120" windowWidth="20730" windowHeight="11760" firstSheet="12" activeTab="18"/>
  </bookViews>
  <sheets>
    <sheet name="Trang bìa" sheetId="1" r:id="rId1"/>
    <sheet name="Setting" sheetId="2" state="hidden" r:id="rId2"/>
    <sheet name="KT_06618" sheetId="3" r:id="rId3"/>
    <sheet name="7661_hidden" sheetId="4" state="hidden" r:id="rId4"/>
    <sheet name="BCTCR_06608" sheetId="5" r:id="rId5"/>
    <sheet name="7663_hidden" sheetId="6" state="hidden" r:id="rId6"/>
    <sheet name="CCTTCR_06609" sheetId="7" r:id="rId7"/>
    <sheet name="7658_hidden" sheetId="8" state="hidden" r:id="rId8"/>
    <sheet name="BCKQHDR_06610" sheetId="9" r:id="rId9"/>
    <sheet name="7654_hidden" sheetId="10" state="hidden" r:id="rId10"/>
    <sheet name="BCLCTTRTT_06611" sheetId="11" r:id="rId11"/>
    <sheet name="7659_hidden" sheetId="12" state="hidden" r:id="rId12"/>
    <sheet name="PLCTTHDMGUTCKHTT_06612" sheetId="13" r:id="rId13"/>
    <sheet name="7656_hidden" sheetId="14" state="hidden" r:id="rId14"/>
    <sheet name="BCLCTTRGT_06613" sheetId="15" r:id="rId15"/>
    <sheet name="7662_hidden" sheetId="16" state="hidden" r:id="rId16"/>
    <sheet name="PLCTTHDMGUTCKHGT_06614" sheetId="17" r:id="rId17"/>
    <sheet name="7657_hidden" sheetId="18" state="hidden" r:id="rId18"/>
    <sheet name="BCTHBDVCSH_06615" sheetId="19" r:id="rId19"/>
    <sheet name="7660_hidden" sheetId="20" state="hidden" r:id="rId20"/>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9" i="20" l="1"/>
  <c r="J29" i="20"/>
  <c r="I29" i="20"/>
  <c r="H29" i="20"/>
  <c r="G29" i="20"/>
  <c r="F29" i="20"/>
  <c r="E29" i="20"/>
  <c r="D29" i="20"/>
  <c r="C29" i="20"/>
  <c r="B29" i="20"/>
  <c r="A29" i="20"/>
  <c r="K28" i="20"/>
  <c r="J28" i="20"/>
  <c r="I28" i="20"/>
  <c r="H28" i="20"/>
  <c r="G28" i="20"/>
  <c r="F28" i="20"/>
  <c r="E28" i="20"/>
  <c r="D28" i="20"/>
  <c r="C28" i="20"/>
  <c r="B28" i="20"/>
  <c r="A28" i="20"/>
  <c r="K27" i="20"/>
  <c r="J27" i="20"/>
  <c r="I27" i="20"/>
  <c r="H27" i="20"/>
  <c r="G27" i="20"/>
  <c r="F27" i="20"/>
  <c r="E27" i="20"/>
  <c r="D27" i="20"/>
  <c r="C27" i="20"/>
  <c r="B27" i="20"/>
  <c r="A27" i="20"/>
  <c r="K26" i="20"/>
  <c r="J26" i="20"/>
  <c r="I26" i="20"/>
  <c r="H26" i="20"/>
  <c r="G26" i="20"/>
  <c r="F26" i="20"/>
  <c r="E26" i="20"/>
  <c r="D26" i="20"/>
  <c r="C26" i="20"/>
  <c r="B26" i="20"/>
  <c r="A26" i="20"/>
  <c r="K25" i="20"/>
  <c r="J25" i="20"/>
  <c r="I25" i="20"/>
  <c r="H25" i="20"/>
  <c r="G25" i="20"/>
  <c r="F25" i="20"/>
  <c r="E25" i="20"/>
  <c r="D25" i="20"/>
  <c r="C25" i="20"/>
  <c r="B25" i="20"/>
  <c r="A25" i="20"/>
  <c r="K24" i="20"/>
  <c r="J24" i="20"/>
  <c r="I24" i="20"/>
  <c r="H24" i="20"/>
  <c r="G24" i="20"/>
  <c r="F24" i="20"/>
  <c r="E24" i="20"/>
  <c r="D24" i="20"/>
  <c r="C24" i="20"/>
  <c r="B24" i="20"/>
  <c r="A24" i="20"/>
  <c r="K23" i="20"/>
  <c r="J23" i="20"/>
  <c r="I23" i="20"/>
  <c r="H23" i="20"/>
  <c r="G23" i="20"/>
  <c r="F23" i="20"/>
  <c r="E23" i="20"/>
  <c r="D23" i="20"/>
  <c r="C23" i="20"/>
  <c r="B23" i="20"/>
  <c r="A23" i="20"/>
  <c r="K22" i="20"/>
  <c r="J22" i="20"/>
  <c r="I22" i="20"/>
  <c r="H22" i="20"/>
  <c r="G22" i="20"/>
  <c r="F22" i="20"/>
  <c r="E22" i="20"/>
  <c r="D22" i="20"/>
  <c r="C22" i="20"/>
  <c r="B22" i="20"/>
  <c r="A22" i="20"/>
  <c r="K21" i="20"/>
  <c r="J21" i="20"/>
  <c r="I21" i="20"/>
  <c r="H21" i="20"/>
  <c r="G21" i="20"/>
  <c r="F21" i="20"/>
  <c r="E21" i="20"/>
  <c r="D21" i="20"/>
  <c r="C21" i="20"/>
  <c r="B21" i="20"/>
  <c r="A21" i="20"/>
  <c r="K20" i="20"/>
  <c r="J20" i="20"/>
  <c r="I20" i="20"/>
  <c r="H20" i="20"/>
  <c r="G20" i="20"/>
  <c r="F20" i="20"/>
  <c r="E20" i="20"/>
  <c r="D20" i="20"/>
  <c r="C20" i="20"/>
  <c r="B20" i="20"/>
  <c r="A20" i="20"/>
  <c r="K19" i="20"/>
  <c r="J19" i="20"/>
  <c r="I19" i="20"/>
  <c r="H19" i="20"/>
  <c r="G19" i="20"/>
  <c r="F19" i="20"/>
  <c r="E19" i="20"/>
  <c r="D19" i="20"/>
  <c r="C19" i="20"/>
  <c r="B19" i="20"/>
  <c r="A19" i="20"/>
  <c r="K18" i="20"/>
  <c r="J18" i="20"/>
  <c r="I18" i="20"/>
  <c r="H18" i="20"/>
  <c r="G18" i="20"/>
  <c r="F18" i="20"/>
  <c r="E18" i="20"/>
  <c r="D18" i="20"/>
  <c r="C18" i="20"/>
  <c r="B18" i="20"/>
  <c r="A18" i="20"/>
  <c r="K17" i="20"/>
  <c r="J17" i="20"/>
  <c r="I17" i="20"/>
  <c r="H17" i="20"/>
  <c r="G17" i="20"/>
  <c r="F17" i="20"/>
  <c r="E17" i="20"/>
  <c r="D17" i="20"/>
  <c r="C17" i="20"/>
  <c r="B17" i="20"/>
  <c r="A17" i="20"/>
  <c r="K16" i="20"/>
  <c r="J16" i="20"/>
  <c r="I16" i="20"/>
  <c r="H16" i="20"/>
  <c r="G16" i="20"/>
  <c r="F16" i="20"/>
  <c r="E16" i="20"/>
  <c r="D16" i="20"/>
  <c r="C16" i="20"/>
  <c r="B16" i="20"/>
  <c r="A16" i="20"/>
  <c r="K15" i="20"/>
  <c r="J15" i="20"/>
  <c r="I15" i="20"/>
  <c r="H15" i="20"/>
  <c r="G15" i="20"/>
  <c r="F15" i="20"/>
  <c r="E15" i="20"/>
  <c r="D15" i="20"/>
  <c r="C15" i="20"/>
  <c r="B15" i="20"/>
  <c r="A15" i="20"/>
  <c r="K14" i="20"/>
  <c r="J14" i="20"/>
  <c r="I14" i="20"/>
  <c r="H14" i="20"/>
  <c r="G14" i="20"/>
  <c r="F14" i="20"/>
  <c r="E14" i="20"/>
  <c r="D14" i="20"/>
  <c r="C14" i="20"/>
  <c r="B14" i="20"/>
  <c r="A14" i="20"/>
  <c r="K13" i="20"/>
  <c r="J13" i="20"/>
  <c r="I13" i="20"/>
  <c r="H13" i="20"/>
  <c r="G13" i="20"/>
  <c r="F13" i="20"/>
  <c r="E13" i="20"/>
  <c r="D13" i="20"/>
  <c r="C13" i="20"/>
  <c r="B13" i="20"/>
  <c r="A13" i="20"/>
  <c r="K12" i="20"/>
  <c r="J12" i="20"/>
  <c r="I12" i="20"/>
  <c r="H12" i="20"/>
  <c r="G12" i="20"/>
  <c r="F12" i="20"/>
  <c r="E12" i="20"/>
  <c r="D12" i="20"/>
  <c r="C12" i="20"/>
  <c r="B12" i="20"/>
  <c r="A12" i="20"/>
  <c r="K11" i="20"/>
  <c r="J11" i="20"/>
  <c r="I11" i="20"/>
  <c r="H11" i="20"/>
  <c r="G11" i="20"/>
  <c r="F11" i="20"/>
  <c r="E11" i="20"/>
  <c r="D11" i="20"/>
  <c r="C11" i="20"/>
  <c r="B11" i="20"/>
  <c r="A11" i="20"/>
  <c r="K10" i="20"/>
  <c r="J10" i="20"/>
  <c r="I10" i="20"/>
  <c r="H10" i="20"/>
  <c r="G10" i="20"/>
  <c r="F10" i="20"/>
  <c r="E10" i="20"/>
  <c r="D10" i="20"/>
  <c r="C10" i="20"/>
  <c r="B10" i="20"/>
  <c r="A10" i="20"/>
  <c r="K9" i="20"/>
  <c r="J9" i="20"/>
  <c r="I9" i="20"/>
  <c r="H9" i="20"/>
  <c r="G9" i="20"/>
  <c r="F9" i="20"/>
  <c r="E9" i="20"/>
  <c r="D9" i="20"/>
  <c r="C9" i="20"/>
  <c r="B9" i="20"/>
  <c r="A9" i="20"/>
  <c r="K8" i="20"/>
  <c r="J8" i="20"/>
  <c r="I8" i="20"/>
  <c r="H8" i="20"/>
  <c r="G8" i="20"/>
  <c r="F8" i="20"/>
  <c r="E8" i="20"/>
  <c r="D8" i="20"/>
  <c r="C8" i="20"/>
  <c r="B8" i="20"/>
  <c r="A8" i="20"/>
  <c r="K7" i="20"/>
  <c r="J7" i="20"/>
  <c r="I7" i="20"/>
  <c r="H7" i="20"/>
  <c r="G7" i="20"/>
  <c r="F7" i="20"/>
  <c r="E7" i="20"/>
  <c r="D7" i="20"/>
  <c r="C7" i="20"/>
  <c r="B7" i="20"/>
  <c r="A7" i="20"/>
  <c r="E40" i="18"/>
  <c r="D40" i="18"/>
  <c r="C40" i="18"/>
  <c r="B40" i="18"/>
  <c r="A40" i="18"/>
  <c r="E39" i="18"/>
  <c r="D39" i="18"/>
  <c r="C39" i="18"/>
  <c r="B39" i="18"/>
  <c r="A39" i="18"/>
  <c r="E38" i="18"/>
  <c r="D38" i="18"/>
  <c r="C38" i="18"/>
  <c r="B38" i="18"/>
  <c r="A38" i="18"/>
  <c r="E37" i="18"/>
  <c r="D37" i="18"/>
  <c r="C37" i="18"/>
  <c r="B37" i="18"/>
  <c r="A37" i="18"/>
  <c r="E36" i="18"/>
  <c r="D36" i="18"/>
  <c r="C36" i="18"/>
  <c r="B36" i="18"/>
  <c r="A36" i="18"/>
  <c r="E35" i="18"/>
  <c r="D35" i="18"/>
  <c r="C35" i="18"/>
  <c r="B35" i="18"/>
  <c r="A35" i="18"/>
  <c r="E34" i="18"/>
  <c r="D34" i="18"/>
  <c r="C34" i="18"/>
  <c r="B34" i="18"/>
  <c r="A34" i="18"/>
  <c r="E33" i="18"/>
  <c r="D33" i="18"/>
  <c r="C33" i="18"/>
  <c r="B33" i="18"/>
  <c r="A33" i="18"/>
  <c r="E32" i="18"/>
  <c r="D32" i="18"/>
  <c r="C32" i="18"/>
  <c r="B32" i="18"/>
  <c r="A32" i="18"/>
  <c r="E31" i="18"/>
  <c r="D31" i="18"/>
  <c r="C31" i="18"/>
  <c r="B31" i="18"/>
  <c r="A31" i="18"/>
  <c r="E30" i="18"/>
  <c r="D30" i="18"/>
  <c r="C30" i="18"/>
  <c r="B30" i="18"/>
  <c r="A30" i="18"/>
  <c r="E29" i="18"/>
  <c r="D29" i="18"/>
  <c r="C29" i="18"/>
  <c r="B29" i="18"/>
  <c r="A29" i="18"/>
  <c r="E28" i="18"/>
  <c r="D28" i="18"/>
  <c r="C28" i="18"/>
  <c r="B28" i="18"/>
  <c r="A28" i="18"/>
  <c r="E27" i="18"/>
  <c r="D27" i="18"/>
  <c r="C27" i="18"/>
  <c r="B27" i="18"/>
  <c r="A27" i="18"/>
  <c r="E26" i="18"/>
  <c r="D26" i="18"/>
  <c r="C26" i="18"/>
  <c r="B26" i="18"/>
  <c r="A26" i="18"/>
  <c r="E25" i="18"/>
  <c r="D25" i="18"/>
  <c r="C25" i="18"/>
  <c r="B25" i="18"/>
  <c r="A25" i="18"/>
  <c r="E24" i="18"/>
  <c r="D24" i="18"/>
  <c r="C24" i="18"/>
  <c r="B24" i="18"/>
  <c r="A24" i="18"/>
  <c r="E23" i="18"/>
  <c r="D23" i="18"/>
  <c r="C23" i="18"/>
  <c r="B23" i="18"/>
  <c r="A23" i="18"/>
  <c r="E22" i="18"/>
  <c r="D22" i="18"/>
  <c r="C22" i="18"/>
  <c r="B22" i="18"/>
  <c r="A22" i="18"/>
  <c r="E21" i="18"/>
  <c r="D21" i="18"/>
  <c r="C21" i="18"/>
  <c r="B21" i="18"/>
  <c r="A21" i="18"/>
  <c r="E20" i="18"/>
  <c r="D20" i="18"/>
  <c r="C20" i="18"/>
  <c r="B20" i="18"/>
  <c r="A20" i="18"/>
  <c r="E19" i="18"/>
  <c r="D19" i="18"/>
  <c r="C19" i="18"/>
  <c r="B19" i="18"/>
  <c r="A19" i="18"/>
  <c r="E18" i="18"/>
  <c r="D18" i="18"/>
  <c r="C18" i="18"/>
  <c r="B18" i="18"/>
  <c r="A18" i="18"/>
  <c r="E17" i="18"/>
  <c r="D17" i="18"/>
  <c r="C17" i="18"/>
  <c r="B17" i="18"/>
  <c r="A17" i="18"/>
  <c r="E16" i="18"/>
  <c r="D16" i="18"/>
  <c r="C16" i="18"/>
  <c r="B16" i="18"/>
  <c r="A16" i="18"/>
  <c r="E15" i="18"/>
  <c r="D15" i="18"/>
  <c r="C15" i="18"/>
  <c r="B15" i="18"/>
  <c r="A15" i="18"/>
  <c r="E14" i="18"/>
  <c r="D14" i="18"/>
  <c r="C14" i="18"/>
  <c r="B14" i="18"/>
  <c r="A14" i="18"/>
  <c r="E13" i="18"/>
  <c r="D13" i="18"/>
  <c r="C13" i="18"/>
  <c r="B13" i="18"/>
  <c r="A13" i="18"/>
  <c r="E12" i="18"/>
  <c r="D12" i="18"/>
  <c r="C12" i="18"/>
  <c r="B12" i="18"/>
  <c r="A12" i="18"/>
  <c r="E11" i="18"/>
  <c r="D11" i="18"/>
  <c r="C11" i="18"/>
  <c r="B11" i="18"/>
  <c r="A11" i="18"/>
  <c r="E10" i="18"/>
  <c r="D10" i="18"/>
  <c r="C10" i="18"/>
  <c r="B10" i="18"/>
  <c r="A10" i="18"/>
  <c r="E9" i="18"/>
  <c r="D9" i="18"/>
  <c r="C9" i="18"/>
  <c r="B9" i="18"/>
  <c r="A9" i="18"/>
  <c r="E8" i="18"/>
  <c r="D8" i="18"/>
  <c r="C8" i="18"/>
  <c r="B8" i="18"/>
  <c r="A8" i="18"/>
  <c r="E7" i="18"/>
  <c r="D7" i="18"/>
  <c r="C7" i="18"/>
  <c r="B7" i="18"/>
  <c r="A7" i="18"/>
  <c r="E6" i="18"/>
  <c r="D6" i="18"/>
  <c r="C6" i="18"/>
  <c r="B6" i="18"/>
  <c r="A6" i="18"/>
  <c r="E5" i="18"/>
  <c r="D5" i="18"/>
  <c r="C5" i="18"/>
  <c r="B5" i="18"/>
  <c r="A5" i="18"/>
  <c r="E4" i="18"/>
  <c r="D4" i="18"/>
  <c r="C4" i="18"/>
  <c r="A4" i="18"/>
  <c r="E3" i="18"/>
  <c r="D3" i="18"/>
  <c r="C3" i="18"/>
  <c r="B3" i="18"/>
  <c r="A3" i="18"/>
  <c r="E80" i="16"/>
  <c r="D80" i="16"/>
  <c r="C80" i="16"/>
  <c r="B80" i="16"/>
  <c r="A80" i="16"/>
  <c r="E79" i="16"/>
  <c r="D79" i="16"/>
  <c r="C79" i="16"/>
  <c r="B79" i="16"/>
  <c r="A79" i="16"/>
  <c r="E78" i="16"/>
  <c r="D78" i="16"/>
  <c r="C78" i="16"/>
  <c r="B78" i="16"/>
  <c r="A78" i="16"/>
  <c r="E77" i="16"/>
  <c r="D77" i="16"/>
  <c r="C77" i="16"/>
  <c r="B77" i="16"/>
  <c r="A77" i="16"/>
  <c r="E76" i="16"/>
  <c r="D76" i="16"/>
  <c r="C76" i="16"/>
  <c r="B76" i="16"/>
  <c r="A76" i="16"/>
  <c r="E75" i="16"/>
  <c r="D75" i="16"/>
  <c r="C75" i="16"/>
  <c r="B75" i="16"/>
  <c r="A75" i="16"/>
  <c r="E74" i="16"/>
  <c r="D74" i="16"/>
  <c r="C74" i="16"/>
  <c r="B74" i="16"/>
  <c r="A74" i="16"/>
  <c r="E73" i="16"/>
  <c r="D73" i="16"/>
  <c r="C73" i="16"/>
  <c r="B73" i="16"/>
  <c r="A73" i="16"/>
  <c r="E72" i="16"/>
  <c r="D72" i="16"/>
  <c r="C72" i="16"/>
  <c r="B72" i="16"/>
  <c r="A72" i="16"/>
  <c r="E71" i="16"/>
  <c r="D71" i="16"/>
  <c r="C71" i="16"/>
  <c r="B71" i="16"/>
  <c r="A71" i="16"/>
  <c r="E70" i="16"/>
  <c r="D70" i="16"/>
  <c r="C70" i="16"/>
  <c r="B70" i="16"/>
  <c r="A70" i="16"/>
  <c r="E69" i="16"/>
  <c r="D69" i="16"/>
  <c r="C69" i="16"/>
  <c r="B69" i="16"/>
  <c r="A69" i="16"/>
  <c r="E68" i="16"/>
  <c r="D68" i="16"/>
  <c r="C68" i="16"/>
  <c r="B68" i="16"/>
  <c r="A68" i="16"/>
  <c r="E67" i="16"/>
  <c r="D67" i="16"/>
  <c r="C67" i="16"/>
  <c r="B67" i="16"/>
  <c r="A67" i="16"/>
  <c r="E66" i="16"/>
  <c r="D66" i="16"/>
  <c r="C66" i="16"/>
  <c r="B66" i="16"/>
  <c r="A66" i="16"/>
  <c r="E65" i="16"/>
  <c r="D65" i="16"/>
  <c r="C65" i="16"/>
  <c r="B65" i="16"/>
  <c r="A65" i="16"/>
  <c r="E64" i="16"/>
  <c r="D64" i="16"/>
  <c r="C64" i="16"/>
  <c r="B64" i="16"/>
  <c r="A64" i="16"/>
  <c r="E63" i="16"/>
  <c r="D63" i="16"/>
  <c r="C63" i="16"/>
  <c r="B63" i="16"/>
  <c r="A63" i="16"/>
  <c r="E62" i="16"/>
  <c r="D62" i="16"/>
  <c r="C62" i="16"/>
  <c r="B62" i="16"/>
  <c r="A62" i="16"/>
  <c r="E61" i="16"/>
  <c r="D61" i="16"/>
  <c r="C61" i="16"/>
  <c r="B61" i="16"/>
  <c r="A61" i="16"/>
  <c r="E60" i="16"/>
  <c r="D60" i="16"/>
  <c r="C60" i="16"/>
  <c r="B60" i="16"/>
  <c r="A60" i="16"/>
  <c r="E59" i="16"/>
  <c r="D59" i="16"/>
  <c r="C59" i="16"/>
  <c r="A59" i="16"/>
  <c r="E58" i="16"/>
  <c r="D58" i="16"/>
  <c r="C58" i="16"/>
  <c r="B58" i="16"/>
  <c r="A58" i="16"/>
  <c r="E57" i="16"/>
  <c r="D57" i="16"/>
  <c r="C57" i="16"/>
  <c r="B57" i="16"/>
  <c r="A57" i="16"/>
  <c r="E56" i="16"/>
  <c r="D56" i="16"/>
  <c r="C56" i="16"/>
  <c r="B56" i="16"/>
  <c r="A56" i="16"/>
  <c r="E55" i="16"/>
  <c r="D55" i="16"/>
  <c r="C55" i="16"/>
  <c r="B55" i="16"/>
  <c r="A55" i="16"/>
  <c r="E54" i="16"/>
  <c r="D54" i="16"/>
  <c r="C54" i="16"/>
  <c r="B54" i="16"/>
  <c r="A54" i="16"/>
  <c r="E53" i="16"/>
  <c r="D53" i="16"/>
  <c r="C53" i="16"/>
  <c r="B53" i="16"/>
  <c r="A53" i="16"/>
  <c r="E52" i="16"/>
  <c r="D52" i="16"/>
  <c r="C52" i="16"/>
  <c r="A52" i="16"/>
  <c r="E51" i="16"/>
  <c r="D51" i="16"/>
  <c r="C51" i="16"/>
  <c r="B51" i="16"/>
  <c r="A51" i="16"/>
  <c r="E50" i="16"/>
  <c r="D50" i="16"/>
  <c r="C50" i="16"/>
  <c r="B50" i="16"/>
  <c r="A50" i="16"/>
  <c r="E49" i="16"/>
  <c r="D49" i="16"/>
  <c r="C49" i="16"/>
  <c r="B49" i="16"/>
  <c r="A49" i="16"/>
  <c r="E48" i="16"/>
  <c r="D48" i="16"/>
  <c r="C48" i="16"/>
  <c r="B48" i="16"/>
  <c r="A48" i="16"/>
  <c r="E47" i="16"/>
  <c r="D47" i="16"/>
  <c r="C47" i="16"/>
  <c r="B47" i="16"/>
  <c r="A47" i="16"/>
  <c r="E46" i="16"/>
  <c r="D46" i="16"/>
  <c r="C46" i="16"/>
  <c r="B46" i="16"/>
  <c r="A46" i="16"/>
  <c r="E45" i="16"/>
  <c r="D45" i="16"/>
  <c r="C45" i="16"/>
  <c r="B45" i="16"/>
  <c r="A45" i="16"/>
  <c r="E44" i="16"/>
  <c r="D44" i="16"/>
  <c r="C44" i="16"/>
  <c r="B44" i="16"/>
  <c r="A44" i="16"/>
  <c r="E43" i="16"/>
  <c r="D43" i="16"/>
  <c r="C43" i="16"/>
  <c r="B43" i="16"/>
  <c r="A43" i="16"/>
  <c r="E42" i="16"/>
  <c r="D42" i="16"/>
  <c r="C42" i="16"/>
  <c r="B42" i="16"/>
  <c r="A42" i="16"/>
  <c r="E41" i="16"/>
  <c r="D41" i="16"/>
  <c r="C41" i="16"/>
  <c r="B41" i="16"/>
  <c r="A41" i="16"/>
  <c r="E40" i="16"/>
  <c r="D40" i="16"/>
  <c r="C40" i="16"/>
  <c r="B40" i="16"/>
  <c r="A40" i="16"/>
  <c r="E39" i="16"/>
  <c r="D39" i="16"/>
  <c r="C39" i="16"/>
  <c r="B39" i="16"/>
  <c r="A39" i="16"/>
  <c r="E38" i="16"/>
  <c r="D38" i="16"/>
  <c r="C38" i="16"/>
  <c r="B38" i="16"/>
  <c r="A38" i="16"/>
  <c r="E37" i="16"/>
  <c r="D37" i="16"/>
  <c r="C37" i="16"/>
  <c r="B37" i="16"/>
  <c r="A37" i="16"/>
  <c r="E36" i="16"/>
  <c r="D36" i="16"/>
  <c r="C36" i="16"/>
  <c r="B36" i="16"/>
  <c r="A36" i="16"/>
  <c r="E35" i="16"/>
  <c r="D35" i="16"/>
  <c r="C35" i="16"/>
  <c r="B35" i="16"/>
  <c r="A35" i="16"/>
  <c r="E34" i="16"/>
  <c r="D34" i="16"/>
  <c r="C34" i="16"/>
  <c r="B34" i="16"/>
  <c r="A34" i="16"/>
  <c r="E33" i="16"/>
  <c r="D33" i="16"/>
  <c r="C33" i="16"/>
  <c r="B33" i="16"/>
  <c r="A33" i="16"/>
  <c r="E32" i="16"/>
  <c r="D32" i="16"/>
  <c r="C32" i="16"/>
  <c r="B32" i="16"/>
  <c r="A32" i="16"/>
  <c r="E31" i="16"/>
  <c r="D31" i="16"/>
  <c r="C31" i="16"/>
  <c r="B31" i="16"/>
  <c r="A31" i="16"/>
  <c r="E30" i="16"/>
  <c r="D30" i="16"/>
  <c r="C30" i="16"/>
  <c r="B30" i="16"/>
  <c r="A30" i="16"/>
  <c r="E29" i="16"/>
  <c r="D29" i="16"/>
  <c r="C29" i="16"/>
  <c r="B29" i="16"/>
  <c r="A29" i="16"/>
  <c r="E28" i="16"/>
  <c r="D28" i="16"/>
  <c r="C28" i="16"/>
  <c r="B28" i="16"/>
  <c r="A28" i="16"/>
  <c r="E27" i="16"/>
  <c r="D27" i="16"/>
  <c r="C27" i="16"/>
  <c r="B27" i="16"/>
  <c r="A27" i="16"/>
  <c r="E26" i="16"/>
  <c r="D26" i="16"/>
  <c r="C26" i="16"/>
  <c r="B26" i="16"/>
  <c r="A26" i="16"/>
  <c r="E25" i="16"/>
  <c r="D25" i="16"/>
  <c r="C25" i="16"/>
  <c r="B25" i="16"/>
  <c r="A25" i="16"/>
  <c r="E24" i="16"/>
  <c r="D24" i="16"/>
  <c r="C24" i="16"/>
  <c r="B24" i="16"/>
  <c r="A24" i="16"/>
  <c r="E23" i="16"/>
  <c r="D23" i="16"/>
  <c r="C23" i="16"/>
  <c r="B23" i="16"/>
  <c r="A23" i="16"/>
  <c r="E22" i="16"/>
  <c r="D22" i="16"/>
  <c r="C22" i="16"/>
  <c r="B22" i="16"/>
  <c r="A22" i="16"/>
  <c r="E21" i="16"/>
  <c r="D21" i="16"/>
  <c r="C21" i="16"/>
  <c r="B21" i="16"/>
  <c r="A21" i="16"/>
  <c r="E20" i="16"/>
  <c r="D20" i="16"/>
  <c r="C20" i="16"/>
  <c r="B20" i="16"/>
  <c r="A20" i="16"/>
  <c r="E19" i="16"/>
  <c r="D19" i="16"/>
  <c r="C19" i="16"/>
  <c r="B19" i="16"/>
  <c r="A19" i="16"/>
  <c r="E18" i="16"/>
  <c r="D18" i="16"/>
  <c r="C18" i="16"/>
  <c r="B18" i="16"/>
  <c r="A18" i="16"/>
  <c r="E17" i="16"/>
  <c r="D17" i="16"/>
  <c r="C17" i="16"/>
  <c r="B17" i="16"/>
  <c r="A17" i="16"/>
  <c r="E16" i="16"/>
  <c r="D16" i="16"/>
  <c r="C16" i="16"/>
  <c r="B16" i="16"/>
  <c r="A16" i="16"/>
  <c r="E15" i="16"/>
  <c r="D15" i="16"/>
  <c r="C15" i="16"/>
  <c r="B15" i="16"/>
  <c r="A15" i="16"/>
  <c r="E14" i="16"/>
  <c r="D14" i="16"/>
  <c r="C14" i="16"/>
  <c r="B14" i="16"/>
  <c r="A14" i="16"/>
  <c r="E13" i="16"/>
  <c r="D13" i="16"/>
  <c r="C13" i="16"/>
  <c r="B13" i="16"/>
  <c r="A13" i="16"/>
  <c r="E12" i="16"/>
  <c r="D12" i="16"/>
  <c r="C12" i="16"/>
  <c r="B12" i="16"/>
  <c r="A12" i="16"/>
  <c r="E11" i="16"/>
  <c r="D11" i="16"/>
  <c r="C11" i="16"/>
  <c r="B11" i="16"/>
  <c r="A11" i="16"/>
  <c r="E10" i="16"/>
  <c r="D10" i="16"/>
  <c r="C10" i="16"/>
  <c r="B10" i="16"/>
  <c r="A10" i="16"/>
  <c r="E9" i="16"/>
  <c r="D9" i="16"/>
  <c r="C9" i="16"/>
  <c r="B9" i="16"/>
  <c r="A9" i="16"/>
  <c r="E8" i="16"/>
  <c r="D8" i="16"/>
  <c r="C8" i="16"/>
  <c r="B8" i="16"/>
  <c r="A8" i="16"/>
  <c r="E7" i="16"/>
  <c r="D7" i="16"/>
  <c r="C7" i="16"/>
  <c r="B7" i="16"/>
  <c r="A7" i="16"/>
  <c r="E6" i="16"/>
  <c r="D6" i="16"/>
  <c r="C6" i="16"/>
  <c r="A6" i="16"/>
  <c r="E5" i="16"/>
  <c r="D5" i="16"/>
  <c r="C5" i="16"/>
  <c r="B5" i="16"/>
  <c r="A5" i="16"/>
  <c r="E39" i="14"/>
  <c r="D39" i="14"/>
  <c r="C39" i="14"/>
  <c r="B39" i="14"/>
  <c r="A39" i="14"/>
  <c r="E38" i="14"/>
  <c r="D38" i="14"/>
  <c r="C38" i="14"/>
  <c r="B38" i="14"/>
  <c r="A38" i="14"/>
  <c r="E37" i="14"/>
  <c r="D37" i="14"/>
  <c r="C37" i="14"/>
  <c r="B37" i="14"/>
  <c r="A37" i="14"/>
  <c r="E36" i="14"/>
  <c r="D36" i="14"/>
  <c r="C36" i="14"/>
  <c r="B36" i="14"/>
  <c r="A36" i="14"/>
  <c r="E35" i="14"/>
  <c r="D35" i="14"/>
  <c r="C35" i="14"/>
  <c r="B35" i="14"/>
  <c r="A35" i="14"/>
  <c r="E34" i="14"/>
  <c r="D34" i="14"/>
  <c r="C34" i="14"/>
  <c r="B34" i="14"/>
  <c r="A34" i="14"/>
  <c r="E33" i="14"/>
  <c r="D33" i="14"/>
  <c r="C33" i="14"/>
  <c r="B33" i="14"/>
  <c r="A33" i="14"/>
  <c r="E32" i="14"/>
  <c r="D32" i="14"/>
  <c r="C32" i="14"/>
  <c r="B32" i="14"/>
  <c r="A32" i="14"/>
  <c r="E31" i="14"/>
  <c r="D31" i="14"/>
  <c r="C31" i="14"/>
  <c r="B31" i="14"/>
  <c r="A31" i="14"/>
  <c r="E30" i="14"/>
  <c r="D30" i="14"/>
  <c r="C30" i="14"/>
  <c r="B30" i="14"/>
  <c r="A30" i="14"/>
  <c r="E29" i="14"/>
  <c r="D29" i="14"/>
  <c r="C29" i="14"/>
  <c r="B29" i="14"/>
  <c r="A29" i="14"/>
  <c r="E28" i="14"/>
  <c r="D28" i="14"/>
  <c r="C28" i="14"/>
  <c r="B28" i="14"/>
  <c r="A28" i="14"/>
  <c r="E27" i="14"/>
  <c r="D27" i="14"/>
  <c r="C27" i="14"/>
  <c r="B27" i="14"/>
  <c r="A27" i="14"/>
  <c r="E26" i="14"/>
  <c r="D26" i="14"/>
  <c r="C26" i="14"/>
  <c r="B26" i="14"/>
  <c r="A26" i="14"/>
  <c r="E25" i="14"/>
  <c r="D25" i="14"/>
  <c r="C25" i="14"/>
  <c r="B25" i="14"/>
  <c r="A25" i="14"/>
  <c r="E24" i="14"/>
  <c r="D24" i="14"/>
  <c r="C24" i="14"/>
  <c r="B24" i="14"/>
  <c r="A24" i="14"/>
  <c r="E23" i="14"/>
  <c r="D23" i="14"/>
  <c r="C23" i="14"/>
  <c r="B23" i="14"/>
  <c r="A23" i="14"/>
  <c r="E22" i="14"/>
  <c r="D22" i="14"/>
  <c r="C22" i="14"/>
  <c r="B22" i="14"/>
  <c r="A22" i="14"/>
  <c r="E21" i="14"/>
  <c r="D21" i="14"/>
  <c r="C21" i="14"/>
  <c r="B21" i="14"/>
  <c r="A21" i="14"/>
  <c r="E20" i="14"/>
  <c r="D20" i="14"/>
  <c r="C20" i="14"/>
  <c r="B20" i="14"/>
  <c r="A20" i="14"/>
  <c r="E19" i="14"/>
  <c r="D19" i="14"/>
  <c r="C19" i="14"/>
  <c r="B19" i="14"/>
  <c r="A19" i="14"/>
  <c r="E18" i="14"/>
  <c r="D18" i="14"/>
  <c r="C18" i="14"/>
  <c r="B18" i="14"/>
  <c r="A18" i="14"/>
  <c r="E17" i="14"/>
  <c r="D17" i="14"/>
  <c r="C17" i="14"/>
  <c r="B17" i="14"/>
  <c r="A17" i="14"/>
  <c r="E16" i="14"/>
  <c r="D16" i="14"/>
  <c r="C16" i="14"/>
  <c r="B16" i="14"/>
  <c r="A16" i="14"/>
  <c r="E15" i="14"/>
  <c r="D15" i="14"/>
  <c r="C15" i="14"/>
  <c r="B15" i="14"/>
  <c r="A15" i="14"/>
  <c r="E14" i="14"/>
  <c r="D14" i="14"/>
  <c r="C14" i="14"/>
  <c r="B14" i="14"/>
  <c r="A14" i="14"/>
  <c r="E13" i="14"/>
  <c r="D13" i="14"/>
  <c r="C13" i="14"/>
  <c r="B13" i="14"/>
  <c r="A13" i="14"/>
  <c r="E12" i="14"/>
  <c r="D12" i="14"/>
  <c r="C12" i="14"/>
  <c r="B12" i="14"/>
  <c r="A12" i="14"/>
  <c r="E11" i="14"/>
  <c r="D11" i="14"/>
  <c r="C11" i="14"/>
  <c r="B11" i="14"/>
  <c r="A11" i="14"/>
  <c r="E10" i="14"/>
  <c r="D10" i="14"/>
  <c r="C10" i="14"/>
  <c r="B10" i="14"/>
  <c r="A10" i="14"/>
  <c r="E9" i="14"/>
  <c r="D9" i="14"/>
  <c r="C9" i="14"/>
  <c r="B9" i="14"/>
  <c r="A9" i="14"/>
  <c r="E8" i="14"/>
  <c r="D8" i="14"/>
  <c r="C8" i="14"/>
  <c r="B8" i="14"/>
  <c r="A8" i="14"/>
  <c r="E7" i="14"/>
  <c r="D7" i="14"/>
  <c r="C7" i="14"/>
  <c r="B7" i="14"/>
  <c r="A7" i="14"/>
  <c r="E6" i="14"/>
  <c r="D6" i="14"/>
  <c r="C6" i="14"/>
  <c r="B6" i="14"/>
  <c r="A6" i="14"/>
  <c r="E5" i="14"/>
  <c r="D5" i="14"/>
  <c r="C5" i="14"/>
  <c r="A5" i="14"/>
  <c r="E4" i="14"/>
  <c r="D4" i="14"/>
  <c r="C4" i="14"/>
  <c r="B4" i="14"/>
  <c r="A4" i="14"/>
  <c r="E48" i="12"/>
  <c r="D48" i="12"/>
  <c r="C48" i="12"/>
  <c r="B48" i="12"/>
  <c r="A48" i="12"/>
  <c r="E47" i="12"/>
  <c r="D47" i="12"/>
  <c r="C47" i="12"/>
  <c r="B47" i="12"/>
  <c r="A47" i="12"/>
  <c r="E46" i="12"/>
  <c r="D46" i="12"/>
  <c r="C46" i="12"/>
  <c r="B46" i="12"/>
  <c r="A46" i="12"/>
  <c r="E45" i="12"/>
  <c r="D45" i="12"/>
  <c r="C45" i="12"/>
  <c r="B45" i="12"/>
  <c r="A45" i="12"/>
  <c r="E44" i="12"/>
  <c r="D44" i="12"/>
  <c r="C44" i="12"/>
  <c r="B44" i="12"/>
  <c r="A44" i="12"/>
  <c r="E43" i="12"/>
  <c r="D43" i="12"/>
  <c r="C43" i="12"/>
  <c r="B43" i="12"/>
  <c r="A43" i="12"/>
  <c r="E42" i="12"/>
  <c r="D42" i="12"/>
  <c r="C42" i="12"/>
  <c r="B42" i="12"/>
  <c r="A42" i="12"/>
  <c r="E41" i="12"/>
  <c r="D41" i="12"/>
  <c r="C41" i="12"/>
  <c r="B41" i="12"/>
  <c r="A41" i="12"/>
  <c r="E40" i="12"/>
  <c r="D40" i="12"/>
  <c r="C40" i="12"/>
  <c r="B40" i="12"/>
  <c r="A40" i="12"/>
  <c r="E39" i="12"/>
  <c r="D39" i="12"/>
  <c r="C39" i="12"/>
  <c r="B39" i="12"/>
  <c r="A39" i="12"/>
  <c r="E38" i="12"/>
  <c r="D38" i="12"/>
  <c r="C38" i="12"/>
  <c r="B38" i="12"/>
  <c r="A38" i="12"/>
  <c r="E37" i="12"/>
  <c r="D37" i="12"/>
  <c r="C37" i="12"/>
  <c r="B37" i="12"/>
  <c r="A37" i="12"/>
  <c r="E36" i="12"/>
  <c r="D36" i="12"/>
  <c r="C36" i="12"/>
  <c r="B36" i="12"/>
  <c r="A36" i="12"/>
  <c r="E35" i="12"/>
  <c r="D35" i="12"/>
  <c r="C35" i="12"/>
  <c r="B35" i="12"/>
  <c r="A35" i="12"/>
  <c r="E34" i="12"/>
  <c r="D34" i="12"/>
  <c r="C34" i="12"/>
  <c r="B34" i="12"/>
  <c r="A34" i="12"/>
  <c r="E33" i="12"/>
  <c r="D33" i="12"/>
  <c r="C33" i="12"/>
  <c r="B33" i="12"/>
  <c r="A33" i="12"/>
  <c r="E32" i="12"/>
  <c r="D32" i="12"/>
  <c r="C32" i="12"/>
  <c r="B32" i="12"/>
  <c r="A32" i="12"/>
  <c r="E31" i="12"/>
  <c r="D31" i="12"/>
  <c r="C31" i="12"/>
  <c r="B31" i="12"/>
  <c r="A31" i="12"/>
  <c r="E30" i="12"/>
  <c r="D30" i="12"/>
  <c r="C30" i="12"/>
  <c r="B30" i="12"/>
  <c r="A30" i="12"/>
  <c r="E29" i="12"/>
  <c r="D29" i="12"/>
  <c r="C29" i="12"/>
  <c r="B29" i="12"/>
  <c r="A29" i="12"/>
  <c r="E28" i="12"/>
  <c r="D28" i="12"/>
  <c r="C28" i="12"/>
  <c r="B28" i="12"/>
  <c r="A28" i="12"/>
  <c r="E27" i="12"/>
  <c r="D27" i="12"/>
  <c r="C27" i="12"/>
  <c r="A27" i="12"/>
  <c r="E26" i="12"/>
  <c r="D26" i="12"/>
  <c r="C26" i="12"/>
  <c r="B26" i="12"/>
  <c r="A26" i="12"/>
  <c r="E25" i="12"/>
  <c r="D25" i="12"/>
  <c r="C25" i="12"/>
  <c r="B25" i="12"/>
  <c r="A25" i="12"/>
  <c r="E24" i="12"/>
  <c r="D24" i="12"/>
  <c r="C24" i="12"/>
  <c r="B24" i="12"/>
  <c r="A24" i="12"/>
  <c r="E23" i="12"/>
  <c r="D23" i="12"/>
  <c r="C23" i="12"/>
  <c r="B23" i="12"/>
  <c r="A23" i="12"/>
  <c r="E22" i="12"/>
  <c r="D22" i="12"/>
  <c r="C22" i="12"/>
  <c r="B22" i="12"/>
  <c r="A22" i="12"/>
  <c r="E21" i="12"/>
  <c r="D21" i="12"/>
  <c r="C21" i="12"/>
  <c r="B21" i="12"/>
  <c r="A21" i="12"/>
  <c r="E20" i="12"/>
  <c r="D20" i="12"/>
  <c r="C20" i="12"/>
  <c r="A20" i="12"/>
  <c r="E19" i="12"/>
  <c r="D19" i="12"/>
  <c r="C19" i="12"/>
  <c r="B19" i="12"/>
  <c r="A19" i="12"/>
  <c r="E18" i="12"/>
  <c r="D18" i="12"/>
  <c r="C18" i="12"/>
  <c r="B18" i="12"/>
  <c r="A18" i="12"/>
  <c r="E17" i="12"/>
  <c r="D17" i="12"/>
  <c r="C17" i="12"/>
  <c r="B17" i="12"/>
  <c r="A17" i="12"/>
  <c r="E16" i="12"/>
  <c r="D16" i="12"/>
  <c r="C16" i="12"/>
  <c r="B16" i="12"/>
  <c r="A16" i="12"/>
  <c r="E15" i="12"/>
  <c r="D15" i="12"/>
  <c r="C15" i="12"/>
  <c r="B15" i="12"/>
  <c r="A15" i="12"/>
  <c r="E14" i="12"/>
  <c r="D14" i="12"/>
  <c r="C14" i="12"/>
  <c r="B14" i="12"/>
  <c r="A14" i="12"/>
  <c r="E13" i="12"/>
  <c r="D13" i="12"/>
  <c r="C13" i="12"/>
  <c r="B13" i="12"/>
  <c r="A13" i="12"/>
  <c r="E12" i="12"/>
  <c r="D12" i="12"/>
  <c r="C12" i="12"/>
  <c r="B12" i="12"/>
  <c r="A12" i="12"/>
  <c r="E11" i="12"/>
  <c r="D11" i="12"/>
  <c r="C11" i="12"/>
  <c r="B11" i="12"/>
  <c r="A11" i="12"/>
  <c r="E10" i="12"/>
  <c r="D10" i="12"/>
  <c r="C10" i="12"/>
  <c r="B10" i="12"/>
  <c r="A10" i="12"/>
  <c r="E9" i="12"/>
  <c r="D9" i="12"/>
  <c r="C9" i="12"/>
  <c r="B9" i="12"/>
  <c r="A9" i="12"/>
  <c r="E8" i="12"/>
  <c r="D8" i="12"/>
  <c r="C8" i="12"/>
  <c r="B8" i="12"/>
  <c r="A8" i="12"/>
  <c r="E7" i="12"/>
  <c r="D7" i="12"/>
  <c r="C7" i="12"/>
  <c r="B7" i="12"/>
  <c r="A7" i="12"/>
  <c r="E6" i="12"/>
  <c r="D6" i="12"/>
  <c r="C6" i="12"/>
  <c r="A6" i="12"/>
  <c r="E5" i="12"/>
  <c r="D5" i="12"/>
  <c r="C5" i="12"/>
  <c r="B5" i="12"/>
  <c r="A5" i="12"/>
  <c r="E74" i="10"/>
  <c r="D74" i="10"/>
  <c r="C74" i="10"/>
  <c r="B74" i="10"/>
  <c r="A74" i="10"/>
  <c r="E73" i="10"/>
  <c r="D73" i="10"/>
  <c r="C73" i="10"/>
  <c r="B73" i="10"/>
  <c r="A73" i="10"/>
  <c r="E72" i="10"/>
  <c r="D72" i="10"/>
  <c r="C72" i="10"/>
  <c r="B72" i="10"/>
  <c r="A72" i="10"/>
  <c r="E71" i="10"/>
  <c r="D71" i="10"/>
  <c r="C71" i="10"/>
  <c r="B71" i="10"/>
  <c r="A71" i="10"/>
  <c r="E70" i="10"/>
  <c r="D70" i="10"/>
  <c r="C70" i="10"/>
  <c r="B70" i="10"/>
  <c r="A70" i="10"/>
  <c r="E69" i="10"/>
  <c r="D69" i="10"/>
  <c r="C69" i="10"/>
  <c r="B69" i="10"/>
  <c r="A69" i="10"/>
  <c r="E68" i="10"/>
  <c r="D68" i="10"/>
  <c r="C68" i="10"/>
  <c r="B68" i="10"/>
  <c r="A68" i="10"/>
  <c r="E67" i="10"/>
  <c r="D67" i="10"/>
  <c r="C67" i="10"/>
  <c r="B67" i="10"/>
  <c r="A67" i="10"/>
  <c r="E66" i="10"/>
  <c r="D66" i="10"/>
  <c r="C66" i="10"/>
  <c r="B66" i="10"/>
  <c r="A66" i="10"/>
  <c r="E65" i="10"/>
  <c r="D65" i="10"/>
  <c r="C65" i="10"/>
  <c r="B65" i="10"/>
  <c r="A65" i="10"/>
  <c r="E64" i="10"/>
  <c r="D64" i="10"/>
  <c r="C64" i="10"/>
  <c r="B64" i="10"/>
  <c r="A64" i="10"/>
  <c r="E63" i="10"/>
  <c r="D63" i="10"/>
  <c r="C63" i="10"/>
  <c r="B63" i="10"/>
  <c r="A63" i="10"/>
  <c r="E62" i="10"/>
  <c r="D62" i="10"/>
  <c r="C62" i="10"/>
  <c r="B62" i="10"/>
  <c r="A62" i="10"/>
  <c r="E61" i="10"/>
  <c r="D61" i="10"/>
  <c r="C61" i="10"/>
  <c r="B61" i="10"/>
  <c r="A61" i="10"/>
  <c r="E60" i="10"/>
  <c r="D60" i="10"/>
  <c r="C60" i="10"/>
  <c r="B60" i="10"/>
  <c r="A60" i="10"/>
  <c r="E59" i="10"/>
  <c r="D59" i="10"/>
  <c r="C59" i="10"/>
  <c r="B59" i="10"/>
  <c r="A59" i="10"/>
  <c r="E58" i="10"/>
  <c r="D58" i="10"/>
  <c r="C58" i="10"/>
  <c r="B58" i="10"/>
  <c r="A58" i="10"/>
  <c r="E57" i="10"/>
  <c r="D57" i="10"/>
  <c r="C57" i="10"/>
  <c r="B57" i="10"/>
  <c r="A57" i="10"/>
  <c r="E56" i="10"/>
  <c r="D56" i="10"/>
  <c r="C56" i="10"/>
  <c r="B56" i="10"/>
  <c r="A56" i="10"/>
  <c r="E55" i="10"/>
  <c r="D55" i="10"/>
  <c r="C55" i="10"/>
  <c r="A55" i="10"/>
  <c r="E54" i="10"/>
  <c r="D54" i="10"/>
  <c r="C54" i="10"/>
  <c r="B54" i="10"/>
  <c r="A54" i="10"/>
  <c r="E53" i="10"/>
  <c r="D53" i="10"/>
  <c r="C53" i="10"/>
  <c r="B53" i="10"/>
  <c r="A53" i="10"/>
  <c r="E52" i="10"/>
  <c r="D52" i="10"/>
  <c r="C52" i="10"/>
  <c r="B52" i="10"/>
  <c r="A52" i="10"/>
  <c r="E51" i="10"/>
  <c r="D51" i="10"/>
  <c r="C51" i="10"/>
  <c r="B51" i="10"/>
  <c r="A51" i="10"/>
  <c r="E50" i="10"/>
  <c r="D50" i="10"/>
  <c r="C50" i="10"/>
  <c r="B50" i="10"/>
  <c r="A50" i="10"/>
  <c r="E49" i="10"/>
  <c r="D49" i="10"/>
  <c r="C49" i="10"/>
  <c r="B49" i="10"/>
  <c r="A49" i="10"/>
  <c r="E48" i="10"/>
  <c r="D48" i="10"/>
  <c r="C48" i="10"/>
  <c r="B48" i="10"/>
  <c r="A48" i="10"/>
  <c r="E47" i="10"/>
  <c r="D47" i="10"/>
  <c r="C47" i="10"/>
  <c r="B47" i="10"/>
  <c r="A47" i="10"/>
  <c r="E46" i="10"/>
  <c r="D46" i="10"/>
  <c r="C46" i="10"/>
  <c r="B46" i="10"/>
  <c r="A46" i="10"/>
  <c r="E45" i="10"/>
  <c r="D45" i="10"/>
  <c r="C45" i="10"/>
  <c r="A45" i="10"/>
  <c r="E44" i="10"/>
  <c r="D44" i="10"/>
  <c r="C44" i="10"/>
  <c r="B44" i="10"/>
  <c r="A44" i="10"/>
  <c r="E43" i="10"/>
  <c r="D43" i="10"/>
  <c r="C43" i="10"/>
  <c r="B43" i="10"/>
  <c r="A43" i="10"/>
  <c r="E42" i="10"/>
  <c r="D42" i="10"/>
  <c r="C42" i="10"/>
  <c r="B42" i="10"/>
  <c r="A42" i="10"/>
  <c r="E41" i="10"/>
  <c r="D41" i="10"/>
  <c r="C41" i="10"/>
  <c r="B41" i="10"/>
  <c r="A41" i="10"/>
  <c r="E40" i="10"/>
  <c r="D40" i="10"/>
  <c r="C40" i="10"/>
  <c r="B40" i="10"/>
  <c r="A40" i="10"/>
  <c r="E39" i="10"/>
  <c r="D39" i="10"/>
  <c r="C39" i="10"/>
  <c r="A39" i="10"/>
  <c r="E38" i="10"/>
  <c r="D38" i="10"/>
  <c r="C38" i="10"/>
  <c r="B38" i="10"/>
  <c r="A38" i="10"/>
  <c r="E37" i="10"/>
  <c r="D37" i="10"/>
  <c r="C37" i="10"/>
  <c r="B37" i="10"/>
  <c r="A37" i="10"/>
  <c r="E36" i="10"/>
  <c r="D36" i="10"/>
  <c r="C36" i="10"/>
  <c r="B36" i="10"/>
  <c r="A36" i="10"/>
  <c r="E35" i="10"/>
  <c r="D35" i="10"/>
  <c r="C35" i="10"/>
  <c r="B35" i="10"/>
  <c r="A35" i="10"/>
  <c r="E34" i="10"/>
  <c r="D34" i="10"/>
  <c r="C34" i="10"/>
  <c r="B34" i="10"/>
  <c r="A34" i="10"/>
  <c r="E33" i="10"/>
  <c r="D33" i="10"/>
  <c r="C33" i="10"/>
  <c r="B33" i="10"/>
  <c r="A33" i="10"/>
  <c r="E32" i="10"/>
  <c r="D32" i="10"/>
  <c r="C32" i="10"/>
  <c r="B32" i="10"/>
  <c r="A32" i="10"/>
  <c r="E31" i="10"/>
  <c r="D31" i="10"/>
  <c r="C31" i="10"/>
  <c r="B31" i="10"/>
  <c r="A31" i="10"/>
  <c r="E30" i="10"/>
  <c r="D30" i="10"/>
  <c r="C30" i="10"/>
  <c r="B30" i="10"/>
  <c r="A30" i="10"/>
  <c r="E29" i="10"/>
  <c r="D29" i="10"/>
  <c r="C29" i="10"/>
  <c r="B29" i="10"/>
  <c r="A29" i="10"/>
  <c r="E28" i="10"/>
  <c r="D28" i="10"/>
  <c r="C28" i="10"/>
  <c r="B28" i="10"/>
  <c r="A28" i="10"/>
  <c r="E27" i="10"/>
  <c r="D27" i="10"/>
  <c r="C27" i="10"/>
  <c r="B27" i="10"/>
  <c r="A27" i="10"/>
  <c r="E26" i="10"/>
  <c r="D26" i="10"/>
  <c r="C26" i="10"/>
  <c r="B26" i="10"/>
  <c r="A26" i="10"/>
  <c r="E25" i="10"/>
  <c r="D25" i="10"/>
  <c r="C25" i="10"/>
  <c r="B25" i="10"/>
  <c r="A25" i="10"/>
  <c r="E24" i="10"/>
  <c r="D24" i="10"/>
  <c r="C24" i="10"/>
  <c r="B24" i="10"/>
  <c r="A24" i="10"/>
  <c r="E23" i="10"/>
  <c r="D23" i="10"/>
  <c r="C23" i="10"/>
  <c r="B23" i="10"/>
  <c r="A23" i="10"/>
  <c r="E22" i="10"/>
  <c r="D22" i="10"/>
  <c r="C22" i="10"/>
  <c r="A22" i="10"/>
  <c r="E21" i="10"/>
  <c r="D21" i="10"/>
  <c r="C21" i="10"/>
  <c r="B21" i="10"/>
  <c r="A21" i="10"/>
  <c r="E20" i="10"/>
  <c r="D20" i="10"/>
  <c r="C20" i="10"/>
  <c r="B20" i="10"/>
  <c r="A20" i="10"/>
  <c r="E19" i="10"/>
  <c r="D19" i="10"/>
  <c r="C19" i="10"/>
  <c r="B19" i="10"/>
  <c r="A19" i="10"/>
  <c r="E18" i="10"/>
  <c r="D18" i="10"/>
  <c r="C18" i="10"/>
  <c r="B18" i="10"/>
  <c r="A18" i="10"/>
  <c r="E17" i="10"/>
  <c r="D17" i="10"/>
  <c r="C17" i="10"/>
  <c r="B17" i="10"/>
  <c r="A17" i="10"/>
  <c r="E16" i="10"/>
  <c r="D16" i="10"/>
  <c r="C16" i="10"/>
  <c r="B16" i="10"/>
  <c r="A16" i="10"/>
  <c r="E15" i="10"/>
  <c r="D15" i="10"/>
  <c r="C15" i="10"/>
  <c r="B15" i="10"/>
  <c r="A15" i="10"/>
  <c r="E14" i="10"/>
  <c r="D14" i="10"/>
  <c r="C14" i="10"/>
  <c r="B14" i="10"/>
  <c r="A14" i="10"/>
  <c r="E13" i="10"/>
  <c r="D13" i="10"/>
  <c r="C13" i="10"/>
  <c r="B13" i="10"/>
  <c r="A13" i="10"/>
  <c r="E12" i="10"/>
  <c r="D12" i="10"/>
  <c r="C12" i="10"/>
  <c r="B12" i="10"/>
  <c r="A12" i="10"/>
  <c r="E11" i="10"/>
  <c r="D11" i="10"/>
  <c r="C11" i="10"/>
  <c r="B11" i="10"/>
  <c r="A11" i="10"/>
  <c r="E10" i="10"/>
  <c r="D10" i="10"/>
  <c r="C10" i="10"/>
  <c r="B10" i="10"/>
  <c r="A10" i="10"/>
  <c r="E9" i="10"/>
  <c r="D9" i="10"/>
  <c r="C9" i="10"/>
  <c r="B9" i="10"/>
  <c r="A9" i="10"/>
  <c r="E8" i="10"/>
  <c r="D8" i="10"/>
  <c r="C8" i="10"/>
  <c r="B8" i="10"/>
  <c r="A8" i="10"/>
  <c r="E7" i="10"/>
  <c r="D7" i="10"/>
  <c r="C7" i="10"/>
  <c r="B7" i="10"/>
  <c r="A7" i="10"/>
  <c r="E6" i="10"/>
  <c r="D6" i="10"/>
  <c r="C6" i="10"/>
  <c r="B6" i="10"/>
  <c r="A6" i="10"/>
  <c r="E5" i="10"/>
  <c r="D5" i="10"/>
  <c r="C5" i="10"/>
  <c r="B5" i="10"/>
  <c r="A5" i="10"/>
  <c r="E48" i="8"/>
  <c r="D48" i="8"/>
  <c r="C48" i="8"/>
  <c r="B48" i="8"/>
  <c r="A48" i="8"/>
  <c r="E47" i="8"/>
  <c r="D47" i="8"/>
  <c r="C47" i="8"/>
  <c r="B47" i="8"/>
  <c r="A47" i="8"/>
  <c r="E46" i="8"/>
  <c r="D46" i="8"/>
  <c r="C46" i="8"/>
  <c r="B46" i="8"/>
  <c r="A46" i="8"/>
  <c r="E45" i="8"/>
  <c r="D45" i="8"/>
  <c r="C45" i="8"/>
  <c r="B45" i="8"/>
  <c r="A45" i="8"/>
  <c r="E44" i="8"/>
  <c r="D44" i="8"/>
  <c r="C44" i="8"/>
  <c r="B44" i="8"/>
  <c r="A44" i="8"/>
  <c r="E43" i="8"/>
  <c r="D43" i="8"/>
  <c r="C43" i="8"/>
  <c r="B43" i="8"/>
  <c r="A43" i="8"/>
  <c r="E42" i="8"/>
  <c r="D42" i="8"/>
  <c r="C42" i="8"/>
  <c r="B42" i="8"/>
  <c r="A42" i="8"/>
  <c r="E41" i="8"/>
  <c r="D41" i="8"/>
  <c r="C41" i="8"/>
  <c r="B41" i="8"/>
  <c r="A41" i="8"/>
  <c r="E40" i="8"/>
  <c r="D40" i="8"/>
  <c r="C40" i="8"/>
  <c r="B40" i="8"/>
  <c r="A40" i="8"/>
  <c r="E39" i="8"/>
  <c r="D39" i="8"/>
  <c r="C39" i="8"/>
  <c r="B39" i="8"/>
  <c r="A39" i="8"/>
  <c r="E38" i="8"/>
  <c r="D38" i="8"/>
  <c r="C38" i="8"/>
  <c r="B38" i="8"/>
  <c r="A38" i="8"/>
  <c r="E37" i="8"/>
  <c r="D37" i="8"/>
  <c r="C37" i="8"/>
  <c r="B37" i="8"/>
  <c r="A37" i="8"/>
  <c r="E36" i="8"/>
  <c r="D36" i="8"/>
  <c r="C36" i="8"/>
  <c r="B36" i="8"/>
  <c r="A36" i="8"/>
  <c r="E35" i="8"/>
  <c r="D35" i="8"/>
  <c r="C35" i="8"/>
  <c r="B35" i="8"/>
  <c r="A35" i="8"/>
  <c r="E34" i="8"/>
  <c r="D34" i="8"/>
  <c r="C34" i="8"/>
  <c r="B34" i="8"/>
  <c r="A34" i="8"/>
  <c r="E33" i="8"/>
  <c r="D33" i="8"/>
  <c r="C33" i="8"/>
  <c r="B33" i="8"/>
  <c r="A33" i="8"/>
  <c r="E32" i="8"/>
  <c r="D32" i="8"/>
  <c r="C32" i="8"/>
  <c r="B32" i="8"/>
  <c r="A32" i="8"/>
  <c r="E31" i="8"/>
  <c r="D31" i="8"/>
  <c r="C31" i="8"/>
  <c r="B31" i="8"/>
  <c r="A31" i="8"/>
  <c r="E30" i="8"/>
  <c r="D30" i="8"/>
  <c r="C30" i="8"/>
  <c r="B30" i="8"/>
  <c r="A30" i="8"/>
  <c r="E29" i="8"/>
  <c r="D29" i="8"/>
  <c r="C29" i="8"/>
  <c r="B29" i="8"/>
  <c r="A29" i="8"/>
  <c r="E28" i="8"/>
  <c r="D28" i="8"/>
  <c r="C28" i="8"/>
  <c r="B28" i="8"/>
  <c r="A28" i="8"/>
  <c r="E27" i="8"/>
  <c r="D27" i="8"/>
  <c r="C27" i="8"/>
  <c r="B27" i="8"/>
  <c r="A27" i="8"/>
  <c r="E26" i="8"/>
  <c r="D26" i="8"/>
  <c r="C26" i="8"/>
  <c r="B26" i="8"/>
  <c r="A26" i="8"/>
  <c r="E25" i="8"/>
  <c r="D25" i="8"/>
  <c r="C25" i="8"/>
  <c r="B25" i="8"/>
  <c r="A25" i="8"/>
  <c r="E24" i="8"/>
  <c r="D24" i="8"/>
  <c r="C24" i="8"/>
  <c r="B24" i="8"/>
  <c r="A24" i="8"/>
  <c r="E23" i="8"/>
  <c r="D23" i="8"/>
  <c r="C23" i="8"/>
  <c r="B23" i="8"/>
  <c r="A23" i="8"/>
  <c r="E22" i="8"/>
  <c r="D22" i="8"/>
  <c r="C22" i="8"/>
  <c r="B22" i="8"/>
  <c r="A22" i="8"/>
  <c r="E21" i="8"/>
  <c r="D21" i="8"/>
  <c r="C21" i="8"/>
  <c r="B21" i="8"/>
  <c r="A21" i="8"/>
  <c r="E20" i="8"/>
  <c r="D20" i="8"/>
  <c r="C20" i="8"/>
  <c r="B20" i="8"/>
  <c r="A20" i="8"/>
  <c r="E19" i="8"/>
  <c r="D19" i="8"/>
  <c r="C19" i="8"/>
  <c r="B19" i="8"/>
  <c r="A19" i="8"/>
  <c r="E18" i="8"/>
  <c r="D18" i="8"/>
  <c r="C18" i="8"/>
  <c r="A18" i="8"/>
  <c r="E17" i="8"/>
  <c r="D17" i="8"/>
  <c r="C17" i="8"/>
  <c r="B17" i="8"/>
  <c r="A17" i="8"/>
  <c r="E16" i="8"/>
  <c r="D16" i="8"/>
  <c r="C16" i="8"/>
  <c r="B16" i="8"/>
  <c r="A16" i="8"/>
  <c r="E15" i="8"/>
  <c r="D15" i="8"/>
  <c r="C15" i="8"/>
  <c r="B15" i="8"/>
  <c r="A15" i="8"/>
  <c r="E14" i="8"/>
  <c r="D14" i="8"/>
  <c r="C14" i="8"/>
  <c r="B14" i="8"/>
  <c r="A14" i="8"/>
  <c r="E13" i="8"/>
  <c r="D13" i="8"/>
  <c r="C13" i="8"/>
  <c r="B13" i="8"/>
  <c r="A13" i="8"/>
  <c r="E12" i="8"/>
  <c r="D12" i="8"/>
  <c r="C12" i="8"/>
  <c r="B12" i="8"/>
  <c r="A12" i="8"/>
  <c r="E11" i="8"/>
  <c r="D11" i="8"/>
  <c r="C11" i="8"/>
  <c r="B11" i="8"/>
  <c r="A11" i="8"/>
  <c r="E10" i="8"/>
  <c r="D10" i="8"/>
  <c r="C10" i="8"/>
  <c r="B10" i="8"/>
  <c r="A10" i="8"/>
  <c r="E9" i="8"/>
  <c r="D9" i="8"/>
  <c r="C9" i="8"/>
  <c r="B9" i="8"/>
  <c r="A9" i="8"/>
  <c r="E8" i="8"/>
  <c r="D8" i="8"/>
  <c r="C8" i="8"/>
  <c r="B8" i="8"/>
  <c r="A8" i="8"/>
  <c r="E7" i="8"/>
  <c r="D7" i="8"/>
  <c r="C7" i="8"/>
  <c r="B7" i="8"/>
  <c r="A7" i="8"/>
  <c r="E6" i="8"/>
  <c r="D6" i="8"/>
  <c r="C6" i="8"/>
  <c r="B6" i="8"/>
  <c r="A6" i="8"/>
  <c r="E5" i="8"/>
  <c r="D5" i="8"/>
  <c r="C5" i="8"/>
  <c r="B5" i="8"/>
  <c r="A5" i="8"/>
  <c r="E4" i="8"/>
  <c r="D4" i="8"/>
  <c r="C4" i="8"/>
  <c r="A4" i="8"/>
  <c r="E3" i="8"/>
  <c r="D3" i="8"/>
  <c r="C3" i="8"/>
  <c r="B3" i="8"/>
  <c r="A3" i="8"/>
  <c r="E137" i="6"/>
  <c r="D137" i="6"/>
  <c r="C137" i="6"/>
  <c r="B137" i="6"/>
  <c r="A137" i="6"/>
  <c r="E136" i="6"/>
  <c r="D136" i="6"/>
  <c r="C136" i="6"/>
  <c r="B136" i="6"/>
  <c r="A136" i="6"/>
  <c r="E135" i="6"/>
  <c r="D135" i="6"/>
  <c r="C135" i="6"/>
  <c r="B135" i="6"/>
  <c r="A135" i="6"/>
  <c r="E134" i="6"/>
  <c r="D134" i="6"/>
  <c r="C134" i="6"/>
  <c r="B134" i="6"/>
  <c r="A134" i="6"/>
  <c r="E133" i="6"/>
  <c r="D133" i="6"/>
  <c r="C133" i="6"/>
  <c r="B133" i="6"/>
  <c r="A133" i="6"/>
  <c r="E132" i="6"/>
  <c r="D132" i="6"/>
  <c r="C132" i="6"/>
  <c r="B132" i="6"/>
  <c r="A132" i="6"/>
  <c r="E131" i="6"/>
  <c r="D131" i="6"/>
  <c r="C131" i="6"/>
  <c r="B131" i="6"/>
  <c r="A131" i="6"/>
  <c r="E130" i="6"/>
  <c r="D130" i="6"/>
  <c r="C130" i="6"/>
  <c r="B130" i="6"/>
  <c r="A130" i="6"/>
  <c r="E129" i="6"/>
  <c r="D129" i="6"/>
  <c r="C129" i="6"/>
  <c r="B129" i="6"/>
  <c r="A129" i="6"/>
  <c r="E128" i="6"/>
  <c r="D128" i="6"/>
  <c r="C128" i="6"/>
  <c r="B128" i="6"/>
  <c r="A128" i="6"/>
  <c r="E127" i="6"/>
  <c r="D127" i="6"/>
  <c r="C127" i="6"/>
  <c r="B127" i="6"/>
  <c r="A127" i="6"/>
  <c r="E126" i="6"/>
  <c r="D126" i="6"/>
  <c r="C126" i="6"/>
  <c r="B126" i="6"/>
  <c r="A126" i="6"/>
  <c r="E125" i="6"/>
  <c r="D125" i="6"/>
  <c r="C125" i="6"/>
  <c r="B125" i="6"/>
  <c r="A125" i="6"/>
  <c r="E124" i="6"/>
  <c r="D124" i="6"/>
  <c r="C124" i="6"/>
  <c r="B124" i="6"/>
  <c r="A124" i="6"/>
  <c r="E123" i="6"/>
  <c r="D123" i="6"/>
  <c r="C123" i="6"/>
  <c r="B123" i="6"/>
  <c r="A123" i="6"/>
  <c r="E122" i="6"/>
  <c r="D122" i="6"/>
  <c r="C122" i="6"/>
  <c r="B122" i="6"/>
  <c r="A122" i="6"/>
  <c r="E121" i="6"/>
  <c r="D121" i="6"/>
  <c r="C121" i="6"/>
  <c r="B121" i="6"/>
  <c r="A121" i="6"/>
  <c r="E120" i="6"/>
  <c r="D120" i="6"/>
  <c r="C120" i="6"/>
  <c r="B120" i="6"/>
  <c r="A120" i="6"/>
  <c r="E119" i="6"/>
  <c r="D119" i="6"/>
  <c r="C119" i="6"/>
  <c r="B119" i="6"/>
  <c r="A119" i="6"/>
  <c r="E118" i="6"/>
  <c r="D118" i="6"/>
  <c r="C118" i="6"/>
  <c r="B118" i="6"/>
  <c r="A118" i="6"/>
  <c r="E117" i="6"/>
  <c r="D117" i="6"/>
  <c r="C117" i="6"/>
  <c r="B117" i="6"/>
  <c r="A117" i="6"/>
  <c r="E116" i="6"/>
  <c r="D116" i="6"/>
  <c r="C116" i="6"/>
  <c r="A116" i="6"/>
  <c r="E115" i="6"/>
  <c r="D115" i="6"/>
  <c r="C115" i="6"/>
  <c r="B115" i="6"/>
  <c r="A115" i="6"/>
  <c r="E114" i="6"/>
  <c r="D114" i="6"/>
  <c r="C114" i="6"/>
  <c r="B114" i="6"/>
  <c r="A114" i="6"/>
  <c r="E113" i="6"/>
  <c r="D113" i="6"/>
  <c r="C113" i="6"/>
  <c r="B113" i="6"/>
  <c r="A113" i="6"/>
  <c r="E112" i="6"/>
  <c r="D112" i="6"/>
  <c r="C112" i="6"/>
  <c r="B112" i="6"/>
  <c r="A112" i="6"/>
  <c r="E111" i="6"/>
  <c r="D111" i="6"/>
  <c r="C111" i="6"/>
  <c r="B111" i="6"/>
  <c r="A111" i="6"/>
  <c r="E110" i="6"/>
  <c r="D110" i="6"/>
  <c r="C110" i="6"/>
  <c r="B110" i="6"/>
  <c r="A110" i="6"/>
  <c r="E109" i="6"/>
  <c r="D109" i="6"/>
  <c r="C109" i="6"/>
  <c r="B109" i="6"/>
  <c r="A109" i="6"/>
  <c r="E108" i="6"/>
  <c r="D108" i="6"/>
  <c r="C108" i="6"/>
  <c r="B108" i="6"/>
  <c r="A108" i="6"/>
  <c r="E107" i="6"/>
  <c r="D107" i="6"/>
  <c r="C107" i="6"/>
  <c r="B107" i="6"/>
  <c r="A107" i="6"/>
  <c r="E106" i="6"/>
  <c r="D106" i="6"/>
  <c r="C106" i="6"/>
  <c r="B106" i="6"/>
  <c r="A106" i="6"/>
  <c r="E105" i="6"/>
  <c r="D105" i="6"/>
  <c r="C105" i="6"/>
  <c r="B105" i="6"/>
  <c r="A105" i="6"/>
  <c r="E104" i="6"/>
  <c r="D104" i="6"/>
  <c r="C104" i="6"/>
  <c r="B104" i="6"/>
  <c r="A104" i="6"/>
  <c r="E103" i="6"/>
  <c r="D103" i="6"/>
  <c r="C103" i="6"/>
  <c r="B103" i="6"/>
  <c r="A103" i="6"/>
  <c r="E102" i="6"/>
  <c r="D102" i="6"/>
  <c r="C102" i="6"/>
  <c r="B102" i="6"/>
  <c r="A102" i="6"/>
  <c r="E101" i="6"/>
  <c r="D101" i="6"/>
  <c r="C101" i="6"/>
  <c r="B101" i="6"/>
  <c r="A101" i="6"/>
  <c r="E100" i="6"/>
  <c r="D100" i="6"/>
  <c r="C100" i="6"/>
  <c r="B100" i="6"/>
  <c r="A100" i="6"/>
  <c r="E99" i="6"/>
  <c r="D99" i="6"/>
  <c r="C99" i="6"/>
  <c r="B99" i="6"/>
  <c r="A99" i="6"/>
  <c r="E98" i="6"/>
  <c r="D98" i="6"/>
  <c r="C98" i="6"/>
  <c r="B98" i="6"/>
  <c r="A98" i="6"/>
  <c r="E97" i="6"/>
  <c r="D97" i="6"/>
  <c r="C97" i="6"/>
  <c r="B97" i="6"/>
  <c r="A97" i="6"/>
  <c r="E96" i="6"/>
  <c r="D96" i="6"/>
  <c r="C96" i="6"/>
  <c r="B96" i="6"/>
  <c r="A96" i="6"/>
  <c r="E95" i="6"/>
  <c r="D95" i="6"/>
  <c r="C95" i="6"/>
  <c r="B95" i="6"/>
  <c r="A95" i="6"/>
  <c r="E94" i="6"/>
  <c r="D94" i="6"/>
  <c r="C94" i="6"/>
  <c r="B94" i="6"/>
  <c r="A94" i="6"/>
  <c r="E93" i="6"/>
  <c r="D93" i="6"/>
  <c r="C93" i="6"/>
  <c r="B93" i="6"/>
  <c r="A93" i="6"/>
  <c r="E92" i="6"/>
  <c r="D92" i="6"/>
  <c r="C92" i="6"/>
  <c r="B92" i="6"/>
  <c r="A92" i="6"/>
  <c r="E91" i="6"/>
  <c r="D91" i="6"/>
  <c r="C91" i="6"/>
  <c r="B91" i="6"/>
  <c r="A91" i="6"/>
  <c r="E90" i="6"/>
  <c r="D90" i="6"/>
  <c r="C90" i="6"/>
  <c r="B90" i="6"/>
  <c r="A90" i="6"/>
  <c r="E89" i="6"/>
  <c r="D89" i="6"/>
  <c r="C89" i="6"/>
  <c r="B89" i="6"/>
  <c r="A89" i="6"/>
  <c r="E88" i="6"/>
  <c r="D88" i="6"/>
  <c r="C88" i="6"/>
  <c r="B88" i="6"/>
  <c r="A88" i="6"/>
  <c r="E87" i="6"/>
  <c r="D87" i="6"/>
  <c r="C87" i="6"/>
  <c r="B87" i="6"/>
  <c r="A87" i="6"/>
  <c r="E86" i="6"/>
  <c r="D86" i="6"/>
  <c r="C86" i="6"/>
  <c r="B86" i="6"/>
  <c r="A86" i="6"/>
  <c r="E85" i="6"/>
  <c r="D85" i="6"/>
  <c r="C85" i="6"/>
  <c r="B85" i="6"/>
  <c r="A85" i="6"/>
  <c r="E84" i="6"/>
  <c r="D84" i="6"/>
  <c r="C84" i="6"/>
  <c r="B84" i="6"/>
  <c r="A84" i="6"/>
  <c r="E83" i="6"/>
  <c r="D83" i="6"/>
  <c r="C83" i="6"/>
  <c r="B83" i="6"/>
  <c r="A83" i="6"/>
  <c r="E82" i="6"/>
  <c r="D82" i="6"/>
  <c r="C82" i="6"/>
  <c r="B82" i="6"/>
  <c r="A82" i="6"/>
  <c r="E81" i="6"/>
  <c r="D81" i="6"/>
  <c r="C81" i="6"/>
  <c r="B81" i="6"/>
  <c r="A81" i="6"/>
  <c r="E80" i="6"/>
  <c r="D80" i="6"/>
  <c r="C80" i="6"/>
  <c r="B80" i="6"/>
  <c r="A80" i="6"/>
  <c r="E79" i="6"/>
  <c r="D79" i="6"/>
  <c r="C79" i="6"/>
  <c r="B79" i="6"/>
  <c r="A79" i="6"/>
  <c r="E78" i="6"/>
  <c r="D78" i="6"/>
  <c r="C78" i="6"/>
  <c r="B78" i="6"/>
  <c r="A78" i="6"/>
  <c r="E77" i="6"/>
  <c r="D77" i="6"/>
  <c r="C77" i="6"/>
  <c r="B77" i="6"/>
  <c r="A77" i="6"/>
  <c r="E76" i="6"/>
  <c r="D76" i="6"/>
  <c r="C76" i="6"/>
  <c r="B76" i="6"/>
  <c r="A76" i="6"/>
  <c r="E75" i="6"/>
  <c r="D75" i="6"/>
  <c r="C75" i="6"/>
  <c r="B75" i="6"/>
  <c r="A75" i="6"/>
  <c r="E74" i="6"/>
  <c r="D74" i="6"/>
  <c r="C74" i="6"/>
  <c r="B74" i="6"/>
  <c r="A74" i="6"/>
  <c r="E73" i="6"/>
  <c r="D73" i="6"/>
  <c r="C73" i="6"/>
  <c r="B73" i="6"/>
  <c r="A73" i="6"/>
  <c r="E72" i="6"/>
  <c r="D72" i="6"/>
  <c r="C72" i="6"/>
  <c r="A72" i="6"/>
  <c r="E71" i="6"/>
  <c r="D71" i="6"/>
  <c r="C71" i="6"/>
  <c r="B71" i="6"/>
  <c r="A71" i="6"/>
  <c r="E70" i="6"/>
  <c r="D70" i="6"/>
  <c r="C70" i="6"/>
  <c r="B70" i="6"/>
  <c r="A70" i="6"/>
  <c r="E69" i="6"/>
  <c r="D69" i="6"/>
  <c r="C69" i="6"/>
  <c r="B69" i="6"/>
  <c r="A69" i="6"/>
  <c r="E68" i="6"/>
  <c r="D68" i="6"/>
  <c r="C68" i="6"/>
  <c r="B68" i="6"/>
  <c r="A68" i="6"/>
  <c r="E67" i="6"/>
  <c r="D67" i="6"/>
  <c r="C67" i="6"/>
  <c r="B67" i="6"/>
  <c r="A67" i="6"/>
  <c r="E66" i="6"/>
  <c r="D66" i="6"/>
  <c r="C66" i="6"/>
  <c r="B66" i="6"/>
  <c r="A66" i="6"/>
  <c r="E65" i="6"/>
  <c r="D65" i="6"/>
  <c r="C65" i="6"/>
  <c r="B65" i="6"/>
  <c r="A65" i="6"/>
  <c r="E64" i="6"/>
  <c r="D64" i="6"/>
  <c r="C64" i="6"/>
  <c r="B64" i="6"/>
  <c r="A64" i="6"/>
  <c r="E63" i="6"/>
  <c r="D63" i="6"/>
  <c r="C63" i="6"/>
  <c r="B63" i="6"/>
  <c r="A63" i="6"/>
  <c r="E62" i="6"/>
  <c r="D62" i="6"/>
  <c r="C62" i="6"/>
  <c r="B62" i="6"/>
  <c r="A62" i="6"/>
  <c r="E61" i="6"/>
  <c r="D61" i="6"/>
  <c r="C61" i="6"/>
  <c r="B61" i="6"/>
  <c r="A61" i="6"/>
  <c r="E60" i="6"/>
  <c r="D60" i="6"/>
  <c r="C60" i="6"/>
  <c r="B60" i="6"/>
  <c r="A60" i="6"/>
  <c r="E59" i="6"/>
  <c r="D59" i="6"/>
  <c r="C59" i="6"/>
  <c r="B59" i="6"/>
  <c r="A59" i="6"/>
  <c r="E58" i="6"/>
  <c r="D58" i="6"/>
  <c r="C58" i="6"/>
  <c r="B58" i="6"/>
  <c r="A58" i="6"/>
  <c r="E57" i="6"/>
  <c r="D57" i="6"/>
  <c r="C57" i="6"/>
  <c r="B57" i="6"/>
  <c r="A57" i="6"/>
  <c r="E56" i="6"/>
  <c r="D56" i="6"/>
  <c r="C56" i="6"/>
  <c r="B56" i="6"/>
  <c r="A56" i="6"/>
  <c r="E55" i="6"/>
  <c r="D55" i="6"/>
  <c r="C55" i="6"/>
  <c r="B55" i="6"/>
  <c r="A55" i="6"/>
  <c r="E54" i="6"/>
  <c r="D54" i="6"/>
  <c r="C54" i="6"/>
  <c r="B54" i="6"/>
  <c r="A54" i="6"/>
  <c r="E53" i="6"/>
  <c r="D53" i="6"/>
  <c r="C53" i="6"/>
  <c r="B53" i="6"/>
  <c r="A53" i="6"/>
  <c r="E52" i="6"/>
  <c r="D52" i="6"/>
  <c r="C52" i="6"/>
  <c r="B52" i="6"/>
  <c r="A52" i="6"/>
  <c r="E51" i="6"/>
  <c r="D51" i="6"/>
  <c r="C51" i="6"/>
  <c r="B51" i="6"/>
  <c r="A51" i="6"/>
  <c r="E50" i="6"/>
  <c r="D50" i="6"/>
  <c r="C50" i="6"/>
  <c r="B50" i="6"/>
  <c r="A50" i="6"/>
  <c r="E49" i="6"/>
  <c r="D49" i="6"/>
  <c r="C49" i="6"/>
  <c r="B49" i="6"/>
  <c r="A49" i="6"/>
  <c r="E48" i="6"/>
  <c r="D48" i="6"/>
  <c r="C48" i="6"/>
  <c r="B48" i="6"/>
  <c r="A48" i="6"/>
  <c r="E47" i="6"/>
  <c r="D47" i="6"/>
  <c r="C47" i="6"/>
  <c r="B47" i="6"/>
  <c r="A47" i="6"/>
  <c r="E46" i="6"/>
  <c r="D46" i="6"/>
  <c r="C46" i="6"/>
  <c r="B46" i="6"/>
  <c r="A46" i="6"/>
  <c r="E45" i="6"/>
  <c r="D45" i="6"/>
  <c r="C45" i="6"/>
  <c r="B45" i="6"/>
  <c r="A45" i="6"/>
  <c r="E44" i="6"/>
  <c r="D44" i="6"/>
  <c r="C44" i="6"/>
  <c r="B44" i="6"/>
  <c r="A44" i="6"/>
  <c r="E43" i="6"/>
  <c r="D43" i="6"/>
  <c r="C43" i="6"/>
  <c r="B43" i="6"/>
  <c r="A43" i="6"/>
  <c r="E42" i="6"/>
  <c r="D42" i="6"/>
  <c r="C42" i="6"/>
  <c r="B42" i="6"/>
  <c r="A42" i="6"/>
  <c r="E41" i="6"/>
  <c r="D41" i="6"/>
  <c r="C41" i="6"/>
  <c r="B41" i="6"/>
  <c r="A41" i="6"/>
  <c r="E40" i="6"/>
  <c r="D40" i="6"/>
  <c r="C40" i="6"/>
  <c r="B40" i="6"/>
  <c r="A40" i="6"/>
  <c r="E39" i="6"/>
  <c r="D39" i="6"/>
  <c r="C39" i="6"/>
  <c r="B39" i="6"/>
  <c r="A39" i="6"/>
  <c r="E38" i="6"/>
  <c r="D38" i="6"/>
  <c r="C38" i="6"/>
  <c r="B38" i="6"/>
  <c r="A38" i="6"/>
  <c r="E37" i="6"/>
  <c r="D37" i="6"/>
  <c r="C37" i="6"/>
  <c r="B37" i="6"/>
  <c r="A37" i="6"/>
  <c r="E36" i="6"/>
  <c r="D36" i="6"/>
  <c r="C36" i="6"/>
  <c r="B36" i="6"/>
  <c r="A36" i="6"/>
  <c r="E35" i="6"/>
  <c r="D35" i="6"/>
  <c r="C35" i="6"/>
  <c r="B35" i="6"/>
  <c r="A35" i="6"/>
  <c r="E34" i="6"/>
  <c r="D34" i="6"/>
  <c r="C34" i="6"/>
  <c r="B34" i="6"/>
  <c r="A34" i="6"/>
  <c r="E33" i="6"/>
  <c r="D33" i="6"/>
  <c r="C33" i="6"/>
  <c r="B33" i="6"/>
  <c r="A33" i="6"/>
  <c r="E32" i="6"/>
  <c r="D32" i="6"/>
  <c r="C32" i="6"/>
  <c r="B32" i="6"/>
  <c r="A32" i="6"/>
  <c r="E31" i="6"/>
  <c r="D31" i="6"/>
  <c r="C31" i="6"/>
  <c r="B31" i="6"/>
  <c r="A31" i="6"/>
  <c r="E30" i="6"/>
  <c r="D30" i="6"/>
  <c r="C30" i="6"/>
  <c r="B30" i="6"/>
  <c r="A30" i="6"/>
  <c r="E29" i="6"/>
  <c r="D29" i="6"/>
  <c r="C29" i="6"/>
  <c r="B29" i="6"/>
  <c r="A29" i="6"/>
  <c r="E28" i="6"/>
  <c r="D28" i="6"/>
  <c r="C28" i="6"/>
  <c r="B28" i="6"/>
  <c r="A28" i="6"/>
  <c r="E27" i="6"/>
  <c r="D27" i="6"/>
  <c r="C27" i="6"/>
  <c r="B27" i="6"/>
  <c r="A27" i="6"/>
  <c r="E26" i="6"/>
  <c r="D26" i="6"/>
  <c r="C26" i="6"/>
  <c r="B26" i="6"/>
  <c r="A26" i="6"/>
  <c r="E25" i="6"/>
  <c r="D25" i="6"/>
  <c r="C25" i="6"/>
  <c r="B25" i="6"/>
  <c r="A25" i="6"/>
  <c r="E24" i="6"/>
  <c r="D24" i="6"/>
  <c r="C24" i="6"/>
  <c r="B24" i="6"/>
  <c r="A24" i="6"/>
  <c r="E23" i="6"/>
  <c r="D23" i="6"/>
  <c r="C23" i="6"/>
  <c r="B23" i="6"/>
  <c r="A23" i="6"/>
  <c r="E22" i="6"/>
  <c r="D22" i="6"/>
  <c r="C22" i="6"/>
  <c r="B22" i="6"/>
  <c r="A22" i="6"/>
  <c r="E21" i="6"/>
  <c r="D21" i="6"/>
  <c r="C21" i="6"/>
  <c r="B21" i="6"/>
  <c r="A21" i="6"/>
  <c r="E20" i="6"/>
  <c r="D20" i="6"/>
  <c r="C20" i="6"/>
  <c r="B20" i="6"/>
  <c r="A20" i="6"/>
  <c r="E19" i="6"/>
  <c r="D19" i="6"/>
  <c r="C19" i="6"/>
  <c r="B19" i="6"/>
  <c r="A19" i="6"/>
  <c r="E18" i="6"/>
  <c r="D18" i="6"/>
  <c r="C18" i="6"/>
  <c r="B18" i="6"/>
  <c r="A18" i="6"/>
  <c r="E17" i="6"/>
  <c r="D17" i="6"/>
  <c r="C17" i="6"/>
  <c r="B17" i="6"/>
  <c r="A17" i="6"/>
  <c r="E16" i="6"/>
  <c r="D16" i="6"/>
  <c r="C16" i="6"/>
  <c r="B16" i="6"/>
  <c r="A16" i="6"/>
  <c r="E15" i="6"/>
  <c r="D15" i="6"/>
  <c r="C15" i="6"/>
  <c r="B15" i="6"/>
  <c r="A15" i="6"/>
  <c r="E14" i="6"/>
  <c r="D14" i="6"/>
  <c r="C14" i="6"/>
  <c r="B14" i="6"/>
  <c r="A14" i="6"/>
  <c r="E13" i="6"/>
  <c r="D13" i="6"/>
  <c r="C13" i="6"/>
  <c r="B13" i="6"/>
  <c r="A13" i="6"/>
  <c r="E12" i="6"/>
  <c r="D12" i="6"/>
  <c r="C12" i="6"/>
  <c r="B12" i="6"/>
  <c r="A12" i="6"/>
  <c r="E11" i="6"/>
  <c r="D11" i="6"/>
  <c r="C11" i="6"/>
  <c r="B11" i="6"/>
  <c r="A11" i="6"/>
  <c r="E10" i="6"/>
  <c r="D10" i="6"/>
  <c r="C10" i="6"/>
  <c r="B10" i="6"/>
  <c r="A10" i="6"/>
  <c r="E9" i="6"/>
  <c r="D9" i="6"/>
  <c r="C9" i="6"/>
  <c r="B9" i="6"/>
  <c r="A9" i="6"/>
  <c r="E8" i="6"/>
  <c r="D8" i="6"/>
  <c r="C8" i="6"/>
  <c r="B8" i="6"/>
  <c r="A8" i="6"/>
  <c r="E7" i="6"/>
  <c r="D7" i="6"/>
  <c r="C7" i="6"/>
  <c r="B7" i="6"/>
  <c r="A7" i="6"/>
  <c r="E6" i="6"/>
  <c r="D6" i="6"/>
  <c r="C6" i="6"/>
  <c r="A6" i="6"/>
  <c r="E5" i="6"/>
  <c r="D5" i="6"/>
  <c r="C5" i="6"/>
  <c r="B5" i="6"/>
  <c r="A5" i="6"/>
  <c r="H3" i="4"/>
  <c r="G3" i="4"/>
  <c r="F3" i="4"/>
  <c r="E3" i="4"/>
  <c r="D3" i="4"/>
  <c r="C3" i="4"/>
  <c r="B3" i="4"/>
  <c r="A3" i="4"/>
</calcChain>
</file>

<file path=xl/comments1.xml><?xml version="1.0" encoding="utf-8"?>
<comments xmlns="http://schemas.openxmlformats.org/spreadsheetml/2006/main">
  <authors>
    <author>OpenL</author>
  </authors>
  <commentList>
    <comment ref="A3" authorId="0">
      <text>
        <r>
          <rPr>
            <sz val="11"/>
            <color theme="1"/>
            <rFont val="Calibri"/>
            <family val="2"/>
            <scheme val="minor"/>
          </rPr>
          <t>Được phép chèn thêm hàng sau hàng này</t>
        </r>
      </text>
    </comment>
  </commentList>
</comments>
</file>

<file path=xl/sharedStrings.xml><?xml version="1.0" encoding="utf-8"?>
<sst xmlns="http://schemas.openxmlformats.org/spreadsheetml/2006/main" count="1801" uniqueCount="783">
  <si>
    <t>STT</t>
  </si>
  <si>
    <t>Ghi chú</t>
  </si>
  <si>
    <t>Kính gửi: Ủy ban Chứng khoán Nhà nước</t>
  </si>
  <si>
    <t>Mã sheet</t>
  </si>
  <si>
    <t>Nội dung</t>
  </si>
  <si>
    <t/>
  </si>
  <si>
    <t>BÁO CÁO TÀI CHÍNH RIÊNG LẺ NĂM</t>
  </si>
  <si>
    <t>Thông tư số 334/2016/TT-BTC ngày 27/12/2016 của Bộ Tài chính</t>
  </si>
  <si>
    <t>THÔNG TIN KIỂM TOÁN</t>
  </si>
  <si>
    <t>KT_06618</t>
  </si>
  <si>
    <t>BÁO CÁO TÌNH HÌNH TÀI CHÍNH RIÊNG</t>
  </si>
  <si>
    <t>BCTCR_06608</t>
  </si>
  <si>
    <t xml:space="preserve">CÁC CHỈ TIÊU NGOÀI BÁO CÁO TÌNH HÌNH TÀI CHÍNH RIÊNG				</t>
  </si>
  <si>
    <t>CCTTCR_06609</t>
  </si>
  <si>
    <t>BÁO CÁO KẾT QUẢ HOẠT ĐỘNG RIÊNG</t>
  </si>
  <si>
    <t>BCKQHDR_06610</t>
  </si>
  <si>
    <t xml:space="preserve">BÁO CÁO LƯU CHUYỂN TIỀN TỆ RIÊNG			</t>
  </si>
  <si>
    <t>BCLCTTRTT_06611</t>
  </si>
  <si>
    <t xml:space="preserve">PHẦN LƯU CHUYỂN TIỀN TỆ HOẠT ĐỘNG MÔI GIỚI, ỦY THÁC CỦA KHÁCH HÀNG				</t>
  </si>
  <si>
    <t>PLCTTHDMGUTCKHTT_06612</t>
  </si>
  <si>
    <t xml:space="preserve">BÁO CÁO LƯU CHUYỂN TIỀN TỆ RIÊNG		</t>
  </si>
  <si>
    <t>BCLCTTRGT_06613</t>
  </si>
  <si>
    <t xml:space="preserve">PHẦN LƯU CHUYỂN TIỀN TỆ HOẠT ĐỘNG MÔI GIỚI, ỦY THÁC CỦA KHÁCH HÀNG		</t>
  </si>
  <si>
    <t>PLCTTHDMGUTCKHGT_06614</t>
  </si>
  <si>
    <t xml:space="preserve">BÁO CÁO TÌNH HÌNH BIẾN ĐỘNG VỐN CHỦ SỞ HỮU									</t>
  </si>
  <si>
    <t>BCTHBDVCSH_06615</t>
  </si>
  <si>
    <t>Không đổi tên sheet
Những chỉ tiêu không có số liệu có thể không phải trình bày nhưng không được đánh lại “Mã chỉ tiêu”.
Không được xóa cột trên sheet</t>
  </si>
  <si>
    <t>Lập, ngày … tháng … năm …</t>
  </si>
  <si>
    <t>Người lập biểu</t>
  </si>
  <si>
    <t>Kế toán trưởng</t>
  </si>
  <si>
    <t>Giám đốc</t>
  </si>
  <si>
    <t>(Ký, họ tên)</t>
  </si>
  <si>
    <t>(Ký, họ tên, đóng dấu)</t>
  </si>
  <si>
    <t>Người đại diện KT</t>
  </si>
  <si>
    <t>Chức vụ</t>
  </si>
  <si>
    <t>Giấy chứng nhận</t>
  </si>
  <si>
    <t>Người kiểm toán</t>
  </si>
  <si>
    <t>Ngày kiểm toán</t>
  </si>
  <si>
    <t>Ý kiến kiểm toán</t>
  </si>
  <si>
    <t>...</t>
  </si>
  <si>
    <t>Chỉ tiêu</t>
  </si>
  <si>
    <t>Mã số</t>
  </si>
  <si>
    <t>Thuyết minh</t>
  </si>
  <si>
    <t>Số cuối năm</t>
  </si>
  <si>
    <t>Số đầu năm</t>
  </si>
  <si>
    <t>Tại ngày ... tháng ... năm ...(1)</t>
  </si>
  <si>
    <t xml:space="preserve"> Đơn vị tính: Đồng Việt Nam</t>
  </si>
  <si>
    <t xml:space="preserve">   - Đánh giá TSCĐHH theo giá trị hợp lý</t>
  </si>
  <si>
    <t xml:space="preserve">  - Giá trị hao mòn luỹ kế (*)</t>
  </si>
  <si>
    <t>4. Tiền nộp Quỹ Hỗ trợ thanh toán</t>
  </si>
  <si>
    <t xml:space="preserve"> (270 = 100 + 200)</t>
  </si>
  <si>
    <t>C. NỢ PHẢI TRẢ (300 = 310 + 340)</t>
  </si>
  <si>
    <t>7. Chi phí phải trả dài hạn</t>
  </si>
  <si>
    <t>I. Tài sản tài chính</t>
  </si>
  <si>
    <t>1.1. Tiền</t>
  </si>
  <si>
    <t>2. Các tài sản tài chính ghi nhận thông qua lãi/lỗ (FVTPL)</t>
  </si>
  <si>
    <t>5. Tài sản tài chính sẵn sàng để bán (AFS)</t>
  </si>
  <si>
    <t>7. Các khoản phải thu</t>
  </si>
  <si>
    <t xml:space="preserve">7.1. Phải thu bán các tài sản tài chính </t>
  </si>
  <si>
    <t>9. Phải thu các dịch vụ CTCK cung cấp</t>
  </si>
  <si>
    <t>11. Phải thu về lỗi giao dịch chứng khoán</t>
  </si>
  <si>
    <t>B. TÀI SẢN DÀI HẠN (200 = 210 + 220 + 230 + 240 + 250 - 260)</t>
  </si>
  <si>
    <t xml:space="preserve">2.3. Đầu tư vào công ty liên doanh, liên kết </t>
  </si>
  <si>
    <t>2. Tài sản cố định thuê tài chính</t>
  </si>
  <si>
    <t xml:space="preserve">   - Nguyên giá</t>
  </si>
  <si>
    <t xml:space="preserve">   - Đánh giá TSCĐTTC theo giá trị hợp lý</t>
  </si>
  <si>
    <t>3. Tài sản cố định vô hình</t>
  </si>
  <si>
    <t xml:space="preserve">  - Nguyên giá</t>
  </si>
  <si>
    <t>IV.Chi phí xây dựng cơ bản dở dang</t>
  </si>
  <si>
    <t>1. Cầm cố, thế chấp, ký quỹ, ký cược dài hạn</t>
  </si>
  <si>
    <t>15. Doanh thu chưa thực hiện ngắn hạn</t>
  </si>
  <si>
    <t>16. Nhận ký quỹ, ký cược ngắn hạn</t>
  </si>
  <si>
    <t>19. Quỹ khen thưởng, phúc lợi</t>
  </si>
  <si>
    <t xml:space="preserve"> 3.Trái phiếu chuyển đổi dài hạn - Cấu phần nợ</t>
  </si>
  <si>
    <t>B</t>
  </si>
  <si>
    <t>TỔNG CỘNG TÀI SẢN</t>
  </si>
  <si>
    <t>2. Chi phí trả trước dài hạn</t>
  </si>
  <si>
    <t>D. VỐN CHỦ SỞ HỮU</t>
  </si>
  <si>
    <t>1.2. Các khoản tương đương tiền</t>
  </si>
  <si>
    <t xml:space="preserve">7.2.2. Dự thu cổ tức, tiền lãi chưa đến ngày nhận </t>
  </si>
  <si>
    <t>10. Phải thu nội bộ</t>
  </si>
  <si>
    <t>1. Tạm ứng</t>
  </si>
  <si>
    <t>2. Vật tư văn phòng, công cụ, dụng cụ</t>
  </si>
  <si>
    <t>5. Thuế giá trị gia tăng được khấu trừ</t>
  </si>
  <si>
    <t>7. Tài sản ngắn hạn khác</t>
  </si>
  <si>
    <t>117.3</t>
  </si>
  <si>
    <t xml:space="preserve">119
</t>
  </si>
  <si>
    <t>133</t>
  </si>
  <si>
    <t xml:space="preserve">139
</t>
  </si>
  <si>
    <t xml:space="preserve">211
</t>
  </si>
  <si>
    <t xml:space="preserve">225
</t>
  </si>
  <si>
    <t xml:space="preserve">240
</t>
  </si>
  <si>
    <t xml:space="preserve">328
</t>
  </si>
  <si>
    <t xml:space="preserve">330
</t>
  </si>
  <si>
    <t xml:space="preserve">332
</t>
  </si>
  <si>
    <t xml:space="preserve">344
</t>
  </si>
  <si>
    <t xml:space="preserve">411.1
</t>
  </si>
  <si>
    <t xml:space="preserve">411.1b
</t>
  </si>
  <si>
    <t>3. Chi phí trả trước ngắn hạn</t>
  </si>
  <si>
    <t>9. Dự phòng suy giảm giá trị tài sản ngắn hạn khác</t>
  </si>
  <si>
    <t>2.1.Các khoản đầu tư nắm giữ đến ngày đáo hạn</t>
  </si>
  <si>
    <t xml:space="preserve">2.2. Đầu tư vào công ty con </t>
  </si>
  <si>
    <t xml:space="preserve">   - Giá trị hao mòn luỹ kế (*)</t>
  </si>
  <si>
    <t>8. Phải trả nội bộ dài hạn</t>
  </si>
  <si>
    <t xml:space="preserve">14. Thuế thu nhập hoãn lại phải trả </t>
  </si>
  <si>
    <t>1. Vốn đầu tư của chủ sở hữu</t>
  </si>
  <si>
    <t>12. Dự phòng phải trả dài hạn</t>
  </si>
  <si>
    <t xml:space="preserve">b. Cổ phiếu ưu đãi </t>
  </si>
  <si>
    <t>3. Chênh lệch tỷ giá hối đoái</t>
  </si>
  <si>
    <t>7.1. Lợi nhuận sau thuế đã thực hiện</t>
  </si>
  <si>
    <t xml:space="preserve">112
</t>
  </si>
  <si>
    <t>114</t>
  </si>
  <si>
    <t>117</t>
  </si>
  <si>
    <t>122</t>
  </si>
  <si>
    <t xml:space="preserve">129
</t>
  </si>
  <si>
    <t>134</t>
  </si>
  <si>
    <t xml:space="preserve">213
</t>
  </si>
  <si>
    <t xml:space="preserve">227
</t>
  </si>
  <si>
    <t xml:space="preserve">250
</t>
  </si>
  <si>
    <t xml:space="preserve">255
</t>
  </si>
  <si>
    <t xml:space="preserve">420
</t>
  </si>
  <si>
    <t xml:space="preserve">315
</t>
  </si>
  <si>
    <t xml:space="preserve">317
</t>
  </si>
  <si>
    <t xml:space="preserve">341
</t>
  </si>
  <si>
    <t xml:space="preserve">357
</t>
  </si>
  <si>
    <t>1. Các khoản phải thu dài hạn</t>
  </si>
  <si>
    <t xml:space="preserve">  - Đánh giá TSCĐVH theo giá trị hợp lý</t>
  </si>
  <si>
    <t>5. Tài sản dài hạn khác</t>
  </si>
  <si>
    <t xml:space="preserve">414
</t>
  </si>
  <si>
    <t xml:space="preserve">416
</t>
  </si>
  <si>
    <t xml:space="preserve">417.1
</t>
  </si>
  <si>
    <t xml:space="preserve">417
</t>
  </si>
  <si>
    <t xml:space="preserve">417.2
</t>
  </si>
  <si>
    <t>3. Tài sản thuế thu nhập hoãn lại</t>
  </si>
  <si>
    <t>I. Nợ phải trả ngắn hạn</t>
  </si>
  <si>
    <t xml:space="preserve">1.1. Vay ngắn hạn </t>
  </si>
  <si>
    <t>17.Các khoản phải trả, phải nộp khác ngắn hạn</t>
  </si>
  <si>
    <t>1.1.Vay dài hạn</t>
  </si>
  <si>
    <t xml:space="preserve"> 6. Người mua trả tiền trước dài hạn</t>
  </si>
  <si>
    <t>11. Các khoản phải trả, phải nộp khác dài hạn</t>
  </si>
  <si>
    <t xml:space="preserve">TỔNG CỘNG NỢ  VÀ VỐN CHỦ SỞ HỮU </t>
  </si>
  <si>
    <t>117.2</t>
  </si>
  <si>
    <t>131</t>
  </si>
  <si>
    <t xml:space="preserve">138
</t>
  </si>
  <si>
    <t xml:space="preserve">200
</t>
  </si>
  <si>
    <t>210</t>
  </si>
  <si>
    <t xml:space="preserve">411.4
</t>
  </si>
  <si>
    <t>1</t>
  </si>
  <si>
    <t>TÀI SẢN</t>
  </si>
  <si>
    <t>A. TÀI SẢN NGẮN HẠN (100 = 110 + 130)</t>
  </si>
  <si>
    <t>1.Tiền và các khoản tương đương tiền</t>
  </si>
  <si>
    <t>3. Các  khoản đầu tư  nắm giữ đến ngày đáo hạn (HTM)</t>
  </si>
  <si>
    <t>4. Các khoản cho vay</t>
  </si>
  <si>
    <t xml:space="preserve">6. Dự phòng suy giảm giá trị các tài sản tài chính và tài sản thế chấp
</t>
  </si>
  <si>
    <t>7.2.1. Phải thu cổ tức, tiền lãi đến ngày nhận</t>
  </si>
  <si>
    <t>12. Các khoản phải thu khác</t>
  </si>
  <si>
    <t>6. Thuế và các khoản khác phải thu Nhà nước</t>
  </si>
  <si>
    <t>8. Giao dịch mua bán lại trái phiếu Chính phủ</t>
  </si>
  <si>
    <t xml:space="preserve">I. Tài sản tài chính dài hạn </t>
  </si>
  <si>
    <t>2. Các khoản đầu tư</t>
  </si>
  <si>
    <t>1. Tài sản cố định hữu hình</t>
  </si>
  <si>
    <t>7. Phải trả về lỗi giao dịch các tài sản tài chính</t>
  </si>
  <si>
    <t>8.  Phải trả người bán ngắn hạn</t>
  </si>
  <si>
    <t>9. Người mua trả tiền trước ngắn hạn</t>
  </si>
  <si>
    <t>10. Thuế và các khoản phải nộp Nhà nước</t>
  </si>
  <si>
    <t>11. Phải trả người lao động</t>
  </si>
  <si>
    <t>12.Các khoản trích nộp phúc lợi nhân viên</t>
  </si>
  <si>
    <t>4. Cầm cố, thế chấp, ký quỹ, ký cược ngắn hạn</t>
  </si>
  <si>
    <t>111.2</t>
  </si>
  <si>
    <t>115</t>
  </si>
  <si>
    <t xml:space="preserve">221
</t>
  </si>
  <si>
    <t>13. Chi phí phải trả ngắn hạn</t>
  </si>
  <si>
    <t>14. Phải trả nội bộ ngắn hạn</t>
  </si>
  <si>
    <t xml:space="preserve">a. Cổ phiếu phổ thông có quyền biểu quyết </t>
  </si>
  <si>
    <t xml:space="preserve">1.4. Vốn khác của chủ sở hữu </t>
  </si>
  <si>
    <t>5. Quỹ dự phòng tài chính và rủi ro nghiệp vụ</t>
  </si>
  <si>
    <t>3. Trái phiếu chuyển đổi ngắn hạn - Cấu phần nợ</t>
  </si>
  <si>
    <t>4. Trái phiếu phát hành ngắn hạn</t>
  </si>
  <si>
    <t xml:space="preserve">5. Vay Quỹ Hỗ trợ thanh toán </t>
  </si>
  <si>
    <t>18. Dự phòng phải trả ngắn hạn</t>
  </si>
  <si>
    <t xml:space="preserve">342
</t>
  </si>
  <si>
    <t xml:space="preserve">13. Quỹ bảo vệ Nhà đầu tư </t>
  </si>
  <si>
    <t xml:space="preserve">343
</t>
  </si>
  <si>
    <t>111</t>
  </si>
  <si>
    <t>113</t>
  </si>
  <si>
    <t xml:space="preserve">117.4
</t>
  </si>
  <si>
    <t xml:space="preserve">132
</t>
  </si>
  <si>
    <t>135</t>
  </si>
  <si>
    <t>137</t>
  </si>
  <si>
    <t xml:space="preserve">212.4
</t>
  </si>
  <si>
    <t xml:space="preserve">226b
</t>
  </si>
  <si>
    <t xml:space="preserve">229a
</t>
  </si>
  <si>
    <t xml:space="preserve">231
</t>
  </si>
  <si>
    <t xml:space="preserve">232b
</t>
  </si>
  <si>
    <t xml:space="preserve">252
</t>
  </si>
  <si>
    <t xml:space="preserve">270
</t>
  </si>
  <si>
    <t xml:space="preserve">300
</t>
  </si>
  <si>
    <t xml:space="preserve">311
</t>
  </si>
  <si>
    <t xml:space="preserve">313
</t>
  </si>
  <si>
    <t xml:space="preserve">314
</t>
  </si>
  <si>
    <t xml:space="preserve">316
</t>
  </si>
  <si>
    <t xml:space="preserve">321
</t>
  </si>
  <si>
    <t xml:space="preserve">326
</t>
  </si>
  <si>
    <t xml:space="preserve">331
</t>
  </si>
  <si>
    <t xml:space="preserve">340
</t>
  </si>
  <si>
    <t xml:space="preserve">345
</t>
  </si>
  <si>
    <t xml:space="preserve">347
</t>
  </si>
  <si>
    <t xml:space="preserve">349
</t>
  </si>
  <si>
    <t xml:space="preserve">324
</t>
  </si>
  <si>
    <t xml:space="preserve">325
</t>
  </si>
  <si>
    <t xml:space="preserve">327
</t>
  </si>
  <si>
    <t xml:space="preserve">329
</t>
  </si>
  <si>
    <t>440</t>
  </si>
  <si>
    <t>(440 = 300 + 400)</t>
  </si>
  <si>
    <t xml:space="preserve">260
</t>
  </si>
  <si>
    <t xml:space="preserve">310
</t>
  </si>
  <si>
    <t xml:space="preserve">312
</t>
  </si>
  <si>
    <t xml:space="preserve">318
</t>
  </si>
  <si>
    <t xml:space="preserve">319
</t>
  </si>
  <si>
    <t>1. Vay và nợ thuê tài chính dài hạn</t>
  </si>
  <si>
    <t xml:space="preserve">320
</t>
  </si>
  <si>
    <t xml:space="preserve">322
</t>
  </si>
  <si>
    <t xml:space="preserve">323
</t>
  </si>
  <si>
    <t xml:space="preserve">350
</t>
  </si>
  <si>
    <t xml:space="preserve">352
</t>
  </si>
  <si>
    <t xml:space="preserve">353
</t>
  </si>
  <si>
    <t xml:space="preserve">355
</t>
  </si>
  <si>
    <t xml:space="preserve">400
</t>
  </si>
  <si>
    <t xml:space="preserve">411.2
</t>
  </si>
  <si>
    <t xml:space="preserve">411.5
</t>
  </si>
  <si>
    <t xml:space="preserve">412
</t>
  </si>
  <si>
    <t xml:space="preserve">212.1
</t>
  </si>
  <si>
    <t xml:space="preserve">212.2
</t>
  </si>
  <si>
    <t xml:space="preserve">212.3
</t>
  </si>
  <si>
    <t xml:space="preserve">220
</t>
  </si>
  <si>
    <t xml:space="preserve">222
</t>
  </si>
  <si>
    <t xml:space="preserve">223a
</t>
  </si>
  <si>
    <t xml:space="preserve">223b
</t>
  </si>
  <si>
    <t xml:space="preserve">224
</t>
  </si>
  <si>
    <t xml:space="preserve">226a
</t>
  </si>
  <si>
    <t xml:space="preserve">228
</t>
  </si>
  <si>
    <t xml:space="preserve">229b
</t>
  </si>
  <si>
    <t xml:space="preserve">230
</t>
  </si>
  <si>
    <t xml:space="preserve">232a
</t>
  </si>
  <si>
    <t xml:space="preserve">251
</t>
  </si>
  <si>
    <t xml:space="preserve">253
</t>
  </si>
  <si>
    <t xml:space="preserve">254
</t>
  </si>
  <si>
    <t>2.4. Đầu tư dài hạn khác</t>
  </si>
  <si>
    <t>VI. Dự phòng suy giảm giá trị tài sản dài hạn</t>
  </si>
  <si>
    <t>1. Vay và nợ thuê tài chính ngắn hạn</t>
  </si>
  <si>
    <t xml:space="preserve">118
</t>
  </si>
  <si>
    <t xml:space="preserve">120
</t>
  </si>
  <si>
    <t xml:space="preserve">121
</t>
  </si>
  <si>
    <t>136</t>
  </si>
  <si>
    <t xml:space="preserve">212
</t>
  </si>
  <si>
    <t>II. Nợ phải trả dài hạn</t>
  </si>
  <si>
    <t>1.2. Nợ thuê tài chính ngắn hạn</t>
  </si>
  <si>
    <t>4.Trái phiếu phát hành dài hạn</t>
  </si>
  <si>
    <t>5.  Phải trả người bán dài hạn</t>
  </si>
  <si>
    <t>9. Doanh thu chưa thực hiện dài hạn</t>
  </si>
  <si>
    <t>10. Nhận ký quỹ, ký cược dài hạn</t>
  </si>
  <si>
    <t>15. Quỹ phát triển khoa học và công nghệ</t>
  </si>
  <si>
    <t>1.1. Vốn góp của chủ sở hữu</t>
  </si>
  <si>
    <t>1.3. Quyền chọn chuyển đổi trái phiếu - Cấu phần vốn</t>
  </si>
  <si>
    <t>1.5. Cổ phiếu quỹ (*)</t>
  </si>
  <si>
    <t>4. Quỹ dự trữ bổ sung vốn  điều lệ</t>
  </si>
  <si>
    <t>7. Lợi nhuận chưa phân phối</t>
  </si>
  <si>
    <t>7.2. Lợi nhuận chưa thực hiện</t>
  </si>
  <si>
    <t>100</t>
  </si>
  <si>
    <t>3. Dự phòng suy giảm tài sản tài chính dài hạn</t>
  </si>
  <si>
    <t>II. Tài sản cố định</t>
  </si>
  <si>
    <t>III. Bất động sản đầu tư</t>
  </si>
  <si>
    <t xml:space="preserve">  - Đánh giá BĐSĐT theo giá trị hợp lý</t>
  </si>
  <si>
    <t>V. Tài sản dài hạn khác</t>
  </si>
  <si>
    <t xml:space="preserve">346
</t>
  </si>
  <si>
    <t xml:space="preserve">348
</t>
  </si>
  <si>
    <t xml:space="preserve">351
</t>
  </si>
  <si>
    <t xml:space="preserve">354
</t>
  </si>
  <si>
    <t xml:space="preserve">356
</t>
  </si>
  <si>
    <t xml:space="preserve">410
</t>
  </si>
  <si>
    <t xml:space="preserve">411
</t>
  </si>
  <si>
    <t xml:space="preserve">411.1a
</t>
  </si>
  <si>
    <t xml:space="preserve">411.3
</t>
  </si>
  <si>
    <t>C</t>
  </si>
  <si>
    <t>2</t>
  </si>
  <si>
    <t xml:space="preserve">130
</t>
  </si>
  <si>
    <t>6. Phải trả hoạt động giao dịch chứng khoán</t>
  </si>
  <si>
    <t xml:space="preserve">
</t>
  </si>
  <si>
    <t>A</t>
  </si>
  <si>
    <t xml:space="preserve">7.2. Phải thu và dự thu cổ tức, tiền lãi các tài sản tài chính
</t>
  </si>
  <si>
    <t>8. Trả trước cho người bán</t>
  </si>
  <si>
    <t>13. Dự phòng suy giảm giá trị các khoản phải thu (*)</t>
  </si>
  <si>
    <t>II. Tài sản ngắn hạn khác</t>
  </si>
  <si>
    <t>2. Vay tài sản tài chính ngắn hạn</t>
  </si>
  <si>
    <t xml:space="preserve">413
</t>
  </si>
  <si>
    <t xml:space="preserve">415
</t>
  </si>
  <si>
    <t>20. Giao dịch mua bán lại trái phiếu Chính phủ</t>
  </si>
  <si>
    <t>1.2. Nợ thuê tài chính dài hạn</t>
  </si>
  <si>
    <t>2. Vay tài sản tài chính dài hạn</t>
  </si>
  <si>
    <t xml:space="preserve"> (400 = 410 + 420)</t>
  </si>
  <si>
    <t>I. Vốn chủ sở hữu</t>
  </si>
  <si>
    <t>1.2. Thặng dư vốn cổ phần</t>
  </si>
  <si>
    <t>2. Chênh lệch đánh giá tài sản theo giá trị hợp lý</t>
  </si>
  <si>
    <t>6. Các Quỹ khác thuộc vốn chủ sở hữu</t>
  </si>
  <si>
    <t xml:space="preserve">II. Nguồn kinh phí và quỹ khác </t>
  </si>
  <si>
    <t>110</t>
  </si>
  <si>
    <t>111.1</t>
  </si>
  <si>
    <t>116</t>
  </si>
  <si>
    <t xml:space="preserve">117.1
</t>
  </si>
  <si>
    <t xml:space="preserve">6.Tài sản tài chính được hưởng quyền của Nhà đầu tư
</t>
  </si>
  <si>
    <t xml:space="preserve">8. Phải trả Nhà đầu tư về tiền gửi giao dịch chứng khoán theo phương thức CTCK quản lý
</t>
  </si>
  <si>
    <t>9</t>
  </si>
  <si>
    <t xml:space="preserve">3. Tài sản nhận thế chấp
</t>
  </si>
  <si>
    <t xml:space="preserve">25
</t>
  </si>
  <si>
    <t xml:space="preserve">27
</t>
  </si>
  <si>
    <t xml:space="preserve">28
</t>
  </si>
  <si>
    <t xml:space="preserve">9. Phải trả Tổ chức phát hành chứng khoán
</t>
  </si>
  <si>
    <t xml:space="preserve">21.1
</t>
  </si>
  <si>
    <t xml:space="preserve">22
</t>
  </si>
  <si>
    <t xml:space="preserve">22.1
</t>
  </si>
  <si>
    <t xml:space="preserve">024.a
</t>
  </si>
  <si>
    <t xml:space="preserve">8. Tài sản tài chính niêm yết/đăng ký giao dịch tại VSD của CTCK 
</t>
  </si>
  <si>
    <t xml:space="preserve">12. Tài sản tài chính chưa lưu ký tại VSD của CTCK 
</t>
  </si>
  <si>
    <t xml:space="preserve">29
</t>
  </si>
  <si>
    <t xml:space="preserve">21.3
</t>
  </si>
  <si>
    <t xml:space="preserve">21.5
</t>
  </si>
  <si>
    <t xml:space="preserve">21.6
</t>
  </si>
  <si>
    <t xml:space="preserve">22.2
</t>
  </si>
  <si>
    <t xml:space="preserve">23
</t>
  </si>
  <si>
    <t xml:space="preserve">024.b
</t>
  </si>
  <si>
    <t xml:space="preserve">26
</t>
  </si>
  <si>
    <t xml:space="preserve">31
</t>
  </si>
  <si>
    <t xml:space="preserve">34
</t>
  </si>
  <si>
    <t xml:space="preserve">A
</t>
  </si>
  <si>
    <t xml:space="preserve">A.TÀI SẢN CỦA CTCK VÀ TÀI SẢN QUẢN LÝ THEO CAM KẾT
</t>
  </si>
  <si>
    <t xml:space="preserve">6. Cổ phiếu đang lưu hành
</t>
  </si>
  <si>
    <t xml:space="preserve">11. Tài sản tài chính sửa lỗi giao dịch của CTCK 
</t>
  </si>
  <si>
    <t xml:space="preserve">B. TÀI SẢN VÀ CÁC KHOẢN PHẢI TRẢ VỀ TÀI SẢN QUẢN LÝ CAM KẾT VỚI KHÁCH HÀNG 
</t>
  </si>
  <si>
    <t>21.2</t>
  </si>
  <si>
    <t xml:space="preserve">35
</t>
  </si>
  <si>
    <t xml:space="preserve">e.Tài sản tài chính chờ thanh toán
</t>
  </si>
  <si>
    <t xml:space="preserve">29.1
</t>
  </si>
  <si>
    <t xml:space="preserve">7. Cổ phiếu quỹ
</t>
  </si>
  <si>
    <t xml:space="preserve">d.Tài sản tài chính phong tỏa, tạm giữ
</t>
  </si>
  <si>
    <t xml:space="preserve">2
</t>
  </si>
  <si>
    <t xml:space="preserve">9. Tài sản tài chính đã lưu ký tại VSD và chưa giao dịch của CTCK 
</t>
  </si>
  <si>
    <t xml:space="preserve">13.Tài sản tài chính được hưởng quyền của CTCK 
</t>
  </si>
  <si>
    <t xml:space="preserve">2. Tài sản tài chính đã lưu ký tại VSD và chưa giao dịch của Nhà đầu tư
</t>
  </si>
  <si>
    <t xml:space="preserve">a.Tài sản tài chính đã lưu ký tại VSD và chưa giao dịch, tự do chuyển nhượng
</t>
  </si>
  <si>
    <t xml:space="preserve">2. Chứng chỉ có giá nhận giữ hộ
</t>
  </si>
  <si>
    <t xml:space="preserve">4. Nợ khó đòi đã xử lý
</t>
  </si>
  <si>
    <t xml:space="preserve">a. Tiền gửi bù trừ và thanh toán giao dịch chứng khoán Nhà đầu tư trong nước
</t>
  </si>
  <si>
    <t>5</t>
  </si>
  <si>
    <t>8</t>
  </si>
  <si>
    <t>12</t>
  </si>
  <si>
    <t>13</t>
  </si>
  <si>
    <t xml:space="preserve">21.4
</t>
  </si>
  <si>
    <t xml:space="preserve">33
</t>
  </si>
  <si>
    <t xml:space="preserve">31.2
</t>
  </si>
  <si>
    <t xml:space="preserve">32
</t>
  </si>
  <si>
    <t xml:space="preserve">1. Tài sản cố định thuê ngoài
</t>
  </si>
  <si>
    <t>10</t>
  </si>
  <si>
    <t xml:space="preserve">1.Tài sản tài chính niêm yết/đăng ký giao dịch tại VSD của Nhà đầu tư
</t>
  </si>
  <si>
    <t xml:space="preserve">b.Tài sản tài chính đã lưu ký tại VSD và chưa giao dịch, hạn chế chuyển nhượng
</t>
  </si>
  <si>
    <t xml:space="preserve">5. Ngoại tệ các loại
</t>
  </si>
  <si>
    <t xml:space="preserve">10. Tài sản tài chính chờ về của CTCK 
</t>
  </si>
  <si>
    <t xml:space="preserve">b.Tài sản tài chính hạn chế chuyển nhượng
</t>
  </si>
  <si>
    <t xml:space="preserve">c.Tài sản tài chính đã lưu ký tại VSD và chưa giao dịch, cầm cố
</t>
  </si>
  <si>
    <t xml:space="preserve">d.Tài sản tài chính đã lưu ký tại VSD và chưa giao dịch, phong tỏa, tạm giữ
</t>
  </si>
  <si>
    <t xml:space="preserve">3. Tài sản tài chính chờ về của Nhà đầu tư
</t>
  </si>
  <si>
    <t xml:space="preserve">4. Tài sản tài chính sửa lỗi giao dịch của Nhà đầu tư
</t>
  </si>
  <si>
    <t xml:space="preserve">5.Tài sản tài chính chưa lưu ký tại VSD của Nhà đầu tư
</t>
  </si>
  <si>
    <t xml:space="preserve">a.Tài sản tài chính giao dịch tự do chuyển nhượng
</t>
  </si>
  <si>
    <t xml:space="preserve">c.Tài sản tài chính giao dịch cầm cố
</t>
  </si>
  <si>
    <t xml:space="preserve">f. Tài sản tài chính chờ cho vay
</t>
  </si>
  <si>
    <t xml:space="preserve">7. Tiền gửi của khách hàng
</t>
  </si>
  <si>
    <t xml:space="preserve">7.1. Tiền gửi của Nhà đầu tư về giao dịch chứng khoán theo phương thức CTCK quản lý
</t>
  </si>
  <si>
    <t xml:space="preserve">7.2.Tiền gửi tổng hợp giao dịch chứng khoán cho khách hàng
</t>
  </si>
  <si>
    <t xml:space="preserve">7.3. Tiền gửi bù trừ và thanh toán giao dịch chứng khoán
</t>
  </si>
  <si>
    <t xml:space="preserve">b. Tiền gửi bù trừ và thanh toán giao dịch chứng khoán Nhà đầu tư nước ngoài
</t>
  </si>
  <si>
    <t xml:space="preserve">7.4. Tiền gửi của Tổ chức phát hành chứng khoán
</t>
  </si>
  <si>
    <t xml:space="preserve">8.1. Phải trả Nhà đầu tư trong nước về tiền gửi giao dịch chứng khoán theo phương thức CTCK quản lý 
</t>
  </si>
  <si>
    <t xml:space="preserve">8.2. Phải trả Nhà đầu tư nước ngoài về tiền gửi giao dịch chứng khoán theo phương thức CTCK quản lý
</t>
  </si>
  <si>
    <t xml:space="preserve">10. Phải thu của khách hàng về lỗi giao dịch các tài sản tài chính
</t>
  </si>
  <si>
    <t xml:space="preserve">12. Phải trả cổ tức, gốc và lãi trái phiếu
</t>
  </si>
  <si>
    <t>3</t>
  </si>
  <si>
    <t>4</t>
  </si>
  <si>
    <t>21</t>
  </si>
  <si>
    <t>6</t>
  </si>
  <si>
    <t>7</t>
  </si>
  <si>
    <t>11</t>
  </si>
  <si>
    <t xml:space="preserve">22.3
</t>
  </si>
  <si>
    <t xml:space="preserve">22.4
</t>
  </si>
  <si>
    <t xml:space="preserve">29.2
</t>
  </si>
  <si>
    <t xml:space="preserve">11. Phải trả của khách hàng về lỗi giao dịch các tài sản tài chính
</t>
  </si>
  <si>
    <t xml:space="preserve">30
</t>
  </si>
  <si>
    <t xml:space="preserve">31.1
</t>
  </si>
  <si>
    <t>CHỈ TIÊU</t>
  </si>
  <si>
    <t>Năm nay</t>
  </si>
  <si>
    <t>Năm trước</t>
  </si>
  <si>
    <t xml:space="preserve">Năm 202...  </t>
  </si>
  <si>
    <t xml:space="preserve">Đơn vị tính: Đồng Việt Nam </t>
  </si>
  <si>
    <t xml:space="preserve">c. Cổ tức, tiền lãi phát sinh từ tài sản tài chính FVTPL
</t>
  </si>
  <si>
    <t xml:space="preserve">2.10. Chi phí nghiệp vụ lưu ký chứng khoán
</t>
  </si>
  <si>
    <t xml:space="preserve">2.11. Chi phí hoạt động tư vấn tài chính
</t>
  </si>
  <si>
    <t xml:space="preserve">301
</t>
  </si>
  <si>
    <t xml:space="preserve">500
</t>
  </si>
  <si>
    <t xml:space="preserve">41
</t>
  </si>
  <si>
    <t xml:space="preserve">50
</t>
  </si>
  <si>
    <t xml:space="preserve">52
</t>
  </si>
  <si>
    <t xml:space="preserve">60
</t>
  </si>
  <si>
    <t xml:space="preserve">72
</t>
  </si>
  <si>
    <t xml:space="preserve">80
</t>
  </si>
  <si>
    <t xml:space="preserve">90
</t>
  </si>
  <si>
    <t xml:space="preserve">501
</t>
  </si>
  <si>
    <t xml:space="preserve">1.1. Lãi từ các tài sản tài chính ghi nhận thông qua lãi/lỗ (FVTPL)
</t>
  </si>
  <si>
    <t xml:space="preserve">1.4. Lãi từ tài sản tài chính sẵn sàng để bán (AFS)
</t>
  </si>
  <si>
    <t xml:space="preserve">1.5. Lãi từ các công cụ phái sinh phòng ngừa rủi ro
</t>
  </si>
  <si>
    <t xml:space="preserve">13.2.Thu nhập pha loãng trên cổ phiếu (Đồng/1 cổ phiếu)
</t>
  </si>
  <si>
    <t xml:space="preserve">6
</t>
  </si>
  <si>
    <t xml:space="preserve">8
</t>
  </si>
  <si>
    <t xml:space="preserve">9
</t>
  </si>
  <si>
    <t xml:space="preserve">21.2
</t>
  </si>
  <si>
    <t xml:space="preserve">61
</t>
  </si>
  <si>
    <t xml:space="preserve">91
</t>
  </si>
  <si>
    <t xml:space="preserve">100.1
</t>
  </si>
  <si>
    <t xml:space="preserve">4.1. Chênh lệch lỗ tỷ giá hối đoái đã và chưa thực hiện
</t>
  </si>
  <si>
    <t xml:space="preserve">4.2. Chi phí lãi vay
</t>
  </si>
  <si>
    <t xml:space="preserve">4.5. Chi phí tài chính khác
</t>
  </si>
  <si>
    <t xml:space="preserve">V. CHI PHÍ BÁN HÀNG
</t>
  </si>
  <si>
    <t xml:space="preserve">10.1.Chi phí thuế TNDN hiện hành
</t>
  </si>
  <si>
    <t xml:space="preserve">XII. THU NHẬP (LỖ) TOÀN DIỆN KHÁC SAU THUẾ TNDN
</t>
  </si>
  <si>
    <t xml:space="preserve">12.4. Lãi, lỗ toàn diện khác
</t>
  </si>
  <si>
    <t xml:space="preserve">1.9. Doanh thu nghiệp vụ lưu ký chứng khoán
</t>
  </si>
  <si>
    <t xml:space="preserve">1.10. Doanh thu hoạt động tư vấn tài chính
</t>
  </si>
  <si>
    <t xml:space="preserve">II. CHI PHÍ HOẠT ĐỘNG 
</t>
  </si>
  <si>
    <t xml:space="preserve">VII. KẾT QUẢ HOẠT ĐỘNG (70= 20+50-40 -60-61-62)
</t>
  </si>
  <si>
    <t xml:space="preserve">IX. TỔNG LỢI NHUẬN KẾ TOÁN TRƯỚC THUẾ (90=70 + 80)
</t>
  </si>
  <si>
    <t xml:space="preserve">9.1. Lợi nhuận đã thực hiện
</t>
  </si>
  <si>
    <t xml:space="preserve">X. CHI PHÍ THUẾ TNDN
</t>
  </si>
  <si>
    <t xml:space="preserve">1.3
</t>
  </si>
  <si>
    <t xml:space="preserve">40
</t>
  </si>
  <si>
    <t xml:space="preserve">Cộng kết quả hoạt động khác (80= 71-72)
</t>
  </si>
  <si>
    <t xml:space="preserve">c.     Chi phí giao dịch mua các tài sản tài chính FVTPL
</t>
  </si>
  <si>
    <t xml:space="preserve">2.3. Lỗ và ghi nhận chênh lệch đánh giá theo giá trị hợp lý tài sản tài chính sẵn sàng để bán (AFS) khi phân loại lại
</t>
  </si>
  <si>
    <t xml:space="preserve">2.12. Chi phí các dịch vụ khác
</t>
  </si>
  <si>
    <t xml:space="preserve">2.1. Lỗ các tài sản tài chính ghi nhận thông qua lãi/lỗ (FVTPL)
</t>
  </si>
  <si>
    <t xml:space="preserve">Tổng thu nhập toàn diện
</t>
  </si>
  <si>
    <t xml:space="preserve">1.1
</t>
  </si>
  <si>
    <t xml:space="preserve">3
</t>
  </si>
  <si>
    <t xml:space="preserve">11
</t>
  </si>
  <si>
    <t xml:space="preserve">44
</t>
  </si>
  <si>
    <t xml:space="preserve">51
</t>
  </si>
  <si>
    <t xml:space="preserve">62
</t>
  </si>
  <si>
    <t xml:space="preserve">100
</t>
  </si>
  <si>
    <t>303</t>
  </si>
  <si>
    <t xml:space="preserve">2.5. Lỗ từ các tài sản tài chính phái sinh phòng ngừa rủi ro
</t>
  </si>
  <si>
    <t xml:space="preserve">2.6. Chi phí hoạt động tự doanh
</t>
  </si>
  <si>
    <t xml:space="preserve">12.2. Lãi/(lỗ) chênh lệch tỷ giá của hoạt động tại nước ngoài 
</t>
  </si>
  <si>
    <t xml:space="preserve">1.3. Lãi từ các khoản cho vay và phải thu
</t>
  </si>
  <si>
    <t xml:space="preserve">b.    Chênh lệch giảm đánh giá lại các TSTC FVTPL
</t>
  </si>
  <si>
    <t xml:space="preserve">2.4. Chi phí dự phòng tài sản tài chính, xử lý tổn thất các khoản phải thu khó đòi và lỗ suy giảm tài sản tài chính và chi phí đi vay của các khoản cho vay
</t>
  </si>
  <si>
    <t xml:space="preserve">70
</t>
  </si>
  <si>
    <t xml:space="preserve">71
</t>
  </si>
  <si>
    <t xml:space="preserve">100.2
</t>
  </si>
  <si>
    <t xml:space="preserve">I. DOANH THU HOẠT ĐỘNG 
</t>
  </si>
  <si>
    <t xml:space="preserve">b. Chênh lệch tăng về đánh giá lại các TSTC FVTPL 
</t>
  </si>
  <si>
    <t xml:space="preserve">1.6. Doanh thu nghiệp vụ môi giới chứng khoán
</t>
  </si>
  <si>
    <t xml:space="preserve">1.8. Doanh thu nghiệp vụ tư vấn đầu tư chứng khoán
</t>
  </si>
  <si>
    <t xml:space="preserve">4.4. Chi phí dự phòng suy giảm giá trị các khoản đầu tư tài chính dài hạn
</t>
  </si>
  <si>
    <t xml:space="preserve">302
</t>
  </si>
  <si>
    <t>502</t>
  </si>
  <si>
    <t xml:space="preserve">92
</t>
  </si>
  <si>
    <t xml:space="preserve">2.8. Chi phí nghiệp vụ bảo lãnh, đại lý phát hành chứng khoán
</t>
  </si>
  <si>
    <t xml:space="preserve">4.3. Lỗ bán, thanh lý các khoản đầu tư vào công ty con, liên kết, liên doanh
</t>
  </si>
  <si>
    <t xml:space="preserve">Cộng chi phí tài chính (60 = 51 đến 55)
</t>
  </si>
  <si>
    <t xml:space="preserve">9.2. Lợi nhuận chưa thực hiện
</t>
  </si>
  <si>
    <t xml:space="preserve">12.3. Lãi, lỗ đánh giá lại tài sản cố định theo mô hình giá trị hợp lý
</t>
  </si>
  <si>
    <t xml:space="preserve">XIII. THU NHẬP THUẦN TRÊN CỔ PHIẾU PHỔ THÔNG
</t>
  </si>
  <si>
    <t xml:space="preserve">1.2
</t>
  </si>
  <si>
    <t xml:space="preserve">7
</t>
  </si>
  <si>
    <t>26</t>
  </si>
  <si>
    <t xml:space="preserve">42
</t>
  </si>
  <si>
    <t xml:space="preserve">55
</t>
  </si>
  <si>
    <t xml:space="preserve">60
</t>
  </si>
  <si>
    <t xml:space="preserve">54
</t>
  </si>
  <si>
    <t xml:space="preserve">2.9. Chi phí nghiệp vụ tư vấn đầu tư chứng khoán
</t>
  </si>
  <si>
    <t xml:space="preserve">VI. CHI PHÍ QUẢN LÝ CÔNG TY CHỨNG KHOÁN
</t>
  </si>
  <si>
    <t xml:space="preserve">VIII. THU NHẬP KHÁC VÀ CHI PHÍ KHÁC 
</t>
  </si>
  <si>
    <t xml:space="preserve">8.2. Chi phí khác
</t>
  </si>
  <si>
    <t xml:space="preserve">10.2.Chi phí thuế TNDN hoãn lại
</t>
  </si>
  <si>
    <t xml:space="preserve">1.7. Doanh thu nghiệp vụ bảo lãnh, đại lý phát hành chứng khoán
</t>
  </si>
  <si>
    <t xml:space="preserve">Cộng doanh thu hoạt động (20 = 01 đến 11)
</t>
  </si>
  <si>
    <t xml:space="preserve">a.     Lỗ bán các tài sản tài chính FVTPL
</t>
  </si>
  <si>
    <t xml:space="preserve">2.2. Lỗ các khoản đầu tư nắm giữ đến ngày đáo hạn (HTM)
</t>
  </si>
  <si>
    <t xml:space="preserve">2.7. Chi phí nghiệp vụ môi giới chứng khoán
</t>
  </si>
  <si>
    <t xml:space="preserve">III. DOANH THU HOẠT ĐỘNG TÀI CHÍNH
</t>
  </si>
  <si>
    <t xml:space="preserve">3.3. Lãi bán, thanh lý các khoản đầu tư vào công ty con, liên kết, liên doanh
</t>
  </si>
  <si>
    <t xml:space="preserve">13.1.Lãi cơ bản trên cổ phiếu (Đồng/1 cổ phiếu)
</t>
  </si>
  <si>
    <t xml:space="preserve">10
</t>
  </si>
  <si>
    <t xml:space="preserve">20
</t>
  </si>
  <si>
    <t>304</t>
  </si>
  <si>
    <t xml:space="preserve">24
</t>
  </si>
  <si>
    <t xml:space="preserve">43
</t>
  </si>
  <si>
    <t xml:space="preserve">3.4. Doanh thu khác về đầu tư
</t>
  </si>
  <si>
    <t xml:space="preserve">IV. CHI PHÍ TÀI CHÍNH 
</t>
  </si>
  <si>
    <t xml:space="preserve">XI. LỢI NHUẬN KẾ TOÁN SAU THUẾ TNDN (200 = 90 - 100)
</t>
  </si>
  <si>
    <t xml:space="preserve">12.1.Lãi/(Lỗ) từ đánh giá lại các tài sản tài chính sẵn sàng để bán
</t>
  </si>
  <si>
    <t xml:space="preserve">a. Lãi bán các tài sản tài chính FVTPL
</t>
  </si>
  <si>
    <t xml:space="preserve">1.2. Lãi từ các khoản đầu tư nắm giữ đến ngày đáo hạn (HTM)
</t>
  </si>
  <si>
    <t xml:space="preserve">1.11. Thu nhập hoạt động khác 
</t>
  </si>
  <si>
    <t xml:space="preserve">Cộng chi phí hoạt động (40 = 21 đến 32)
</t>
  </si>
  <si>
    <t xml:space="preserve">3.1. Chênh lệch lãi tỷ giá hối đoái đã và chưa thực hiện
</t>
  </si>
  <si>
    <t xml:space="preserve">3.2. Doanh thu, dự thu cổ tức, lãi tiền gửi ngân hàng không cố định 
</t>
  </si>
  <si>
    <t xml:space="preserve">Cộng doanh thu hoạt động tài chính (50 = 41 đến 44)
</t>
  </si>
  <si>
    <t xml:space="preserve">8.1. Thu nhập khác
</t>
  </si>
  <si>
    <t xml:space="preserve">(Theo phương pháp trực tiếp) </t>
  </si>
  <si>
    <t>Đơn vị tính: Đồng Việt Nam</t>
  </si>
  <si>
    <t xml:space="preserve">10.Tiền chi thanh toán các chi phí cho hoạt động mua, bán các tài sản tài chính 
</t>
  </si>
  <si>
    <t xml:space="preserve">12. Tiền chi khác cho hoạt động kinh doanh
</t>
  </si>
  <si>
    <t xml:space="preserve">Lưu chuyển tiền thuần từ hoạt động kinh doanh
</t>
  </si>
  <si>
    <t>20</t>
  </si>
  <si>
    <t>32</t>
  </si>
  <si>
    <t xml:space="preserve">33.2
</t>
  </si>
  <si>
    <t xml:space="preserve">34.3
</t>
  </si>
  <si>
    <t>22</t>
  </si>
  <si>
    <t>33.1</t>
  </si>
  <si>
    <t xml:space="preserve">34.1
</t>
  </si>
  <si>
    <t>50</t>
  </si>
  <si>
    <t>61</t>
  </si>
  <si>
    <t xml:space="preserve">1.Tiền chi để mua sắm, xây dựng TSCĐ, BĐSĐT và các tài sản khác
</t>
  </si>
  <si>
    <t xml:space="preserve">Lưu chuyển tiền thuần từ hoạt động đầu tư
</t>
  </si>
  <si>
    <t xml:space="preserve">3.2. Tiền vay khác
</t>
  </si>
  <si>
    <t xml:space="preserve">IV. Tăng/giảm tiền thuần trong kỳ
</t>
  </si>
  <si>
    <t xml:space="preserve">V. Tiền và các khoản tương đương tiền đầu kỳ
</t>
  </si>
  <si>
    <t xml:space="preserve">Các khoản tương đương tiền
</t>
  </si>
  <si>
    <t xml:space="preserve">Tiền 
</t>
  </si>
  <si>
    <t xml:space="preserve">4.1. Tiền chi trả gốc vay Quỹ Hỗ trợ thanh toán
</t>
  </si>
  <si>
    <t xml:space="preserve">6. Cổ tức, lợi nhuận đã trả cho chủ sở hữu
</t>
  </si>
  <si>
    <t xml:space="preserve">I. Lưu chuyển tiền từ hoạt động kinh doanh
</t>
  </si>
  <si>
    <t xml:space="preserve">4. Cổ tức đã nhận 
</t>
  </si>
  <si>
    <t xml:space="preserve">8. Tiền chi trả cho người lao động
</t>
  </si>
  <si>
    <t xml:space="preserve">Lưu chuyển tiền thuần từ hoạt động tài chính
</t>
  </si>
  <si>
    <t xml:space="preserve">2.Tiền đã thu từ bán các tài sản tài chính
</t>
  </si>
  <si>
    <t xml:space="preserve">7. Tiền chi trả Tổ chức cung cấp dịch vụ cho CTCK 
</t>
  </si>
  <si>
    <t xml:space="preserve">2.Tiền thu từ thanh lý, nhượng bán TSCĐ, BĐSĐT  và các tài sản khác
</t>
  </si>
  <si>
    <t xml:space="preserve">III. Lưu chuyển tiền từ hoạt động tài chính
</t>
  </si>
  <si>
    <t xml:space="preserve">3.Tiền chi đầu tư góp vốn vào công ty con, công  ty liên doanh, liên kết và đầu tư khác
</t>
  </si>
  <si>
    <t xml:space="preserve">1.Tiền đã chi mua các tài sản tài chính
</t>
  </si>
  <si>
    <t xml:space="preserve">4.Tiền thu hồi đầu tư góp vốn vào công ty con, công ty liên doanh, liên kết và đầu tư khác
</t>
  </si>
  <si>
    <t>24</t>
  </si>
  <si>
    <t xml:space="preserve">VI. Tiền và các khoản tương đương tiền cuối kỳ (70 = 50 + 60)
</t>
  </si>
  <si>
    <t>23</t>
  </si>
  <si>
    <t xml:space="preserve">2.Tiền chi trả vốn góp cho các chủ sở hữu, mua lại cổ phiếu đã phát hành
</t>
  </si>
  <si>
    <t xml:space="preserve">3.1. Tiền vay Quỹ Hỗ trợ thanh toán
</t>
  </si>
  <si>
    <t xml:space="preserve">4.2. Tiền chi trả gốc vay tài sản tài chính
</t>
  </si>
  <si>
    <t xml:space="preserve">4.3. Tiền chi trả gốc vay khác
</t>
  </si>
  <si>
    <t xml:space="preserve">5.Tiền chi trả nợ gốc thuê tài chính
</t>
  </si>
  <si>
    <t>25</t>
  </si>
  <si>
    <t>72</t>
  </si>
  <si>
    <t>73</t>
  </si>
  <si>
    <t xml:space="preserve">3. Tiền chi nộp Quỹ Hỗ trợ thanh toán
</t>
  </si>
  <si>
    <t xml:space="preserve">5. Tiền lãi đã thu
</t>
  </si>
  <si>
    <t xml:space="preserve">6. Tiền chi trả lãi vay cho hoạt động của CTCK 
</t>
  </si>
  <si>
    <t xml:space="preserve">11. Tiền thu khác từ hoạt động kinh doanh
</t>
  </si>
  <si>
    <t xml:space="preserve">9. Tiền chi nộp thuế liên quan đến hoạt động CTCK 
</t>
  </si>
  <si>
    <t xml:space="preserve">II. Lưu chuyển tiền từ hoạt động đầu tư
</t>
  </si>
  <si>
    <t xml:space="preserve">5.Tiền thu về  cổ tức và lợi nhuận được chia từ các khoản đầu tư tài chính dài hạn
</t>
  </si>
  <si>
    <t xml:space="preserve">Ảnh hưởng của thay đổi tỷ giá hối đoái quy đổi ngoại tệ
</t>
  </si>
  <si>
    <t>33</t>
  </si>
  <si>
    <t xml:space="preserve">63
</t>
  </si>
  <si>
    <t xml:space="preserve">1.Tiền thu từ phát hành cổ phiếu, nhận vốn góp của chủ sở hữu
</t>
  </si>
  <si>
    <t xml:space="preserve">3.Tiền vay gốc
</t>
  </si>
  <si>
    <t xml:space="preserve">4. Tiền chi trả nợ gốc vay
</t>
  </si>
  <si>
    <t>30</t>
  </si>
  <si>
    <t>31</t>
  </si>
  <si>
    <t xml:space="preserve">34.2
</t>
  </si>
  <si>
    <t xml:space="preserve">36
</t>
  </si>
  <si>
    <t>60</t>
  </si>
  <si>
    <t>Theo phương pháp trực tiếp</t>
  </si>
  <si>
    <t>Tăng/giảm tiền thuần trong kỳ</t>
  </si>
  <si>
    <t xml:space="preserve">- Tiền gửi tổng hợp giao dịch chứng khoán cho khách hàng 
</t>
  </si>
  <si>
    <t xml:space="preserve">8. Nhận tiền gửi của Nhà đầu tư cho hoạt động ủy thác đầu tư của khách hàng
</t>
  </si>
  <si>
    <t xml:space="preserve">Trong đó có kỳ hạn
</t>
  </si>
  <si>
    <t xml:space="preserve">- Tiền gửi bù trừ và thanh toán giao dịch chứng khoán
</t>
  </si>
  <si>
    <t>36</t>
  </si>
  <si>
    <t>37</t>
  </si>
  <si>
    <t>40</t>
  </si>
  <si>
    <t>42</t>
  </si>
  <si>
    <t>43</t>
  </si>
  <si>
    <t>46</t>
  </si>
  <si>
    <t xml:space="preserve">9. Chi trả phí lưu ký chứng khoán của khách hàng
</t>
  </si>
  <si>
    <t xml:space="preserve">10. Thu lỗi giao dịch chứng khoán
</t>
  </si>
  <si>
    <t xml:space="preserve">12. Tiền thu của Tổ chức phát hành chứng khoán
</t>
  </si>
  <si>
    <t xml:space="preserve">Tiền gửi ngân hàng cuối kỳ:
</t>
  </si>
  <si>
    <t xml:space="preserve">2. Tiền chi mua chứng khoán môi giới cho khách hàng
</t>
  </si>
  <si>
    <t xml:space="preserve">13. Tiền chi trả Tổ chức phát hành chứng khoán
</t>
  </si>
  <si>
    <t xml:space="preserve">II. Tiền và các khoản tương đương tiền đầu kỳ của khách hàng
</t>
  </si>
  <si>
    <t xml:space="preserve">Tiền gửi ngân hàng đầu kỳ:
</t>
  </si>
  <si>
    <t xml:space="preserve">-Tiền gửi của Nhà đầu tư về giao dịch chứng khoán theo phương thức CTCK quản lý 
</t>
  </si>
  <si>
    <t xml:space="preserve">1. Tiền thu bán chứng khoán môi giới cho khách hàng
</t>
  </si>
  <si>
    <t>45</t>
  </si>
  <si>
    <t xml:space="preserve">3. Tiền thu bán chứng khoán ủy thác của khách hàng
</t>
  </si>
  <si>
    <t xml:space="preserve">4.Tiền chi mua chứng khoán ủy thác của khách hàng
</t>
  </si>
  <si>
    <t xml:space="preserve">I. Lưu chuyển tiền hoạt động môi giới, ủy thác của khách hàng
</t>
  </si>
  <si>
    <t xml:space="preserve">7. Nhận tiền gửi để thanh toán giao dịch chứng khoán của khách hàng 
</t>
  </si>
  <si>
    <t>35</t>
  </si>
  <si>
    <t>47</t>
  </si>
  <si>
    <t xml:space="preserve">B
</t>
  </si>
  <si>
    <t xml:space="preserve">6. Chi trả vay Quỹ Hỗ trợ thanh toán
</t>
  </si>
  <si>
    <t xml:space="preserve">-Tiền gửi của tổ chức phát hành
</t>
  </si>
  <si>
    <t>41</t>
  </si>
  <si>
    <t xml:space="preserve">III. Tiền và các khoản tương đương tiền cuối kỳ của khách hàng (40 = 20 + 30)
</t>
  </si>
  <si>
    <t>44</t>
  </si>
  <si>
    <t xml:space="preserve">5. Thu vay Quỹ Hỗ trợ thanh toán
</t>
  </si>
  <si>
    <t xml:space="preserve">11. Chi lỗi giao dịch chứng khoán
</t>
  </si>
  <si>
    <t>34</t>
  </si>
  <si>
    <t>(Theo phương pháp gián tiếp)</t>
  </si>
  <si>
    <t xml:space="preserve">- Khấu hao TSCĐ
</t>
  </si>
  <si>
    <t xml:space="preserve">(- Lãi) hoặc (+ lỗ) chênh lệch tỷ giá hối đoái chưa thực hiện.
</t>
  </si>
  <si>
    <t xml:space="preserve">(-) Tăng, (+) giảm phải thu bán các tài sản tài chính
</t>
  </si>
  <si>
    <t xml:space="preserve">- Tăng (giảm) chi phí phải trả (không bao gồm chi phí lãi vay)
</t>
  </si>
  <si>
    <t xml:space="preserve">(-) Lãi vay đã trả
</t>
  </si>
  <si>
    <t xml:space="preserve">-  Tăng (giảm) phải trả người lao động
</t>
  </si>
  <si>
    <t xml:space="preserve">-  Tăng (giảm) phải trả, phải nộp khác
</t>
  </si>
  <si>
    <t xml:space="preserve">2. Tiền thu từ thanh lý, nhượng bán TSCĐ, BĐSĐT và các tài sản khác
</t>
  </si>
  <si>
    <t xml:space="preserve">103.1
</t>
  </si>
  <si>
    <t>103</t>
  </si>
  <si>
    <t xml:space="preserve">- Tiền 
</t>
  </si>
  <si>
    <t xml:space="preserve">VI. Tiền và các khoản tương đương tiền cuối kỳ
</t>
  </si>
  <si>
    <t xml:space="preserve">- Lãi, lỗ từ hoạt động đầu tư 
</t>
  </si>
  <si>
    <t xml:space="preserve">-  Tăng (giảm) tài sản tài chính sẵn sàng để bán AFS 
</t>
  </si>
  <si>
    <t>70</t>
  </si>
  <si>
    <t>38</t>
  </si>
  <si>
    <t>48</t>
  </si>
  <si>
    <t xml:space="preserve">74.1
</t>
  </si>
  <si>
    <t>90</t>
  </si>
  <si>
    <t>101</t>
  </si>
  <si>
    <t xml:space="preserve">5. Tiền chi trả nợ gốc thuê tài chính
</t>
  </si>
  <si>
    <t xml:space="preserve">- Các khoản tương đương tiền
</t>
  </si>
  <si>
    <t xml:space="preserve">- Lỗ đánh giá lại giá trị các tài sản tài chính ghi nhận thông qua lãi/lỗ FVTPL
</t>
  </si>
  <si>
    <t xml:space="preserve">74.3
</t>
  </si>
  <si>
    <t xml:space="preserve">5. Lợi nhuận từ hoạt động kinh doanh trước thay đổi vốn lưu động
</t>
  </si>
  <si>
    <t xml:space="preserve">(-) Tăng, (+) giảm phải thu và dự thu cổ tức, tiền lãi các tài sản tài chính
</t>
  </si>
  <si>
    <t xml:space="preserve">(-) Tăng, (+) giảm các khoản phải thu các dịch vụ CTCK cung cấp
</t>
  </si>
  <si>
    <t>39</t>
  </si>
  <si>
    <t>49</t>
  </si>
  <si>
    <t>63</t>
  </si>
  <si>
    <t>71</t>
  </si>
  <si>
    <t xml:space="preserve">- Tăng (giảm) phải trả về lỗi giao dịch các TSTC
</t>
  </si>
  <si>
    <t>102</t>
  </si>
  <si>
    <t xml:space="preserve">-  Tăng (giảm) Các khoản đầu tư nắm giữ đến ngày đáo hạn (HTM)
</t>
  </si>
  <si>
    <t xml:space="preserve">-  Tăng (giảm) Các khoản cho vay 
</t>
  </si>
  <si>
    <t xml:space="preserve">-  Tăng (giảm) các tài sản khác
</t>
  </si>
  <si>
    <t xml:space="preserve">- Các khoản dự phòng
</t>
  </si>
  <si>
    <t xml:space="preserve">- Dự thu tiền lãi 
</t>
  </si>
  <si>
    <t xml:space="preserve">4. Tiền thu hồi các khoản đầu tư vào công ty con, công ty liên doanh, liên kết và đầu tư khác
</t>
  </si>
  <si>
    <t xml:space="preserve">- Lỗ suy giảm giá trị Các khoản cho vay
</t>
  </si>
  <si>
    <t xml:space="preserve">- Suy giảm giá trị của các tài sản cố định, BĐSĐT 
</t>
  </si>
  <si>
    <t xml:space="preserve">-   Lỗ khác
</t>
  </si>
  <si>
    <t xml:space="preserve">4. Giảm các doanh thu phi tiền tệ
</t>
  </si>
  <si>
    <t xml:space="preserve">- Các khoản điều chỉnh khác 
</t>
  </si>
  <si>
    <t xml:space="preserve">- Lỗ suy giảm giá trị Các khoản đầu tư nắm giữ đến ngày đáo hạn (HTM)
</t>
  </si>
  <si>
    <t xml:space="preserve">- Chi phí dự phòng suy giảm giá trị các khoản đầu tư tài chính dài hạn
</t>
  </si>
  <si>
    <t xml:space="preserve">-  Lãi đánh giá lại giá trị các tài sản tài chính ghi nhận thông qua lãi/lỗ FVTPL
</t>
  </si>
  <si>
    <t xml:space="preserve">-  Tăng (giảm) tài sản tài chính ghi nhận thông qua lãi/lỗ FVTPL
</t>
  </si>
  <si>
    <t xml:space="preserve">- Tăng (giảm)  chi phí trả trước
</t>
  </si>
  <si>
    <t xml:space="preserve">-  Tăng (giảm) phải trả cho người bán
</t>
  </si>
  <si>
    <t xml:space="preserve">-  Tăng (giảm) các khoản trích nộp phúc lợi nhân viên
</t>
  </si>
  <si>
    <t xml:space="preserve">74
</t>
  </si>
  <si>
    <t xml:space="preserve">- Tiền chi khác cho hoạt động kinh doanh
</t>
  </si>
  <si>
    <t xml:space="preserve">1. Tiền chi để mua sắm, xây dựng TSCĐ, BĐSĐT và các tài sản khác
</t>
  </si>
  <si>
    <t xml:space="preserve">3. Tiền vay gốc
</t>
  </si>
  <si>
    <t xml:space="preserve">103.2
</t>
  </si>
  <si>
    <t xml:space="preserve">(-) Tăng, (+) giảm các khoản phải thu về lỗi giao dịch các TSTC
</t>
  </si>
  <si>
    <t xml:space="preserve">(-) Tăng, (+) giảm các khoản phải thu khác
</t>
  </si>
  <si>
    <t xml:space="preserve">-  Tăng (giảm) thuế và các khoản phải nộp Nhà nước (Không bao gồm thuế TNDN đã nộp)
</t>
  </si>
  <si>
    <t xml:space="preserve">- Tiền thu khác từ hoạt động kinh doanh
</t>
  </si>
  <si>
    <t xml:space="preserve">3. Tiền chi đầu tư vốn vào công ty con, công ty liên doanh, liên kết và đầu tư khác
</t>
  </si>
  <si>
    <t xml:space="preserve">- Lỗ về ghi nhận chênh lệch đánh giá theo giá trị hợp lý TSTC sẵn sàng để bán AFS khi phân loại lại
</t>
  </si>
  <si>
    <t>17</t>
  </si>
  <si>
    <t xml:space="preserve">2. Điều chỉnh cho các khoản: 
</t>
  </si>
  <si>
    <t xml:space="preserve">3. Tăng các chi phí phi tiền tệ
</t>
  </si>
  <si>
    <t xml:space="preserve">- Ảnh hưởng của thay đổi tỷ giá hối đoái quy đổi ngoại tệ
</t>
  </si>
  <si>
    <t>104</t>
  </si>
  <si>
    <t xml:space="preserve">5. Tiền thu về cổ tức và lợi nhuận được chia từ các khoản đầu tư tài chính dài hạn
</t>
  </si>
  <si>
    <t>14</t>
  </si>
  <si>
    <t>16</t>
  </si>
  <si>
    <t xml:space="preserve">2. Tiền chi trả vốn góp cho chủ sở hữu, mua lại cổ phiếu phát hành
</t>
  </si>
  <si>
    <t xml:space="preserve">4.2. Tiền chi trả nợ gốc vay tài sản tài chính
</t>
  </si>
  <si>
    <t>- Ảnh hưởng của thay đổi tỷ giá hối đoái quy đổi ngoại tệ</t>
  </si>
  <si>
    <t>15</t>
  </si>
  <si>
    <t>62</t>
  </si>
  <si>
    <t xml:space="preserve">73.1
</t>
  </si>
  <si>
    <t xml:space="preserve">74.2
</t>
  </si>
  <si>
    <t xml:space="preserve">101.1
</t>
  </si>
  <si>
    <t xml:space="preserve">-  Lãi về ghi nhận chênh lệch đánh giá theo giá trị hợp lý TSTC sẵn sàng để bán (AFS) khi phân loại lại
</t>
  </si>
  <si>
    <t xml:space="preserve">- Lãi khác
</t>
  </si>
  <si>
    <t xml:space="preserve">(-) Thuế TNDN đã nộp 
</t>
  </si>
  <si>
    <t>18</t>
  </si>
  <si>
    <t>19</t>
  </si>
  <si>
    <t>52</t>
  </si>
  <si>
    <t>64</t>
  </si>
  <si>
    <t>65</t>
  </si>
  <si>
    <t xml:space="preserve">73.2
</t>
  </si>
  <si>
    <t xml:space="preserve">75
</t>
  </si>
  <si>
    <t xml:space="preserve">1. Lợi nhuận trước Thuế Thu nhập doanh nghiệp
</t>
  </si>
  <si>
    <t xml:space="preserve">- Chi phí lãi vay
</t>
  </si>
  <si>
    <t>51</t>
  </si>
  <si>
    <t xml:space="preserve">76
</t>
  </si>
  <si>
    <t xml:space="preserve">101.2
</t>
  </si>
  <si>
    <t xml:space="preserve">14. Tiền thu của Tổ chức phát hành chứng khoán
</t>
  </si>
  <si>
    <t xml:space="preserve">9. Nhận tiền gửi của Nhà đầu tư cho hoạt động ủy thác đầu tư của khách hàng
</t>
  </si>
  <si>
    <t xml:space="preserve">Tăng/giảm tiền thuần trong kỳ
</t>
  </si>
  <si>
    <t xml:space="preserve">-Tiền gửi của Tổ chức phát hành
</t>
  </si>
  <si>
    <t xml:space="preserve">8. Chi trả thanh toán giao dịch chứng khoán của khách hàng
</t>
  </si>
  <si>
    <t xml:space="preserve">11. Chi trả phí lưu ký chứng khoán của khách hàng 
</t>
  </si>
  <si>
    <t xml:space="preserve">15. Tiền chi trả Tổ chức phát hành chứng khoán
</t>
  </si>
  <si>
    <t xml:space="preserve">III. Tiền và các khoản tương đương tiền cuối kỳ của khách hàng
</t>
  </si>
  <si>
    <t xml:space="preserve">4. Tiền chi bán chứng khoán ủy thác của khách hàng
</t>
  </si>
  <si>
    <t xml:space="preserve">10. Chi trả cho hoạt động ủy thác đầu tư của khách hàng
</t>
  </si>
  <si>
    <t xml:space="preserve">12. Thu lỗi giao dịch chứng khoán
</t>
  </si>
  <si>
    <t xml:space="preserve">13.Chi lỗi giao dịch chứng khoán
</t>
  </si>
  <si>
    <t xml:space="preserve">- Tiền gửi của Tổ chức phát hành
</t>
  </si>
  <si>
    <t>Tăng</t>
  </si>
  <si>
    <t>Giảm</t>
  </si>
  <si>
    <t>N</t>
  </si>
  <si>
    <t>N-1</t>
  </si>
  <si>
    <t>Số dư đầu năm</t>
  </si>
  <si>
    <t>Số dư cuối năm</t>
  </si>
  <si>
    <t>Số tăng/giảm</t>
  </si>
  <si>
    <t>Mã chỉ tiêu</t>
  </si>
  <si>
    <t xml:space="preserve">Năm….     </t>
  </si>
  <si>
    <t xml:space="preserve">26625
</t>
  </si>
  <si>
    <t xml:space="preserve">26626
</t>
  </si>
  <si>
    <t xml:space="preserve">26627
</t>
  </si>
  <si>
    <t xml:space="preserve">26638
</t>
  </si>
  <si>
    <t xml:space="preserve">26640
</t>
  </si>
  <si>
    <t xml:space="preserve">26642
</t>
  </si>
  <si>
    <t xml:space="preserve">26644
</t>
  </si>
  <si>
    <t xml:space="preserve">26646
</t>
  </si>
  <si>
    <t xml:space="preserve">4. Quỹ dự phòng tài chính và rủi ro nghiệp vụ
</t>
  </si>
  <si>
    <t xml:space="preserve">II. Thu nhập toàn diện khác
</t>
  </si>
  <si>
    <t xml:space="preserve">1. Lãi/lỗ từ đánh giá lại các TSTC sẵn sàng để bán
</t>
  </si>
  <si>
    <t xml:space="preserve">7. Các Quỹ khác thuộc vốn chủ sở hữu
</t>
  </si>
  <si>
    <t xml:space="preserve">1.1. Cổ phiếu phổ thông có quyền biểu quyết
</t>
  </si>
  <si>
    <t xml:space="preserve">26624
</t>
  </si>
  <si>
    <t xml:space="preserve">26630
</t>
  </si>
  <si>
    <t xml:space="preserve">26632
</t>
  </si>
  <si>
    <t xml:space="preserve">26633
</t>
  </si>
  <si>
    <t xml:space="preserve">26634
</t>
  </si>
  <si>
    <t xml:space="preserve">26635
</t>
  </si>
  <si>
    <t xml:space="preserve">26641
</t>
  </si>
  <si>
    <t xml:space="preserve">26645
</t>
  </si>
  <si>
    <t xml:space="preserve">3. Quỹ dự trữ bổ sung vốn điều lệ
</t>
  </si>
  <si>
    <t xml:space="preserve">1.5. Vốn khác của chủ sở hữu 
</t>
  </si>
  <si>
    <t xml:space="preserve">5. Chênh lệch đánh giá lại tài sản theo giá trị hợp lý
</t>
  </si>
  <si>
    <t xml:space="preserve">8. Lợi nhuận chưa phân phối
</t>
  </si>
  <si>
    <t xml:space="preserve">8.2. Lợi nhuận chưa thực hiện 
</t>
  </si>
  <si>
    <t xml:space="preserve">8.1. Lợi nhuận sau thuế đã thực hiện
</t>
  </si>
  <si>
    <t xml:space="preserve">26628
</t>
  </si>
  <si>
    <t xml:space="preserve">26629
</t>
  </si>
  <si>
    <t xml:space="preserve">26631
</t>
  </si>
  <si>
    <t xml:space="preserve">26636
</t>
  </si>
  <si>
    <t xml:space="preserve">26637
</t>
  </si>
  <si>
    <t xml:space="preserve">26639
</t>
  </si>
  <si>
    <t xml:space="preserve">26643
</t>
  </si>
  <si>
    <t xml:space="preserve">1. Vốn đầu tư của chủ sở hữu
</t>
  </si>
  <si>
    <t xml:space="preserve">1.2. Cổ phiếu ưu đãi
</t>
  </si>
  <si>
    <t xml:space="preserve">2. Cổ phiếu quỹ (*)
</t>
  </si>
  <si>
    <t xml:space="preserve">6.Chênh lệch tỷ giá hối đoái
</t>
  </si>
  <si>
    <t xml:space="preserve">Tổng cộng
</t>
  </si>
  <si>
    <t xml:space="preserve"> I. Biến động vốn chủ sở hữu
</t>
  </si>
  <si>
    <t xml:space="preserve">4. Lãi, lỗ toàn diện khác
</t>
  </si>
  <si>
    <t xml:space="preserve">2. Lãi, lỗ đánh giá lại TĐ theo mô hình giá trị hợp lý
</t>
  </si>
  <si>
    <t xml:space="preserve">3. Lãi, lỗ chênh lệch tỷ giá của hoạt động tại nước ngoài
</t>
  </si>
  <si>
    <t xml:space="preserve">1.3. Thặng dư vốn cổ phần 
</t>
  </si>
  <si>
    <t xml:space="preserve">1.4.Quyền chọn chuyển đổi trái phiếu - Cấu phần vốn
</t>
  </si>
  <si>
    <t>Nguyễn Hoàng Nam</t>
  </si>
  <si>
    <t>0849-2018-006-1</t>
  </si>
  <si>
    <t>Đoàn Trần Phương Thảo</t>
  </si>
  <si>
    <t>4701-2019-006-1</t>
  </si>
  <si>
    <t>chấp nhận toàn bộ</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</si>
</sst>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00\ _₫_-;\-* #,##0.00\ _₫_-;_-* &quot;-&quot;??\ _₫_-;_-@_-"/>
  </numFmts>
  <fonts count="2531" x14ac:knownFonts="1">
    <font>
      <sz val="11"/>
      <color theme="1"/>
      <name val="Calibri"/>
      <family val="2"/>
      <scheme val="minor"/>
    </font>
    <font>
      <sz val="10"/>
      <name val="Arial"/>
      <family val="2"/>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sz val="12"/>
      <color theme="1"/>
      <name val="Times New Roman"/>
      <family val="1"/>
    </font>
    <font>
      <sz val="11"/>
      <name val="Times New Roman"/>
      <family val="1"/>
    </font>
    <font>
      <b/>
      <sz val="12"/>
      <color theme="1"/>
      <name val="Times New Roman"/>
      <family val="1"/>
    </font>
    <font>
      <i/>
      <sz val="12"/>
      <color theme="1"/>
      <name val="Times New Roman"/>
      <family val="1"/>
    </font>
    <font>
      <i/>
      <sz val="11"/>
      <name val="Times New Roman"/>
      <family val="1"/>
    </font>
    <font>
      <b/>
      <sz val="11"/>
      <name val="Times New Roman"/>
      <family val="1"/>
    </font>
    <font>
      <b/>
      <u/>
      <sz val="11"/>
      <color theme="1"/>
      <name val="Times New Roman"/>
      <family val="1"/>
    </font>
    <font>
      <sz val="13"/>
      <name val="Times New Roman"/>
    </font>
    <font>
      <sz val="11"/>
      <color indexed="0"/>
      <name val="Times New Roman"/>
    </font>
    <font>
      <b/>
      <sz val="11"/>
      <name val="Times New Roman"/>
    </font>
    <font>
      <b/>
      <sz val="13"/>
      <color indexed="0"/>
      <name val="Times New Roman"/>
    </font>
    <font>
      <b/>
      <sz val="11"/>
      <color indexed="0"/>
      <name val="Times New Roman"/>
    </font>
    <font>
      <b/>
      <sz val="11"/>
      <color indexed="0"/>
      <name val="Times New Roman"/>
    </font>
    <font>
      <sz val="11"/>
      <color indexed="0"/>
      <name val="Times New Roman"/>
    </font>
    <font>
      <u/>
      <sz val="11"/>
      <color indexed="12"/>
      <name val="Times New Roman"/>
    </font>
    <font>
      <sz val="11"/>
      <color indexed="0"/>
      <name val="Times New Roman"/>
    </font>
    <font>
      <u/>
      <sz val="11"/>
      <color indexed="12"/>
      <name val="Times New Roman"/>
    </font>
    <font>
      <sz val="11"/>
      <color indexed="0"/>
      <name val="Times New Roman"/>
    </font>
    <font>
      <u/>
      <sz val="11"/>
      <color indexed="12"/>
      <name val="Times New Roman"/>
    </font>
    <font>
      <sz val="11"/>
      <color indexed="0"/>
      <name val="Times New Roman"/>
    </font>
    <font>
      <u/>
      <sz val="11"/>
      <color indexed="12"/>
      <name val="Times New Roman"/>
    </font>
    <font>
      <sz val="11"/>
      <color indexed="0"/>
      <name val="Times New Roman"/>
    </font>
    <font>
      <u/>
      <sz val="11"/>
      <color indexed="12"/>
      <name val="Times New Roman"/>
    </font>
    <font>
      <sz val="11"/>
      <color indexed="0"/>
      <name val="Times New Roman"/>
    </font>
    <font>
      <u/>
      <sz val="11"/>
      <color indexed="12"/>
      <name val="Times New Roman"/>
    </font>
    <font>
      <sz val="11"/>
      <color indexed="0"/>
      <name val="Times New Roman"/>
    </font>
    <font>
      <u/>
      <sz val="11"/>
      <color indexed="12"/>
      <name val="Times New Roman"/>
    </font>
    <font>
      <sz val="11"/>
      <color indexed="0"/>
      <name val="Times New Roman"/>
    </font>
    <font>
      <u/>
      <sz val="11"/>
      <color indexed="12"/>
      <name val="Times New Roman"/>
    </font>
    <font>
      <sz val="11"/>
      <color indexed="0"/>
      <name val="Times New Roman"/>
    </font>
    <font>
      <u/>
      <sz val="11"/>
      <color indexed="12"/>
      <name val="Times New Roman"/>
    </font>
    <font>
      <i/>
      <sz val="11"/>
      <color indexed="0"/>
      <name val="Times New Roman"/>
    </font>
    <font>
      <sz val="13"/>
      <name val="Times New Roman"/>
    </font>
    <font>
      <b/>
      <sz val="16"/>
      <color indexed="8"/>
      <name val="Times New Roman"/>
    </font>
    <font>
      <b/>
      <sz val="14"/>
      <color indexed="9"/>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name val="Times New Roman"/>
    </font>
    <font>
      <b/>
      <sz val="16"/>
      <color indexed="8"/>
      <name val="Times New Roman"/>
    </font>
    <font>
      <i/>
      <sz val="14"/>
      <color indexed="8"/>
      <name val="Times New Roman"/>
    </font>
    <font>
      <b/>
      <sz val="14"/>
      <color indexed="9"/>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name val="Times New Roman"/>
    </font>
    <font>
      <b/>
      <sz val="16"/>
      <color indexed="8"/>
      <name val="Times New Roman"/>
    </font>
    <font>
      <b/>
      <sz val="14"/>
      <color indexed="9"/>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name val="Times New Roman"/>
    </font>
    <font>
      <b/>
      <sz val="16"/>
      <color indexed="8"/>
      <name val="Times New Roman"/>
    </font>
    <font>
      <i/>
      <sz val="14"/>
      <color indexed="8"/>
      <name val="Times New Roman"/>
    </font>
    <font>
      <b/>
      <sz val="14"/>
      <color indexed="9"/>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b/>
      <sz val="13"/>
      <color indexed="0"/>
      <name val="Times New Roman"/>
    </font>
    <font>
      <sz val="13"/>
      <color indexed="0"/>
      <name val="Times New Roman"/>
    </font>
    <font>
      <b/>
      <sz val="13"/>
      <color indexed="0"/>
      <name val="Times New Roman"/>
    </font>
    <font>
      <sz val="13"/>
      <color indexed="0"/>
      <name val="Times New Roman"/>
    </font>
    <font>
      <b/>
      <sz val="13"/>
      <color indexed="0"/>
      <name val="Times New Roman"/>
    </font>
    <font>
      <b/>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name val="Times New Roman"/>
    </font>
    <font>
      <b/>
      <sz val="16"/>
      <color indexed="8"/>
      <name val="Times New Roman"/>
    </font>
    <font>
      <i/>
      <sz val="14"/>
      <color indexed="8"/>
      <name val="Times New Roman"/>
    </font>
    <font>
      <b/>
      <sz val="14"/>
      <color indexed="9"/>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i/>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b/>
      <i/>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name val="Times New Roman"/>
    </font>
    <font>
      <b/>
      <sz val="16"/>
      <color indexed="8"/>
      <name val="Times New Roman"/>
    </font>
    <font>
      <i/>
      <sz val="14"/>
      <color indexed="8"/>
      <name val="Times New Roman"/>
    </font>
    <font>
      <b/>
      <sz val="14"/>
      <color indexed="9"/>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name val="Times New Roman"/>
    </font>
    <font>
      <b/>
      <sz val="16"/>
      <color indexed="8"/>
      <name val="Times New Roman"/>
    </font>
    <font>
      <i/>
      <sz val="14"/>
      <color indexed="8"/>
      <name val="Times New Roman"/>
    </font>
    <font>
      <b/>
      <sz val="14"/>
      <color indexed="9"/>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i/>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i/>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i/>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name val="Times New Roman"/>
    </font>
    <font>
      <b/>
      <sz val="16"/>
      <color indexed="8"/>
      <name val="Times New Roman"/>
    </font>
    <font>
      <b/>
      <sz val="14"/>
      <color indexed="9"/>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i/>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4"/>
      <color indexed="9"/>
      <name val="Times New Roman"/>
    </font>
    <font>
      <i/>
      <sz val="14"/>
      <color indexed="8"/>
      <name val="Times New Roman"/>
    </font>
    <font>
      <b/>
      <sz val="14"/>
      <color indexed="9"/>
      <name val="Times New Roman"/>
    </font>
    <font>
      <b/>
      <sz val="16"/>
      <color indexed="8"/>
      <name val="Times New Roman"/>
    </font>
    <font>
      <i/>
      <sz val="14"/>
      <color indexed="8"/>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b/>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
      <sz val="13"/>
      <color indexed="0"/>
      <name val="Times New Roman"/>
    </font>
  </fonts>
  <fills count="7">
    <fill>
      <patternFill patternType="none"/>
    </fill>
    <fill>
      <patternFill patternType="gray125"/>
    </fill>
    <fill>
      <patternFill patternType="solid">
        <fgColor theme="9" tint="0.39997558519241921"/>
        <bgColor indexed="64"/>
      </patternFill>
    </fill>
    <fill>
      <patternFill patternType="none">
        <fgColor indexed="9"/>
        <bgColor indexed="17"/>
      </patternFill>
    </fill>
    <fill>
      <patternFill patternType="solid">
        <fgColor indexed="17"/>
        <bgColor indexed="17"/>
      </patternFill>
    </fill>
    <fill>
      <patternFill patternType="none">
        <fgColor indexed="9"/>
      </patternFill>
    </fill>
    <fill>
      <patternFill patternType="solid">
        <fgColor indexed="9"/>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s>
  <cellStyleXfs count="8">
    <xf numFmtId="0" fontId="0" fillId="0" borderId="0"/>
    <xf numFmtId="0" fontId="1" fillId="0" borderId="0"/>
    <xf numFmtId="43" fontId="1" fillId="0" borderId="0" quotePrefix="1" applyFont="0" applyFill="0" applyBorder="0" applyAlignment="0">
      <protection locked="0"/>
    </xf>
    <xf numFmtId="9" fontId="1" fillId="0" borderId="0" applyFont="0" applyFill="0" applyBorder="0" applyAlignment="0" applyProtection="0"/>
    <xf numFmtId="43" fontId="1" fillId="0" borderId="0" applyFont="0" applyFill="0" applyBorder="0" applyAlignment="0" applyProtection="0"/>
    <xf numFmtId="0" fontId="1" fillId="0" borderId="0"/>
    <xf numFmtId="164" fontId="1" fillId="0" borderId="0" quotePrefix="1" applyFont="0" applyFill="0" applyBorder="0" applyAlignment="0">
      <protection locked="0"/>
    </xf>
    <xf numFmtId="164" fontId="1" fillId="0" borderId="0" applyFont="0" applyFill="0" applyBorder="0" applyAlignment="0" applyProtection="0"/>
  </cellStyleXfs>
  <cellXfs count="2544">
    <xf numFmtId="0" fontId="0" fillId="0" borderId="0" xfId="0"/>
    <xf numFmtId="0" fontId="2" fillId="0" borderId="0" xfId="0" applyFont="1"/>
    <xf numFmtId="0" fontId="6" fillId="0" borderId="0" xfId="0" applyFont="1"/>
    <xf numFmtId="0" fontId="5" fillId="0" borderId="0" xfId="1" applyFont="1" applyAlignment="1">
      <alignment horizontal="center"/>
    </xf>
    <xf numFmtId="0" fontId="8" fillId="2" borderId="1" xfId="0" applyFont="1" applyFill="1" applyBorder="1"/>
    <xf numFmtId="0" fontId="8" fillId="2" borderId="1" xfId="0" applyFont="1" applyFill="1" applyBorder="1" applyAlignment="1">
      <alignment horizontal="center"/>
    </xf>
    <xf numFmtId="0" fontId="5" fillId="0" borderId="0" xfId="1" applyFont="1"/>
    <xf numFmtId="0" fontId="4" fillId="0" borderId="0" xfId="0" applyFont="1" applyAlignment="1">
      <alignment vertical="center"/>
    </xf>
    <xf numFmtId="0" fontId="10" fillId="0" borderId="0" xfId="0" applyFont="1" applyAlignment="1">
      <alignment horizontal="center" vertical="center" wrapText="1"/>
    </xf>
    <xf numFmtId="0" fontId="7" fillId="0" borderId="0" xfId="0" applyFont="1"/>
    <xf numFmtId="0" fontId="12" fillId="0" borderId="0" xfId="0" applyFont="1"/>
    <xf numFmtId="0" fontId="11" fillId="0" borderId="0" xfId="0" applyFont="1" applyAlignment="1"/>
    <xf numFmtId="0" fontId="13" fillId="3" borderId="3" xfId="0" applyFont="1" applyFill="1" applyBorder="1" applyAlignment="1">
      <alignment horizontal="left" vertical="top" wrapText="1"/>
    </xf>
    <xf numFmtId="0" fontId="14" fillId="0" borderId="3" xfId="0" applyFont="1" applyBorder="1" applyAlignment="1">
      <alignment horizontal="left" vertical="top"/>
    </xf>
    <xf numFmtId="0" fontId="15" fillId="0" borderId="0" xfId="0" applyFont="1" applyAlignment="1">
      <alignment horizontal="center" vertical="center"/>
    </xf>
    <xf numFmtId="0" fontId="16" fillId="0" borderId="0" xfId="0" applyNumberFormat="1" applyFont="1" applyAlignment="1">
      <alignment horizontal="left" vertical="top" wrapText="1"/>
    </xf>
    <xf numFmtId="0" fontId="17" fillId="0" borderId="0" xfId="0" applyNumberFormat="1" applyFont="1" applyAlignment="1">
      <alignment horizontal="center" vertical="top" wrapText="1"/>
    </xf>
    <xf numFmtId="0" fontId="19" fillId="0" borderId="3" xfId="0" applyFont="1" applyBorder="1" applyAlignment="1">
      <alignment horizontal="center" vertical="top"/>
    </xf>
    <xf numFmtId="0" fontId="20" fillId="0" borderId="3" xfId="0" applyFont="1" applyBorder="1" applyAlignment="1">
      <alignment horizontal="left" vertical="top"/>
    </xf>
    <xf numFmtId="0" fontId="21" fillId="0" borderId="3" xfId="0" applyFont="1" applyBorder="1" applyAlignment="1">
      <alignment horizontal="center" vertical="top"/>
    </xf>
    <xf numFmtId="0" fontId="22" fillId="0" borderId="3" xfId="0" applyFont="1" applyBorder="1" applyAlignment="1">
      <alignment horizontal="left" vertical="top"/>
    </xf>
    <xf numFmtId="0" fontId="23" fillId="0" borderId="3" xfId="0" applyFont="1" applyBorder="1" applyAlignment="1">
      <alignment horizontal="center" vertical="top"/>
    </xf>
    <xf numFmtId="0" fontId="24" fillId="0" borderId="3" xfId="0" applyFont="1" applyBorder="1" applyAlignment="1">
      <alignment horizontal="left" vertical="top"/>
    </xf>
    <xf numFmtId="0" fontId="25" fillId="0" borderId="3" xfId="0" applyFont="1" applyBorder="1" applyAlignment="1">
      <alignment horizontal="center" vertical="top"/>
    </xf>
    <xf numFmtId="0" fontId="26" fillId="0" borderId="3" xfId="0" applyFont="1" applyBorder="1" applyAlignment="1">
      <alignment horizontal="left" vertical="top"/>
    </xf>
    <xf numFmtId="0" fontId="27" fillId="0" borderId="3" xfId="0" applyFont="1" applyBorder="1" applyAlignment="1">
      <alignment horizontal="center" vertical="top"/>
    </xf>
    <xf numFmtId="0" fontId="28" fillId="0" borderId="3" xfId="0" applyFont="1" applyBorder="1" applyAlignment="1">
      <alignment horizontal="left" vertical="top"/>
    </xf>
    <xf numFmtId="0" fontId="29" fillId="0" borderId="3" xfId="0" applyFont="1" applyBorder="1" applyAlignment="1">
      <alignment horizontal="center" vertical="top"/>
    </xf>
    <xf numFmtId="0" fontId="30" fillId="0" borderId="3" xfId="0" applyFont="1" applyBorder="1" applyAlignment="1">
      <alignment horizontal="left" vertical="top"/>
    </xf>
    <xf numFmtId="0" fontId="31" fillId="0" borderId="3" xfId="0" applyFont="1" applyBorder="1" applyAlignment="1">
      <alignment horizontal="center" vertical="top"/>
    </xf>
    <xf numFmtId="0" fontId="32" fillId="0" borderId="3" xfId="0" applyFont="1" applyBorder="1" applyAlignment="1">
      <alignment horizontal="left" vertical="top"/>
    </xf>
    <xf numFmtId="0" fontId="33" fillId="0" borderId="3" xfId="0" applyFont="1" applyBorder="1" applyAlignment="1">
      <alignment horizontal="center" vertical="top"/>
    </xf>
    <xf numFmtId="0" fontId="34" fillId="0" borderId="3" xfId="0" applyFont="1" applyBorder="1" applyAlignment="1">
      <alignment horizontal="left" vertical="top"/>
    </xf>
    <xf numFmtId="0" fontId="35" fillId="0" borderId="3" xfId="0" applyFont="1" applyBorder="1" applyAlignment="1">
      <alignment horizontal="center" vertical="top"/>
    </xf>
    <xf numFmtId="0" fontId="36" fillId="0" borderId="3" xfId="0" applyFont="1" applyBorder="1" applyAlignment="1">
      <alignment horizontal="left" vertical="top"/>
    </xf>
    <xf numFmtId="0" fontId="37" fillId="0" borderId="0" xfId="0" applyNumberFormat="1" applyFont="1" applyAlignment="1">
      <alignment horizontal="left" vertical="top" wrapText="1"/>
    </xf>
    <xf numFmtId="0" fontId="38" fillId="3" borderId="3" xfId="0" applyFont="1" applyFill="1" applyBorder="1" applyAlignment="1">
      <alignment horizontal="left" vertical="top" wrapText="1"/>
    </xf>
    <xf numFmtId="0" fontId="40" fillId="4" borderId="3" xfId="0" applyFont="1" applyFill="1" applyBorder="1" applyAlignment="1">
      <alignment horizontal="center" vertical="top" wrapText="1"/>
    </xf>
    <xf numFmtId="0" fontId="41" fillId="5" borderId="3" xfId="0" applyFont="1" applyFill="1" applyBorder="1" applyAlignment="1">
      <alignment horizontal="left" vertical="top" wrapText="1"/>
    </xf>
    <xf numFmtId="0" fontId="42" fillId="5" borderId="3" xfId="0" applyFont="1" applyFill="1" applyBorder="1" applyAlignment="1">
      <alignment horizontal="left" vertical="top" wrapText="1"/>
    </xf>
    <xf numFmtId="0" fontId="43" fillId="5" borderId="3" xfId="0" applyFont="1" applyFill="1" applyBorder="1" applyAlignment="1">
      <alignment horizontal="left" vertical="top" wrapText="1"/>
    </xf>
    <xf numFmtId="0" fontId="44" fillId="5" borderId="3" xfId="0" applyFont="1" applyFill="1" applyBorder="1" applyAlignment="1">
      <alignment horizontal="left" vertical="top" wrapText="1"/>
    </xf>
    <xf numFmtId="0" fontId="45" fillId="5" borderId="3" xfId="0" applyFont="1" applyFill="1" applyBorder="1" applyAlignment="1">
      <alignment horizontal="left" vertical="top" wrapText="1"/>
    </xf>
    <xf numFmtId="0" fontId="46" fillId="5" borderId="3" xfId="0" applyFont="1" applyFill="1" applyBorder="1" applyAlignment="1">
      <alignment horizontal="left" vertical="top" wrapText="1"/>
    </xf>
    <xf numFmtId="0" fontId="47" fillId="5" borderId="3" xfId="0" applyFont="1" applyFill="1" applyBorder="1" applyAlignment="1">
      <alignment horizontal="left" vertical="top" wrapText="1"/>
    </xf>
    <xf numFmtId="0" fontId="48" fillId="5" borderId="3" xfId="0" applyFont="1" applyFill="1" applyBorder="1" applyAlignment="1">
      <alignment horizontal="left" vertical="top" wrapText="1"/>
    </xf>
    <xf numFmtId="49" fontId="0" fillId="0" borderId="0" xfId="0" applyNumberFormat="1"/>
    <xf numFmtId="0" fontId="49" fillId="3" borderId="3" xfId="0" applyFont="1" applyFill="1" applyBorder="1" applyAlignment="1">
      <alignment horizontal="left" vertical="top" wrapText="1"/>
    </xf>
    <xf numFmtId="0" fontId="52" fillId="4" borderId="3" xfId="0" applyFont="1" applyFill="1" applyBorder="1" applyAlignment="1">
      <alignment horizontal="center" vertical="top" wrapText="1"/>
    </xf>
    <xf numFmtId="0" fontId="53" fillId="5" borderId="3" xfId="0" applyFont="1" applyFill="1" applyBorder="1" applyAlignment="1">
      <alignment horizontal="left" vertical="top" wrapText="1"/>
    </xf>
    <xf numFmtId="0" fontId="54" fillId="5" borderId="3" xfId="0" applyFont="1" applyFill="1" applyBorder="1" applyAlignment="1">
      <alignment horizontal="left" vertical="top" wrapText="1"/>
    </xf>
    <xf numFmtId="0" fontId="55" fillId="5" borderId="3" xfId="0" applyFont="1" applyFill="1" applyBorder="1" applyAlignment="1">
      <alignment horizontal="left" vertical="top" wrapText="1"/>
    </xf>
    <xf numFmtId="0" fontId="56" fillId="5" borderId="3" xfId="0" applyFont="1" applyFill="1" applyBorder="1" applyAlignment="1">
      <alignment horizontal="left" vertical="top" wrapText="1"/>
    </xf>
    <xf numFmtId="0" fontId="57" fillId="5" borderId="3" xfId="0" applyFont="1" applyFill="1" applyBorder="1" applyAlignment="1">
      <alignment horizontal="left" vertical="top" wrapText="1"/>
    </xf>
    <xf numFmtId="0" fontId="58" fillId="5" borderId="3" xfId="0" applyFont="1" applyFill="1" applyBorder="1" applyAlignment="1">
      <alignment horizontal="left" vertical="top" wrapText="1"/>
    </xf>
    <xf numFmtId="0" fontId="59" fillId="5" borderId="3" xfId="0" applyFont="1" applyFill="1" applyBorder="1" applyAlignment="1">
      <alignment horizontal="left" vertical="top" wrapText="1"/>
    </xf>
    <xf numFmtId="0" fontId="60" fillId="5" borderId="3" xfId="0" applyFont="1" applyFill="1" applyBorder="1" applyAlignment="1">
      <alignment horizontal="left" vertical="top" wrapText="1"/>
    </xf>
    <xf numFmtId="0" fontId="61" fillId="5" borderId="3" xfId="0" applyFont="1" applyFill="1" applyBorder="1" applyAlignment="1">
      <alignment horizontal="left" vertical="top" wrapText="1"/>
    </xf>
    <xf numFmtId="0" fontId="62" fillId="5" borderId="3" xfId="0" applyFont="1" applyFill="1" applyBorder="1" applyAlignment="1">
      <alignment horizontal="left" vertical="top" wrapText="1"/>
    </xf>
    <xf numFmtId="0" fontId="63" fillId="5" borderId="3" xfId="0" applyFont="1" applyFill="1" applyBorder="1" applyAlignment="1">
      <alignment horizontal="left" vertical="top" wrapText="1"/>
    </xf>
    <xf numFmtId="0" fontId="64" fillId="5" borderId="3" xfId="0" applyFont="1" applyFill="1" applyBorder="1" applyAlignment="1">
      <alignment horizontal="left" vertical="top" wrapText="1"/>
    </xf>
    <xf numFmtId="0" fontId="65" fillId="5" borderId="3" xfId="0" applyFont="1" applyFill="1" applyBorder="1" applyAlignment="1">
      <alignment horizontal="left" vertical="top" wrapText="1"/>
    </xf>
    <xf numFmtId="0" fontId="66" fillId="5" borderId="3" xfId="0" applyFont="1" applyFill="1" applyBorder="1" applyAlignment="1">
      <alignment horizontal="left" vertical="top" wrapText="1"/>
    </xf>
    <xf numFmtId="0" fontId="67" fillId="5" borderId="3" xfId="0" applyFont="1" applyFill="1" applyBorder="1" applyAlignment="1">
      <alignment horizontal="left" vertical="top" wrapText="1"/>
    </xf>
    <xf numFmtId="0" fontId="68" fillId="5" borderId="3" xfId="0" applyFont="1" applyFill="1" applyBorder="1" applyAlignment="1">
      <alignment horizontal="left" vertical="top" wrapText="1"/>
    </xf>
    <xf numFmtId="0" fontId="69" fillId="5" borderId="3" xfId="0" applyFont="1" applyFill="1" applyBorder="1" applyAlignment="1">
      <alignment horizontal="left" vertical="top" wrapText="1"/>
    </xf>
    <xf numFmtId="0" fontId="70" fillId="5" borderId="3" xfId="0" applyFont="1" applyFill="1" applyBorder="1" applyAlignment="1">
      <alignment horizontal="left" vertical="top" wrapText="1"/>
    </xf>
    <xf numFmtId="0" fontId="71" fillId="5" borderId="3" xfId="0" applyFont="1" applyFill="1" applyBorder="1" applyAlignment="1">
      <alignment horizontal="left" vertical="top" wrapText="1"/>
    </xf>
    <xf numFmtId="0" fontId="72" fillId="5" borderId="3" xfId="0" applyFont="1" applyFill="1" applyBorder="1" applyAlignment="1">
      <alignment horizontal="left" vertical="top" wrapText="1"/>
    </xf>
    <xf numFmtId="0" fontId="73" fillId="5" borderId="3" xfId="0" applyFont="1" applyFill="1" applyBorder="1" applyAlignment="1">
      <alignment horizontal="left" vertical="top" wrapText="1"/>
    </xf>
    <xf numFmtId="0" fontId="74" fillId="5" borderId="3" xfId="0" applyFont="1" applyFill="1" applyBorder="1" applyAlignment="1">
      <alignment horizontal="left" vertical="top" wrapText="1"/>
    </xf>
    <xf numFmtId="0" fontId="75" fillId="5" borderId="3" xfId="0" applyFont="1" applyFill="1" applyBorder="1" applyAlignment="1">
      <alignment horizontal="left" vertical="top" wrapText="1"/>
    </xf>
    <xf numFmtId="0" fontId="76" fillId="5" borderId="3" xfId="0" applyFont="1" applyFill="1" applyBorder="1" applyAlignment="1">
      <alignment horizontal="left" vertical="top" wrapText="1"/>
    </xf>
    <xf numFmtId="0" fontId="77" fillId="5" borderId="3" xfId="0" applyFont="1" applyFill="1" applyBorder="1" applyAlignment="1">
      <alignment horizontal="left" vertical="top" wrapText="1"/>
    </xf>
    <xf numFmtId="0" fontId="78" fillId="5" borderId="3" xfId="0" applyFont="1" applyFill="1" applyBorder="1" applyAlignment="1">
      <alignment horizontal="left" vertical="top" wrapText="1"/>
    </xf>
    <xf numFmtId="0" fontId="79" fillId="5" borderId="3" xfId="0" applyFont="1" applyFill="1" applyBorder="1" applyAlignment="1">
      <alignment horizontal="left" vertical="top" wrapText="1"/>
    </xf>
    <xf numFmtId="0" fontId="80" fillId="5" borderId="3" xfId="0" applyFont="1" applyFill="1" applyBorder="1" applyAlignment="1">
      <alignment horizontal="left" vertical="top" wrapText="1"/>
    </xf>
    <xf numFmtId="0" fontId="81" fillId="5" borderId="3" xfId="0" applyFont="1" applyFill="1" applyBorder="1" applyAlignment="1">
      <alignment horizontal="left" vertical="top" wrapText="1"/>
    </xf>
    <xf numFmtId="0" fontId="82" fillId="5" borderId="3" xfId="0" applyFont="1" applyFill="1" applyBorder="1" applyAlignment="1">
      <alignment horizontal="left" vertical="top" wrapText="1"/>
    </xf>
    <xf numFmtId="0" fontId="83" fillId="5" borderId="3" xfId="0" applyFont="1" applyFill="1" applyBorder="1" applyAlignment="1">
      <alignment horizontal="left" vertical="top" wrapText="1"/>
    </xf>
    <xf numFmtId="0" fontId="84" fillId="5" borderId="3" xfId="0" applyFont="1" applyFill="1" applyBorder="1" applyAlignment="1">
      <alignment horizontal="left" vertical="top" wrapText="1"/>
    </xf>
    <xf numFmtId="0" fontId="85" fillId="5" borderId="3" xfId="0" applyFont="1" applyFill="1" applyBorder="1" applyAlignment="1">
      <alignment horizontal="left" vertical="top" wrapText="1"/>
    </xf>
    <xf numFmtId="0" fontId="86" fillId="5" borderId="3" xfId="0" applyFont="1" applyFill="1" applyBorder="1" applyAlignment="1">
      <alignment horizontal="left" vertical="top" wrapText="1"/>
    </xf>
    <xf numFmtId="0" fontId="87" fillId="5" borderId="3" xfId="0" applyFont="1" applyFill="1" applyBorder="1" applyAlignment="1">
      <alignment horizontal="left" vertical="top" wrapText="1"/>
    </xf>
    <xf numFmtId="0" fontId="88" fillId="5" borderId="3" xfId="0" applyFont="1" applyFill="1" applyBorder="1" applyAlignment="1">
      <alignment horizontal="left" vertical="top" wrapText="1"/>
    </xf>
    <xf numFmtId="0" fontId="89" fillId="5" borderId="3" xfId="0" applyFont="1" applyFill="1" applyBorder="1" applyAlignment="1">
      <alignment horizontal="left" vertical="top" wrapText="1"/>
    </xf>
    <xf numFmtId="0" fontId="90" fillId="5" borderId="3" xfId="0" applyFont="1" applyFill="1" applyBorder="1" applyAlignment="1">
      <alignment horizontal="left" vertical="top" wrapText="1"/>
    </xf>
    <xf numFmtId="0" fontId="91" fillId="5" borderId="3" xfId="0" applyFont="1" applyFill="1" applyBorder="1" applyAlignment="1">
      <alignment horizontal="center" vertical="top"/>
    </xf>
    <xf numFmtId="0" fontId="92" fillId="5" borderId="3" xfId="0" applyFont="1" applyFill="1" applyBorder="1" applyAlignment="1">
      <alignment horizontal="center" vertical="top"/>
    </xf>
    <xf numFmtId="0" fontId="93" fillId="5" borderId="3" xfId="0" applyFont="1" applyFill="1" applyBorder="1" applyAlignment="1">
      <alignment horizontal="left" vertical="top" wrapText="1"/>
    </xf>
    <xf numFmtId="0" fontId="94" fillId="5" borderId="3" xfId="0" applyFont="1" applyFill="1" applyBorder="1" applyAlignment="1">
      <alignment horizontal="left" vertical="top" wrapText="1"/>
    </xf>
    <xf numFmtId="0" fontId="95" fillId="5" borderId="3" xfId="0" applyFont="1" applyFill="1" applyBorder="1" applyAlignment="1">
      <alignment horizontal="left" vertical="top" wrapText="1"/>
    </xf>
    <xf numFmtId="0" fontId="96" fillId="5" borderId="3" xfId="0" applyFont="1" applyFill="1" applyBorder="1" applyAlignment="1">
      <alignment horizontal="left" vertical="top" wrapText="1"/>
    </xf>
    <xf numFmtId="0" fontId="97" fillId="5" borderId="3" xfId="0" applyFont="1" applyFill="1" applyBorder="1" applyAlignment="1">
      <alignment horizontal="left" vertical="top" wrapText="1"/>
    </xf>
    <xf numFmtId="0" fontId="98" fillId="5" borderId="3" xfId="0" applyFont="1" applyFill="1" applyBorder="1" applyAlignment="1">
      <alignment horizontal="left" vertical="top" wrapText="1"/>
    </xf>
    <xf numFmtId="0" fontId="99" fillId="5" borderId="3" xfId="0" applyFont="1" applyFill="1" applyBorder="1" applyAlignment="1">
      <alignment horizontal="left" vertical="top" wrapText="1"/>
    </xf>
    <xf numFmtId="0" fontId="100" fillId="5" borderId="3" xfId="0" applyFont="1" applyFill="1" applyBorder="1" applyAlignment="1">
      <alignment horizontal="left" vertical="top" wrapText="1"/>
    </xf>
    <xf numFmtId="0" fontId="101" fillId="5" borderId="3" xfId="0" applyFont="1" applyFill="1" applyBorder="1" applyAlignment="1">
      <alignment horizontal="left" vertical="top" wrapText="1"/>
    </xf>
    <xf numFmtId="0" fontId="102" fillId="5" borderId="3" xfId="0" applyFont="1" applyFill="1" applyBorder="1" applyAlignment="1">
      <alignment horizontal="left" vertical="top" wrapText="1"/>
    </xf>
    <xf numFmtId="0" fontId="103" fillId="5" borderId="3" xfId="0" applyFont="1" applyFill="1" applyBorder="1" applyAlignment="1">
      <alignment horizontal="left" vertical="top" wrapText="1"/>
    </xf>
    <xf numFmtId="0" fontId="104" fillId="5" borderId="3" xfId="0" applyFont="1" applyFill="1" applyBorder="1" applyAlignment="1">
      <alignment horizontal="left" vertical="top" wrapText="1"/>
    </xf>
    <xf numFmtId="0" fontId="105" fillId="5" borderId="3" xfId="0" applyFont="1" applyFill="1" applyBorder="1" applyAlignment="1">
      <alignment horizontal="left" vertical="top" wrapText="1"/>
    </xf>
    <xf numFmtId="0" fontId="106" fillId="5" borderId="3" xfId="0" applyFont="1" applyFill="1" applyBorder="1" applyAlignment="1">
      <alignment horizontal="left" vertical="top" wrapText="1"/>
    </xf>
    <xf numFmtId="0" fontId="107" fillId="5" borderId="3" xfId="0" applyFont="1" applyFill="1" applyBorder="1" applyAlignment="1">
      <alignment horizontal="left" vertical="top" wrapText="1"/>
    </xf>
    <xf numFmtId="0" fontId="108" fillId="5" borderId="3" xfId="0" applyFont="1" applyFill="1" applyBorder="1" applyAlignment="1">
      <alignment horizontal="left" vertical="top" wrapText="1"/>
    </xf>
    <xf numFmtId="0" fontId="109" fillId="5" borderId="3" xfId="0" applyFont="1" applyFill="1" applyBorder="1" applyAlignment="1">
      <alignment horizontal="left" vertical="top" wrapText="1"/>
    </xf>
    <xf numFmtId="0" fontId="110" fillId="5" borderId="3" xfId="0" applyFont="1" applyFill="1" applyBorder="1" applyAlignment="1">
      <alignment horizontal="left" vertical="top" wrapText="1"/>
    </xf>
    <xf numFmtId="0" fontId="111" fillId="5" borderId="3" xfId="0" applyFont="1" applyFill="1" applyBorder="1" applyAlignment="1">
      <alignment horizontal="left" vertical="top" wrapText="1"/>
    </xf>
    <xf numFmtId="0" fontId="112" fillId="5" borderId="3" xfId="0" applyFont="1" applyFill="1" applyBorder="1" applyAlignment="1">
      <alignment horizontal="left" vertical="top" wrapText="1"/>
    </xf>
    <xf numFmtId="0" fontId="113" fillId="5" borderId="3" xfId="0" applyFont="1" applyFill="1" applyBorder="1" applyAlignment="1">
      <alignment horizontal="left" vertical="top" wrapText="1"/>
    </xf>
    <xf numFmtId="0" fontId="114" fillId="5" borderId="3" xfId="0" applyFont="1" applyFill="1" applyBorder="1" applyAlignment="1">
      <alignment horizontal="left" vertical="top" wrapText="1"/>
    </xf>
    <xf numFmtId="0" fontId="115" fillId="5" borderId="3" xfId="0" applyFont="1" applyFill="1" applyBorder="1" applyAlignment="1">
      <alignment horizontal="left" vertical="top" wrapText="1"/>
    </xf>
    <xf numFmtId="0" fontId="116" fillId="5" borderId="3" xfId="0" applyFont="1" applyFill="1" applyBorder="1" applyAlignment="1">
      <alignment horizontal="center" vertical="top"/>
    </xf>
    <xf numFmtId="0" fontId="117" fillId="5" borderId="3" xfId="0" applyFont="1" applyFill="1" applyBorder="1" applyAlignment="1">
      <alignment horizontal="center" vertical="top"/>
    </xf>
    <xf numFmtId="0" fontId="118" fillId="5" borderId="3" xfId="0" applyFont="1" applyFill="1" applyBorder="1" applyAlignment="1">
      <alignment horizontal="left" vertical="top" wrapText="1"/>
    </xf>
    <xf numFmtId="0" fontId="119" fillId="5" borderId="3" xfId="0" applyFont="1" applyFill="1" applyBorder="1" applyAlignment="1">
      <alignment horizontal="left" vertical="top" wrapText="1"/>
    </xf>
    <xf numFmtId="0" fontId="120" fillId="5" borderId="3" xfId="0" applyFont="1" applyFill="1" applyBorder="1" applyAlignment="1">
      <alignment horizontal="left" vertical="top" wrapText="1"/>
    </xf>
    <xf numFmtId="0" fontId="121" fillId="5" borderId="3" xfId="0" applyFont="1" applyFill="1" applyBorder="1" applyAlignment="1">
      <alignment horizontal="left" vertical="top" wrapText="1"/>
    </xf>
    <xf numFmtId="0" fontId="122" fillId="5" borderId="3" xfId="0" applyFont="1" applyFill="1" applyBorder="1" applyAlignment="1">
      <alignment horizontal="left" vertical="top" wrapText="1"/>
    </xf>
    <xf numFmtId="0" fontId="123" fillId="5" borderId="3" xfId="0" applyFont="1" applyFill="1" applyBorder="1" applyAlignment="1">
      <alignment horizontal="left" vertical="top" wrapText="1"/>
    </xf>
    <xf numFmtId="0" fontId="124" fillId="5" borderId="3" xfId="0" applyFont="1" applyFill="1" applyBorder="1" applyAlignment="1">
      <alignment horizontal="left" vertical="top" wrapText="1"/>
    </xf>
    <xf numFmtId="0" fontId="125" fillId="5" borderId="3" xfId="0" applyFont="1" applyFill="1" applyBorder="1" applyAlignment="1">
      <alignment horizontal="left" vertical="top" wrapText="1"/>
    </xf>
    <xf numFmtId="0" fontId="126" fillId="5" borderId="3" xfId="0" applyFont="1" applyFill="1" applyBorder="1" applyAlignment="1">
      <alignment horizontal="left" vertical="top" wrapText="1"/>
    </xf>
    <xf numFmtId="0" fontId="127" fillId="5" borderId="3" xfId="0" applyFont="1" applyFill="1" applyBorder="1" applyAlignment="1">
      <alignment horizontal="left" vertical="top" wrapText="1"/>
    </xf>
    <xf numFmtId="0" fontId="128" fillId="5" borderId="3" xfId="0" applyFont="1" applyFill="1" applyBorder="1" applyAlignment="1">
      <alignment horizontal="left" vertical="top" wrapText="1"/>
    </xf>
    <xf numFmtId="0" fontId="129" fillId="5" borderId="3" xfId="0" applyFont="1" applyFill="1" applyBorder="1" applyAlignment="1">
      <alignment horizontal="left" vertical="top" wrapText="1"/>
    </xf>
    <xf numFmtId="0" fontId="130" fillId="5" borderId="3" xfId="0" applyFont="1" applyFill="1" applyBorder="1" applyAlignment="1">
      <alignment horizontal="left" vertical="top" wrapText="1"/>
    </xf>
    <xf numFmtId="0" fontId="131" fillId="5" borderId="3" xfId="0" applyFont="1" applyFill="1" applyBorder="1" applyAlignment="1">
      <alignment horizontal="left" vertical="top" wrapText="1"/>
    </xf>
    <xf numFmtId="0" fontId="132" fillId="5" borderId="3" xfId="0" applyFont="1" applyFill="1" applyBorder="1" applyAlignment="1">
      <alignment horizontal="left" vertical="top" wrapText="1"/>
    </xf>
    <xf numFmtId="0" fontId="133" fillId="5" borderId="3" xfId="0" applyFont="1" applyFill="1" applyBorder="1" applyAlignment="1">
      <alignment horizontal="left" vertical="top" wrapText="1"/>
    </xf>
    <xf numFmtId="0" fontId="134" fillId="5" borderId="3" xfId="0" applyFont="1" applyFill="1" applyBorder="1" applyAlignment="1">
      <alignment horizontal="left" vertical="top" wrapText="1"/>
    </xf>
    <xf numFmtId="0" fontId="135" fillId="5" borderId="3" xfId="0" applyFont="1" applyFill="1" applyBorder="1" applyAlignment="1">
      <alignment horizontal="left" vertical="top" wrapText="1"/>
    </xf>
    <xf numFmtId="0" fontId="136" fillId="5" borderId="3" xfId="0" applyFont="1" applyFill="1" applyBorder="1" applyAlignment="1">
      <alignment horizontal="left" vertical="top" wrapText="1"/>
    </xf>
    <xf numFmtId="0" fontId="137" fillId="5" borderId="3" xfId="0" applyFont="1" applyFill="1" applyBorder="1" applyAlignment="1">
      <alignment horizontal="left" vertical="top" wrapText="1"/>
    </xf>
    <xf numFmtId="0" fontId="138" fillId="5" borderId="3" xfId="0" applyFont="1" applyFill="1" applyBorder="1" applyAlignment="1">
      <alignment horizontal="left" vertical="top" wrapText="1"/>
    </xf>
    <xf numFmtId="0" fontId="139" fillId="5" borderId="3" xfId="0" applyFont="1" applyFill="1" applyBorder="1" applyAlignment="1">
      <alignment horizontal="left" vertical="top" wrapText="1"/>
    </xf>
    <xf numFmtId="0" fontId="140" fillId="5" borderId="3" xfId="0" applyFont="1" applyFill="1" applyBorder="1" applyAlignment="1">
      <alignment horizontal="left" vertical="top" wrapText="1"/>
    </xf>
    <xf numFmtId="0" fontId="141" fillId="5" borderId="3" xfId="0" applyFont="1" applyFill="1" applyBorder="1" applyAlignment="1">
      <alignment horizontal="left" vertical="top" wrapText="1"/>
    </xf>
    <xf numFmtId="0" fontId="142" fillId="5" borderId="3" xfId="0" applyFont="1" applyFill="1" applyBorder="1" applyAlignment="1">
      <alignment horizontal="left" vertical="top" wrapText="1"/>
    </xf>
    <xf numFmtId="0" fontId="143" fillId="5" borderId="3" xfId="0" applyFont="1" applyFill="1" applyBorder="1" applyAlignment="1">
      <alignment horizontal="left" vertical="top" wrapText="1"/>
    </xf>
    <xf numFmtId="0" fontId="144" fillId="5" borderId="3" xfId="0" applyFont="1" applyFill="1" applyBorder="1" applyAlignment="1">
      <alignment horizontal="left" vertical="top" wrapText="1"/>
    </xf>
    <xf numFmtId="0" fontId="145" fillId="5" borderId="3" xfId="0" applyFont="1" applyFill="1" applyBorder="1" applyAlignment="1">
      <alignment horizontal="left" vertical="top" wrapText="1"/>
    </xf>
    <xf numFmtId="0" fontId="146" fillId="5" borderId="3" xfId="0" applyFont="1" applyFill="1" applyBorder="1" applyAlignment="1">
      <alignment horizontal="left" vertical="top" wrapText="1"/>
    </xf>
    <xf numFmtId="0" fontId="147" fillId="5" borderId="3" xfId="0" applyFont="1" applyFill="1" applyBorder="1" applyAlignment="1">
      <alignment horizontal="left" vertical="top" wrapText="1"/>
    </xf>
    <xf numFmtId="0" fontId="148" fillId="5" borderId="3" xfId="0" applyFont="1" applyFill="1" applyBorder="1" applyAlignment="1">
      <alignment horizontal="left" vertical="top" wrapText="1"/>
    </xf>
    <xf numFmtId="0" fontId="149" fillId="5" borderId="3" xfId="0" applyFont="1" applyFill="1" applyBorder="1" applyAlignment="1">
      <alignment horizontal="left" vertical="top" wrapText="1"/>
    </xf>
    <xf numFmtId="0" fontId="150" fillId="5" borderId="3" xfId="0" applyFont="1" applyFill="1" applyBorder="1" applyAlignment="1">
      <alignment horizontal="left" vertical="top" wrapText="1"/>
    </xf>
    <xf numFmtId="0" fontId="151" fillId="5" borderId="3" xfId="0" applyFont="1" applyFill="1" applyBorder="1" applyAlignment="1">
      <alignment horizontal="left" vertical="top" wrapText="1"/>
    </xf>
    <xf numFmtId="0" fontId="152" fillId="5" borderId="3" xfId="0" applyFont="1" applyFill="1" applyBorder="1" applyAlignment="1">
      <alignment horizontal="left" vertical="top" wrapText="1"/>
    </xf>
    <xf numFmtId="0" fontId="153" fillId="5" borderId="3" xfId="0" applyFont="1" applyFill="1" applyBorder="1" applyAlignment="1">
      <alignment horizontal="left" vertical="top" wrapText="1"/>
    </xf>
    <xf numFmtId="0" fontId="154" fillId="5" borderId="3" xfId="0" applyFont="1" applyFill="1" applyBorder="1" applyAlignment="1">
      <alignment horizontal="left" vertical="top" wrapText="1"/>
    </xf>
    <xf numFmtId="0" fontId="155" fillId="5" borderId="3" xfId="0" applyFont="1" applyFill="1" applyBorder="1" applyAlignment="1">
      <alignment horizontal="left" vertical="top" wrapText="1"/>
    </xf>
    <xf numFmtId="0" fontId="156" fillId="5" borderId="3" xfId="0" applyFont="1" applyFill="1" applyBorder="1" applyAlignment="1">
      <alignment horizontal="left" vertical="top" wrapText="1"/>
    </xf>
    <xf numFmtId="0" fontId="157" fillId="5" borderId="3" xfId="0" applyFont="1" applyFill="1" applyBorder="1" applyAlignment="1">
      <alignment horizontal="left" vertical="top" wrapText="1"/>
    </xf>
    <xf numFmtId="0" fontId="158" fillId="5" borderId="3" xfId="0" applyFont="1" applyFill="1" applyBorder="1" applyAlignment="1">
      <alignment horizontal="left" vertical="top" wrapText="1"/>
    </xf>
    <xf numFmtId="0" fontId="159" fillId="5" borderId="3" xfId="0" applyFont="1" applyFill="1" applyBorder="1" applyAlignment="1">
      <alignment horizontal="left" vertical="top" wrapText="1"/>
    </xf>
    <xf numFmtId="0" fontId="160" fillId="5" borderId="3" xfId="0" applyFont="1" applyFill="1" applyBorder="1" applyAlignment="1">
      <alignment horizontal="left" vertical="top" wrapText="1"/>
    </xf>
    <xf numFmtId="0" fontId="161" fillId="5" borderId="3" xfId="0" applyFont="1" applyFill="1" applyBorder="1" applyAlignment="1">
      <alignment horizontal="left" vertical="top" wrapText="1"/>
    </xf>
    <xf numFmtId="0" fontId="162" fillId="5" borderId="3" xfId="0" applyFont="1" applyFill="1" applyBorder="1" applyAlignment="1">
      <alignment horizontal="left" vertical="top" wrapText="1"/>
    </xf>
    <xf numFmtId="0" fontId="163" fillId="5" borderId="3" xfId="0" applyFont="1" applyFill="1" applyBorder="1" applyAlignment="1">
      <alignment horizontal="left" vertical="top" wrapText="1"/>
    </xf>
    <xf numFmtId="0" fontId="164" fillId="5" borderId="3" xfId="0" applyFont="1" applyFill="1" applyBorder="1" applyAlignment="1">
      <alignment horizontal="left" vertical="top" wrapText="1"/>
    </xf>
    <xf numFmtId="0" fontId="165" fillId="5" borderId="3" xfId="0" applyFont="1" applyFill="1" applyBorder="1" applyAlignment="1">
      <alignment horizontal="left" vertical="top" wrapText="1"/>
    </xf>
    <xf numFmtId="0" fontId="166" fillId="5" borderId="3" xfId="0" applyFont="1" applyFill="1" applyBorder="1" applyAlignment="1">
      <alignment horizontal="left" vertical="top" wrapText="1"/>
    </xf>
    <xf numFmtId="0" fontId="167" fillId="5" borderId="3" xfId="0" applyFont="1" applyFill="1" applyBorder="1" applyAlignment="1">
      <alignment horizontal="left" vertical="top" wrapText="1"/>
    </xf>
    <xf numFmtId="0" fontId="168" fillId="5" borderId="3" xfId="0" applyFont="1" applyFill="1" applyBorder="1" applyAlignment="1">
      <alignment horizontal="left" vertical="top" wrapText="1"/>
    </xf>
    <xf numFmtId="0" fontId="169" fillId="5" borderId="3" xfId="0" applyFont="1" applyFill="1" applyBorder="1" applyAlignment="1">
      <alignment horizontal="center" vertical="top"/>
    </xf>
    <xf numFmtId="0" fontId="170" fillId="5" borderId="3" xfId="0" applyFont="1" applyFill="1" applyBorder="1" applyAlignment="1">
      <alignment horizontal="left" vertical="top" wrapText="1"/>
    </xf>
    <xf numFmtId="0" fontId="171" fillId="5" borderId="3" xfId="0" applyFont="1" applyFill="1" applyBorder="1" applyAlignment="1">
      <alignment horizontal="left" vertical="top" wrapText="1"/>
    </xf>
    <xf numFmtId="0" fontId="172" fillId="5" borderId="3" xfId="0" applyFont="1" applyFill="1" applyBorder="1" applyAlignment="1">
      <alignment horizontal="left" vertical="top" wrapText="1"/>
    </xf>
    <xf numFmtId="0" fontId="173" fillId="5" borderId="3" xfId="0" applyFont="1" applyFill="1" applyBorder="1" applyAlignment="1">
      <alignment horizontal="left" vertical="top" wrapText="1"/>
    </xf>
    <xf numFmtId="0" fontId="174" fillId="5" borderId="3" xfId="0" applyFont="1" applyFill="1" applyBorder="1" applyAlignment="1">
      <alignment horizontal="left" vertical="top" wrapText="1"/>
    </xf>
    <xf numFmtId="0" fontId="175" fillId="5" borderId="3" xfId="0" applyFont="1" applyFill="1" applyBorder="1" applyAlignment="1">
      <alignment horizontal="left" vertical="top" wrapText="1"/>
    </xf>
    <xf numFmtId="0" fontId="176" fillId="5" borderId="3" xfId="0" applyFont="1" applyFill="1" applyBorder="1" applyAlignment="1">
      <alignment horizontal="left" vertical="top" wrapText="1"/>
    </xf>
    <xf numFmtId="0" fontId="177" fillId="5" borderId="3" xfId="0" applyFont="1" applyFill="1" applyBorder="1" applyAlignment="1">
      <alignment horizontal="left" vertical="top" wrapText="1"/>
    </xf>
    <xf numFmtId="0" fontId="178" fillId="5" borderId="3" xfId="0" applyFont="1" applyFill="1" applyBorder="1" applyAlignment="1">
      <alignment horizontal="left" vertical="top" wrapText="1"/>
    </xf>
    <xf numFmtId="0" fontId="179" fillId="5" borderId="3" xfId="0" applyFont="1" applyFill="1" applyBorder="1" applyAlignment="1">
      <alignment horizontal="left" vertical="top" wrapText="1"/>
    </xf>
    <xf numFmtId="0" fontId="180" fillId="5" borderId="3" xfId="0" applyFont="1" applyFill="1" applyBorder="1" applyAlignment="1">
      <alignment horizontal="left" vertical="top" wrapText="1"/>
    </xf>
    <xf numFmtId="0" fontId="181" fillId="5" borderId="3" xfId="0" applyFont="1" applyFill="1" applyBorder="1" applyAlignment="1">
      <alignment horizontal="left" vertical="top" wrapText="1"/>
    </xf>
    <xf numFmtId="0" fontId="182" fillId="5" borderId="3" xfId="0" applyFont="1" applyFill="1" applyBorder="1" applyAlignment="1">
      <alignment horizontal="left" vertical="top" wrapText="1"/>
    </xf>
    <xf numFmtId="0" fontId="183" fillId="5" borderId="3" xfId="0" applyFont="1" applyFill="1" applyBorder="1" applyAlignment="1">
      <alignment horizontal="left" vertical="top" wrapText="1"/>
    </xf>
    <xf numFmtId="0" fontId="184" fillId="5" borderId="3" xfId="0" applyFont="1" applyFill="1" applyBorder="1" applyAlignment="1">
      <alignment horizontal="left" vertical="top" wrapText="1"/>
    </xf>
    <xf numFmtId="0" fontId="185" fillId="5" borderId="3" xfId="0" applyFont="1" applyFill="1" applyBorder="1" applyAlignment="1">
      <alignment horizontal="left" vertical="top" wrapText="1"/>
    </xf>
    <xf numFmtId="0" fontId="186" fillId="5" borderId="3" xfId="0" applyFont="1" applyFill="1" applyBorder="1" applyAlignment="1">
      <alignment horizontal="left" vertical="top" wrapText="1"/>
    </xf>
    <xf numFmtId="0" fontId="187" fillId="5" borderId="3" xfId="0" applyFont="1" applyFill="1" applyBorder="1" applyAlignment="1">
      <alignment horizontal="left" vertical="top" wrapText="1"/>
    </xf>
    <xf numFmtId="0" fontId="188" fillId="5" borderId="3" xfId="0" applyFont="1" applyFill="1" applyBorder="1" applyAlignment="1">
      <alignment horizontal="left" vertical="top" wrapText="1"/>
    </xf>
    <xf numFmtId="0" fontId="189" fillId="5" borderId="3" xfId="0" applyFont="1" applyFill="1" applyBorder="1" applyAlignment="1">
      <alignment horizontal="left" vertical="top" wrapText="1"/>
    </xf>
    <xf numFmtId="0" fontId="190" fillId="5" borderId="3" xfId="0" applyFont="1" applyFill="1" applyBorder="1" applyAlignment="1">
      <alignment horizontal="left" vertical="top" wrapText="1"/>
    </xf>
    <xf numFmtId="0" fontId="191" fillId="5" borderId="3" xfId="0" applyFont="1" applyFill="1" applyBorder="1" applyAlignment="1">
      <alignment horizontal="left" vertical="top" wrapText="1"/>
    </xf>
    <xf numFmtId="0" fontId="192" fillId="5" borderId="3" xfId="0" applyFont="1" applyFill="1" applyBorder="1" applyAlignment="1">
      <alignment horizontal="left" vertical="top" wrapText="1"/>
    </xf>
    <xf numFmtId="0" fontId="193" fillId="5" borderId="3" xfId="0" applyFont="1" applyFill="1" applyBorder="1" applyAlignment="1">
      <alignment horizontal="left" vertical="top" wrapText="1"/>
    </xf>
    <xf numFmtId="0" fontId="194" fillId="5" borderId="3" xfId="0" applyFont="1" applyFill="1" applyBorder="1" applyAlignment="1">
      <alignment horizontal="left" vertical="top" wrapText="1"/>
    </xf>
    <xf numFmtId="0" fontId="195" fillId="5" borderId="3" xfId="0" applyFont="1" applyFill="1" applyBorder="1" applyAlignment="1">
      <alignment horizontal="left" vertical="top" wrapText="1"/>
    </xf>
    <xf numFmtId="0" fontId="196" fillId="5" borderId="3" xfId="0" applyFont="1" applyFill="1" applyBorder="1" applyAlignment="1">
      <alignment horizontal="left" vertical="top" wrapText="1"/>
    </xf>
    <xf numFmtId="0" fontId="197" fillId="5" borderId="3" xfId="0" applyFont="1" applyFill="1" applyBorder="1" applyAlignment="1">
      <alignment horizontal="left" vertical="top" wrapText="1"/>
    </xf>
    <xf numFmtId="0" fontId="198" fillId="5" borderId="3" xfId="0" applyFont="1" applyFill="1" applyBorder="1" applyAlignment="1">
      <alignment horizontal="left" vertical="top" wrapText="1"/>
    </xf>
    <xf numFmtId="0" fontId="199" fillId="5" borderId="3" xfId="0" applyFont="1" applyFill="1" applyBorder="1" applyAlignment="1">
      <alignment horizontal="left" vertical="top" wrapText="1"/>
    </xf>
    <xf numFmtId="0" fontId="200" fillId="5" borderId="3" xfId="0" applyFont="1" applyFill="1" applyBorder="1" applyAlignment="1">
      <alignment horizontal="left" vertical="top" wrapText="1"/>
    </xf>
    <xf numFmtId="0" fontId="201" fillId="5" borderId="3" xfId="0" applyFont="1" applyFill="1" applyBorder="1" applyAlignment="1">
      <alignment horizontal="left" vertical="top" wrapText="1"/>
    </xf>
    <xf numFmtId="0" fontId="202" fillId="5" borderId="3" xfId="0" applyFont="1" applyFill="1" applyBorder="1" applyAlignment="1">
      <alignment horizontal="left" vertical="top" wrapText="1"/>
    </xf>
    <xf numFmtId="0" fontId="203" fillId="5" borderId="3" xfId="0" applyFont="1" applyFill="1" applyBorder="1" applyAlignment="1">
      <alignment horizontal="left" vertical="top" wrapText="1"/>
    </xf>
    <xf numFmtId="0" fontId="204" fillId="5" borderId="3" xfId="0" applyFont="1" applyFill="1" applyBorder="1" applyAlignment="1">
      <alignment horizontal="left" vertical="top" wrapText="1"/>
    </xf>
    <xf numFmtId="0" fontId="205" fillId="5" borderId="3" xfId="0" applyFont="1" applyFill="1" applyBorder="1" applyAlignment="1">
      <alignment horizontal="left" vertical="top" wrapText="1"/>
    </xf>
    <xf numFmtId="0" fontId="206" fillId="5" borderId="3" xfId="0" applyFont="1" applyFill="1" applyBorder="1" applyAlignment="1">
      <alignment horizontal="left" vertical="top" wrapText="1"/>
    </xf>
    <xf numFmtId="0" fontId="207" fillId="5" borderId="3" xfId="0" applyFont="1" applyFill="1" applyBorder="1" applyAlignment="1">
      <alignment horizontal="left" vertical="top" wrapText="1"/>
    </xf>
    <xf numFmtId="0" fontId="208" fillId="5" borderId="3" xfId="0" applyFont="1" applyFill="1" applyBorder="1" applyAlignment="1">
      <alignment horizontal="left" vertical="top" wrapText="1"/>
    </xf>
    <xf numFmtId="0" fontId="209" fillId="5" borderId="3" xfId="0" applyFont="1" applyFill="1" applyBorder="1" applyAlignment="1">
      <alignment horizontal="left" vertical="top" wrapText="1"/>
    </xf>
    <xf numFmtId="0" fontId="210" fillId="5" borderId="3" xfId="0" applyFont="1" applyFill="1" applyBorder="1" applyAlignment="1">
      <alignment horizontal="left" vertical="top" wrapText="1"/>
    </xf>
    <xf numFmtId="0" fontId="211" fillId="5" borderId="3" xfId="0" applyFont="1" applyFill="1" applyBorder="1" applyAlignment="1">
      <alignment horizontal="left" vertical="top" wrapText="1"/>
    </xf>
    <xf numFmtId="0" fontId="212" fillId="5" borderId="3" xfId="0" applyFont="1" applyFill="1" applyBorder="1" applyAlignment="1">
      <alignment horizontal="left" vertical="top" wrapText="1"/>
    </xf>
    <xf numFmtId="0" fontId="213" fillId="5" borderId="3" xfId="0" applyFont="1" applyFill="1" applyBorder="1" applyAlignment="1">
      <alignment horizontal="center" vertical="top"/>
    </xf>
    <xf numFmtId="0" fontId="214" fillId="5" borderId="3" xfId="0" applyFont="1" applyFill="1" applyBorder="1" applyAlignment="1">
      <alignment horizontal="center" vertical="top"/>
    </xf>
    <xf numFmtId="0" fontId="215" fillId="5" borderId="3" xfId="0" applyFont="1" applyFill="1" applyBorder="1" applyAlignment="1">
      <alignment horizontal="center" vertical="top"/>
    </xf>
    <xf numFmtId="0" fontId="216" fillId="5" borderId="3" xfId="0" applyFont="1" applyFill="1" applyBorder="1" applyAlignment="1">
      <alignment horizontal="center" vertical="top"/>
    </xf>
    <xf numFmtId="0" fontId="217" fillId="5" borderId="3" xfId="0" applyFont="1" applyFill="1" applyBorder="1" applyAlignment="1">
      <alignment horizontal="center" vertical="top"/>
    </xf>
    <xf numFmtId="0" fontId="218" fillId="5" borderId="3" xfId="0" applyFont="1" applyFill="1" applyBorder="1" applyAlignment="1">
      <alignment horizontal="center" vertical="top"/>
    </xf>
    <xf numFmtId="0" fontId="219" fillId="5" borderId="3" xfId="0" applyFont="1" applyFill="1" applyBorder="1" applyAlignment="1">
      <alignment horizontal="center" vertical="top"/>
    </xf>
    <xf numFmtId="0" fontId="220" fillId="5" borderId="3" xfId="0" applyFont="1" applyFill="1" applyBorder="1" applyAlignment="1">
      <alignment horizontal="center" vertical="top"/>
    </xf>
    <xf numFmtId="0" fontId="221" fillId="5" borderId="3" xfId="0" applyFont="1" applyFill="1" applyBorder="1" applyAlignment="1">
      <alignment horizontal="center" vertical="top"/>
    </xf>
    <xf numFmtId="0" fontId="222" fillId="5" borderId="3" xfId="0" applyFont="1" applyFill="1" applyBorder="1" applyAlignment="1">
      <alignment horizontal="center" vertical="top"/>
    </xf>
    <xf numFmtId="0" fontId="223" fillId="5" borderId="3" xfId="0" applyFont="1" applyFill="1" applyBorder="1" applyAlignment="1">
      <alignment horizontal="center" vertical="top"/>
    </xf>
    <xf numFmtId="0" fontId="224" fillId="5" borderId="3" xfId="0" applyFont="1" applyFill="1" applyBorder="1" applyAlignment="1">
      <alignment horizontal="center" vertical="top"/>
    </xf>
    <xf numFmtId="0" fontId="225" fillId="5" borderId="3" xfId="0" applyFont="1" applyFill="1" applyBorder="1" applyAlignment="1">
      <alignment horizontal="center" vertical="top"/>
    </xf>
    <xf numFmtId="0" fontId="226" fillId="5" borderId="3" xfId="0" applyFont="1" applyFill="1" applyBorder="1" applyAlignment="1">
      <alignment horizontal="left" vertical="top" wrapText="1"/>
    </xf>
    <xf numFmtId="0" fontId="227" fillId="5" borderId="3" xfId="0" applyFont="1" applyFill="1" applyBorder="1" applyAlignment="1">
      <alignment horizontal="left" vertical="top" wrapText="1"/>
    </xf>
    <xf numFmtId="0" fontId="228" fillId="5" borderId="3" xfId="0" applyFont="1" applyFill="1" applyBorder="1" applyAlignment="1">
      <alignment horizontal="left" vertical="top" wrapText="1"/>
    </xf>
    <xf numFmtId="0" fontId="229" fillId="5" borderId="3" xfId="0" applyFont="1" applyFill="1" applyBorder="1" applyAlignment="1">
      <alignment horizontal="left" vertical="top" wrapText="1"/>
    </xf>
    <xf numFmtId="0" fontId="230" fillId="5" borderId="3" xfId="0" applyFont="1" applyFill="1" applyBorder="1" applyAlignment="1">
      <alignment horizontal="left" vertical="top" wrapText="1"/>
    </xf>
    <xf numFmtId="0" fontId="231" fillId="5" borderId="3" xfId="0" applyFont="1" applyFill="1" applyBorder="1" applyAlignment="1">
      <alignment horizontal="left" vertical="top" wrapText="1"/>
    </xf>
    <xf numFmtId="0" fontId="232" fillId="5" borderId="3" xfId="0" applyFont="1" applyFill="1" applyBorder="1" applyAlignment="1">
      <alignment horizontal="left" vertical="top" wrapText="1"/>
    </xf>
    <xf numFmtId="0" fontId="233" fillId="5" borderId="3" xfId="0" applyFont="1" applyFill="1" applyBorder="1" applyAlignment="1">
      <alignment horizontal="left" vertical="top" wrapText="1"/>
    </xf>
    <xf numFmtId="0" fontId="234" fillId="5" borderId="3" xfId="0" applyFont="1" applyFill="1" applyBorder="1" applyAlignment="1">
      <alignment horizontal="left" vertical="top" wrapText="1"/>
    </xf>
    <xf numFmtId="0" fontId="235" fillId="5" borderId="3" xfId="0" applyFont="1" applyFill="1" applyBorder="1" applyAlignment="1">
      <alignment horizontal="left" vertical="top" wrapText="1"/>
    </xf>
    <xf numFmtId="0" fontId="236" fillId="5" borderId="3" xfId="0" applyFont="1" applyFill="1" applyBorder="1" applyAlignment="1">
      <alignment horizontal="left" vertical="top" wrapText="1"/>
    </xf>
    <xf numFmtId="0" fontId="237" fillId="5" borderId="3" xfId="0" applyFont="1" applyFill="1" applyBorder="1" applyAlignment="1">
      <alignment horizontal="left" vertical="top" wrapText="1"/>
    </xf>
    <xf numFmtId="0" fontId="238" fillId="5" borderId="3" xfId="0" applyFont="1" applyFill="1" applyBorder="1" applyAlignment="1">
      <alignment horizontal="left" vertical="top" wrapText="1"/>
    </xf>
    <xf numFmtId="0" fontId="239" fillId="5" borderId="3" xfId="0" applyFont="1" applyFill="1" applyBorder="1" applyAlignment="1">
      <alignment horizontal="left" vertical="top" wrapText="1"/>
    </xf>
    <xf numFmtId="0" fontId="240" fillId="5" borderId="3" xfId="0" applyFont="1" applyFill="1" applyBorder="1" applyAlignment="1">
      <alignment horizontal="left" vertical="top" wrapText="1"/>
    </xf>
    <xf numFmtId="0" fontId="241" fillId="5" borderId="3" xfId="0" applyFont="1" applyFill="1" applyBorder="1" applyAlignment="1">
      <alignment horizontal="left" vertical="top" wrapText="1"/>
    </xf>
    <xf numFmtId="0" fontId="242" fillId="5" borderId="3" xfId="0" applyFont="1" applyFill="1" applyBorder="1" applyAlignment="1">
      <alignment horizontal="left" vertical="top" wrapText="1"/>
    </xf>
    <xf numFmtId="0" fontId="243" fillId="5" borderId="3" xfId="0" applyFont="1" applyFill="1" applyBorder="1" applyAlignment="1">
      <alignment horizontal="left" vertical="top" wrapText="1"/>
    </xf>
    <xf numFmtId="0" fontId="244" fillId="5" borderId="3" xfId="0" applyFont="1" applyFill="1" applyBorder="1" applyAlignment="1">
      <alignment horizontal="left" vertical="top" wrapText="1"/>
    </xf>
    <xf numFmtId="0" fontId="245" fillId="5" borderId="3" xfId="0" applyFont="1" applyFill="1" applyBorder="1" applyAlignment="1">
      <alignment horizontal="left" vertical="top" wrapText="1"/>
    </xf>
    <xf numFmtId="0" fontId="246" fillId="5" borderId="3" xfId="0" applyFont="1" applyFill="1" applyBorder="1" applyAlignment="1">
      <alignment horizontal="left" vertical="top" wrapText="1"/>
    </xf>
    <xf numFmtId="0" fontId="247" fillId="5" borderId="3" xfId="0" applyFont="1" applyFill="1" applyBorder="1" applyAlignment="1">
      <alignment horizontal="left" vertical="top" wrapText="1"/>
    </xf>
    <xf numFmtId="0" fontId="248" fillId="5" borderId="3" xfId="0" applyFont="1" applyFill="1" applyBorder="1" applyAlignment="1">
      <alignment horizontal="left" vertical="top" wrapText="1"/>
    </xf>
    <xf numFmtId="0" fontId="249" fillId="5" borderId="3" xfId="0" applyFont="1" applyFill="1" applyBorder="1" applyAlignment="1">
      <alignment horizontal="left" vertical="top" wrapText="1"/>
    </xf>
    <xf numFmtId="0" fontId="250" fillId="5" borderId="3" xfId="0" applyFont="1" applyFill="1" applyBorder="1" applyAlignment="1">
      <alignment horizontal="left" vertical="top" wrapText="1"/>
    </xf>
    <xf numFmtId="0" fontId="251" fillId="5" borderId="3" xfId="0" applyFont="1" applyFill="1" applyBorder="1" applyAlignment="1">
      <alignment horizontal="left" vertical="top" wrapText="1"/>
    </xf>
    <xf numFmtId="0" fontId="252" fillId="5" borderId="3" xfId="0" applyFont="1" applyFill="1" applyBorder="1" applyAlignment="1">
      <alignment horizontal="left" vertical="top" wrapText="1"/>
    </xf>
    <xf numFmtId="0" fontId="253" fillId="5" borderId="3" xfId="0" applyFont="1" applyFill="1" applyBorder="1" applyAlignment="1">
      <alignment horizontal="left" vertical="top" wrapText="1"/>
    </xf>
    <xf numFmtId="0" fontId="254" fillId="5" borderId="3" xfId="0" applyFont="1" applyFill="1" applyBorder="1" applyAlignment="1">
      <alignment horizontal="left" vertical="top" wrapText="1"/>
    </xf>
    <xf numFmtId="0" fontId="255" fillId="5" borderId="3" xfId="0" applyFont="1" applyFill="1" applyBorder="1" applyAlignment="1">
      <alignment horizontal="left" vertical="top" wrapText="1"/>
    </xf>
    <xf numFmtId="0" fontId="256" fillId="5" borderId="3" xfId="0" applyFont="1" applyFill="1" applyBorder="1" applyAlignment="1">
      <alignment horizontal="left" vertical="top" wrapText="1"/>
    </xf>
    <xf numFmtId="0" fontId="257" fillId="5" borderId="3" xfId="0" applyFont="1" applyFill="1" applyBorder="1" applyAlignment="1">
      <alignment horizontal="left" vertical="top" wrapText="1"/>
    </xf>
    <xf numFmtId="0" fontId="258" fillId="5" borderId="3" xfId="0" applyFont="1" applyFill="1" applyBorder="1" applyAlignment="1">
      <alignment horizontal="left" vertical="top" wrapText="1"/>
    </xf>
    <xf numFmtId="0" fontId="259" fillId="5" borderId="3" xfId="0" applyFont="1" applyFill="1" applyBorder="1" applyAlignment="1">
      <alignment horizontal="left" vertical="top" wrapText="1"/>
    </xf>
    <xf numFmtId="0" fontId="260" fillId="5" borderId="3" xfId="0" applyFont="1" applyFill="1" applyBorder="1" applyAlignment="1">
      <alignment horizontal="left" vertical="top" wrapText="1"/>
    </xf>
    <xf numFmtId="0" fontId="261" fillId="5" borderId="3" xfId="0" applyFont="1" applyFill="1" applyBorder="1" applyAlignment="1">
      <alignment horizontal="center" vertical="top"/>
    </xf>
    <xf numFmtId="0" fontId="262" fillId="5" borderId="3" xfId="0" applyFont="1" applyFill="1" applyBorder="1" applyAlignment="1">
      <alignment horizontal="center" vertical="top"/>
    </xf>
    <xf numFmtId="0" fontId="263" fillId="5" borderId="3" xfId="0" applyFont="1" applyFill="1" applyBorder="1" applyAlignment="1">
      <alignment horizontal="center" vertical="top"/>
    </xf>
    <xf numFmtId="0" fontId="264" fillId="5" borderId="3" xfId="0" applyFont="1" applyFill="1" applyBorder="1" applyAlignment="1">
      <alignment horizontal="center" vertical="top"/>
    </xf>
    <xf numFmtId="0" fontId="265" fillId="5" borderId="3" xfId="0" applyFont="1" applyFill="1" applyBorder="1" applyAlignment="1">
      <alignment horizontal="center" vertical="top"/>
    </xf>
    <xf numFmtId="0" fontId="266" fillId="5" borderId="3" xfId="0" applyFont="1" applyFill="1" applyBorder="1" applyAlignment="1">
      <alignment horizontal="center" vertical="top"/>
    </xf>
    <xf numFmtId="0" fontId="267" fillId="5" borderId="3" xfId="0" applyFont="1" applyFill="1" applyBorder="1" applyAlignment="1">
      <alignment horizontal="center" vertical="top"/>
    </xf>
    <xf numFmtId="0" fontId="268" fillId="5" borderId="3" xfId="0" applyFont="1" applyFill="1" applyBorder="1" applyAlignment="1">
      <alignment horizontal="center" vertical="top"/>
    </xf>
    <xf numFmtId="0" fontId="269" fillId="5" borderId="3" xfId="0" applyFont="1" applyFill="1" applyBorder="1" applyAlignment="1">
      <alignment horizontal="center" vertical="top"/>
    </xf>
    <xf numFmtId="0" fontId="270" fillId="5" borderId="3" xfId="0" applyFont="1" applyFill="1" applyBorder="1" applyAlignment="1">
      <alignment horizontal="center" vertical="top"/>
    </xf>
    <xf numFmtId="0" fontId="271" fillId="5" borderId="3" xfId="0" applyFont="1" applyFill="1" applyBorder="1" applyAlignment="1">
      <alignment horizontal="center" vertical="top"/>
    </xf>
    <xf numFmtId="0" fontId="272" fillId="5" borderId="3" xfId="0" applyFont="1" applyFill="1" applyBorder="1" applyAlignment="1">
      <alignment horizontal="center" vertical="top"/>
    </xf>
    <xf numFmtId="0" fontId="273" fillId="5" borderId="3" xfId="0" applyFont="1" applyFill="1" applyBorder="1" applyAlignment="1">
      <alignment horizontal="center" vertical="top"/>
    </xf>
    <xf numFmtId="0" fontId="274" fillId="5" borderId="3" xfId="0" applyFont="1" applyFill="1" applyBorder="1" applyAlignment="1">
      <alignment horizontal="center" vertical="top"/>
    </xf>
    <xf numFmtId="0" fontId="275" fillId="5" borderId="3" xfId="0" applyFont="1" applyFill="1" applyBorder="1" applyAlignment="1">
      <alignment horizontal="center" vertical="top"/>
    </xf>
    <xf numFmtId="0" fontId="276" fillId="5" borderId="3" xfId="0" applyFont="1" applyFill="1" applyBorder="1" applyAlignment="1">
      <alignment horizontal="left" vertical="top" wrapText="1"/>
    </xf>
    <xf numFmtId="0" fontId="277" fillId="5" borderId="3" xfId="0" applyFont="1" applyFill="1" applyBorder="1" applyAlignment="1">
      <alignment horizontal="left" vertical="top" wrapText="1"/>
    </xf>
    <xf numFmtId="0" fontId="278" fillId="5" borderId="3" xfId="0" applyFont="1" applyFill="1" applyBorder="1" applyAlignment="1">
      <alignment horizontal="left" vertical="top" wrapText="1"/>
    </xf>
    <xf numFmtId="0" fontId="279" fillId="5" borderId="3" xfId="0" applyFont="1" applyFill="1" applyBorder="1" applyAlignment="1">
      <alignment horizontal="center" vertical="top"/>
    </xf>
    <xf numFmtId="0" fontId="280" fillId="5" borderId="3" xfId="0" applyFont="1" applyFill="1" applyBorder="1" applyAlignment="1">
      <alignment horizontal="center" vertical="top"/>
    </xf>
    <xf numFmtId="0" fontId="281" fillId="5" borderId="3" xfId="0" applyFont="1" applyFill="1" applyBorder="1" applyAlignment="1">
      <alignment horizontal="center" vertical="top"/>
    </xf>
    <xf numFmtId="0" fontId="282" fillId="5" borderId="3" xfId="0" applyFont="1" applyFill="1" applyBorder="1" applyAlignment="1">
      <alignment horizontal="center" vertical="top"/>
    </xf>
    <xf numFmtId="0" fontId="283" fillId="5" borderId="3" xfId="0" applyFont="1" applyFill="1" applyBorder="1" applyAlignment="1">
      <alignment horizontal="center" vertical="top"/>
    </xf>
    <xf numFmtId="0" fontId="284" fillId="5" borderId="3" xfId="0" applyFont="1" applyFill="1" applyBorder="1" applyAlignment="1">
      <alignment horizontal="left" vertical="top" wrapText="1"/>
    </xf>
    <xf numFmtId="0" fontId="285" fillId="5" borderId="3" xfId="0" applyFont="1" applyFill="1" applyBorder="1" applyAlignment="1">
      <alignment horizontal="left" vertical="top" wrapText="1"/>
    </xf>
    <xf numFmtId="0" fontId="286" fillId="5" borderId="3" xfId="0" applyFont="1" applyFill="1" applyBorder="1" applyAlignment="1">
      <alignment horizontal="left" vertical="top" wrapText="1"/>
    </xf>
    <xf numFmtId="0" fontId="287" fillId="5" borderId="3" xfId="0" applyFont="1" applyFill="1" applyBorder="1" applyAlignment="1">
      <alignment horizontal="left" vertical="top" wrapText="1"/>
    </xf>
    <xf numFmtId="0" fontId="288" fillId="5" borderId="3" xfId="0" applyFont="1" applyFill="1" applyBorder="1" applyAlignment="1">
      <alignment horizontal="left" vertical="top" wrapText="1"/>
    </xf>
    <xf numFmtId="0" fontId="289" fillId="5" borderId="3" xfId="0" applyFont="1" applyFill="1" applyBorder="1" applyAlignment="1">
      <alignment horizontal="left" vertical="top" wrapText="1"/>
    </xf>
    <xf numFmtId="0" fontId="290" fillId="5" borderId="3" xfId="0" applyFont="1" applyFill="1" applyBorder="1" applyAlignment="1">
      <alignment horizontal="left" vertical="top" wrapText="1"/>
    </xf>
    <xf numFmtId="0" fontId="291" fillId="5" borderId="3" xfId="0" applyFont="1" applyFill="1" applyBorder="1" applyAlignment="1">
      <alignment horizontal="left" vertical="top" wrapText="1"/>
    </xf>
    <xf numFmtId="0" fontId="292" fillId="5" borderId="3" xfId="0" applyFont="1" applyFill="1" applyBorder="1" applyAlignment="1">
      <alignment horizontal="left" vertical="top" wrapText="1"/>
    </xf>
    <xf numFmtId="0" fontId="293" fillId="5" borderId="3" xfId="0" applyFont="1" applyFill="1" applyBorder="1" applyAlignment="1">
      <alignment horizontal="center" vertical="top"/>
    </xf>
    <xf numFmtId="0" fontId="294" fillId="5" borderId="3" xfId="0" applyFont="1" applyFill="1" applyBorder="1" applyAlignment="1">
      <alignment horizontal="center" vertical="top"/>
    </xf>
    <xf numFmtId="0" fontId="295" fillId="5" borderId="3" xfId="0" applyFont="1" applyFill="1" applyBorder="1" applyAlignment="1">
      <alignment horizontal="center" vertical="top"/>
    </xf>
    <xf numFmtId="0" fontId="296" fillId="5" borderId="3" xfId="0" applyFont="1" applyFill="1" applyBorder="1" applyAlignment="1">
      <alignment horizontal="center" vertical="top"/>
    </xf>
    <xf numFmtId="0" fontId="297" fillId="5" borderId="3" xfId="0" applyFont="1" applyFill="1" applyBorder="1" applyAlignment="1">
      <alignment horizontal="center" vertical="top"/>
    </xf>
    <xf numFmtId="0" fontId="298" fillId="5" borderId="3" xfId="0" applyFont="1" applyFill="1" applyBorder="1" applyAlignment="1">
      <alignment horizontal="center" vertical="top"/>
    </xf>
    <xf numFmtId="0" fontId="299" fillId="5" borderId="3" xfId="0" applyFont="1" applyFill="1" applyBorder="1" applyAlignment="1">
      <alignment horizontal="center" vertical="top"/>
    </xf>
    <xf numFmtId="0" fontId="300" fillId="5" borderId="3" xfId="0" applyFont="1" applyFill="1" applyBorder="1" applyAlignment="1">
      <alignment horizontal="left" vertical="top" wrapText="1"/>
    </xf>
    <xf numFmtId="0" fontId="301" fillId="5" borderId="3" xfId="0" applyFont="1" applyFill="1" applyBorder="1" applyAlignment="1">
      <alignment horizontal="left" vertical="top" wrapText="1"/>
    </xf>
    <xf numFmtId="0" fontId="302" fillId="5" borderId="3" xfId="0" applyFont="1" applyFill="1" applyBorder="1" applyAlignment="1">
      <alignment horizontal="left" vertical="top" wrapText="1"/>
    </xf>
    <xf numFmtId="0" fontId="303" fillId="5" borderId="3" xfId="0" applyFont="1" applyFill="1" applyBorder="1" applyAlignment="1">
      <alignment horizontal="left" vertical="top" wrapText="1"/>
    </xf>
    <xf numFmtId="0" fontId="304" fillId="5" borderId="3" xfId="0" applyFont="1" applyFill="1" applyBorder="1" applyAlignment="1">
      <alignment horizontal="left" vertical="top" wrapText="1"/>
    </xf>
    <xf numFmtId="0" fontId="305" fillId="5" borderId="3" xfId="0" applyFont="1" applyFill="1" applyBorder="1" applyAlignment="1">
      <alignment horizontal="left" vertical="top" wrapText="1"/>
    </xf>
    <xf numFmtId="0" fontId="306" fillId="5" borderId="3" xfId="0" applyFont="1" applyFill="1" applyBorder="1" applyAlignment="1">
      <alignment horizontal="left" vertical="top" wrapText="1"/>
    </xf>
    <xf numFmtId="0" fontId="307" fillId="5" borderId="3" xfId="0" applyFont="1" applyFill="1" applyBorder="1" applyAlignment="1">
      <alignment horizontal="left" vertical="top" wrapText="1"/>
    </xf>
    <xf numFmtId="0" fontId="308" fillId="5" borderId="3" xfId="0" applyFont="1" applyFill="1" applyBorder="1" applyAlignment="1">
      <alignment horizontal="left" vertical="top" wrapText="1"/>
    </xf>
    <xf numFmtId="0" fontId="309" fillId="5" borderId="3" xfId="0" applyFont="1" applyFill="1" applyBorder="1" applyAlignment="1">
      <alignment horizontal="left" vertical="top" wrapText="1"/>
    </xf>
    <xf numFmtId="0" fontId="310" fillId="5" borderId="3" xfId="0" applyFont="1" applyFill="1" applyBorder="1" applyAlignment="1">
      <alignment horizontal="left" vertical="top" wrapText="1"/>
    </xf>
    <xf numFmtId="0" fontId="311" fillId="5" borderId="3" xfId="0" applyFont="1" applyFill="1" applyBorder="1" applyAlignment="1">
      <alignment horizontal="left" vertical="top" wrapText="1"/>
    </xf>
    <xf numFmtId="0" fontId="312" fillId="5" borderId="3" xfId="0" applyFont="1" applyFill="1" applyBorder="1" applyAlignment="1">
      <alignment horizontal="left" vertical="top" wrapText="1"/>
    </xf>
    <xf numFmtId="0" fontId="313" fillId="5" borderId="3" xfId="0" applyFont="1" applyFill="1" applyBorder="1" applyAlignment="1">
      <alignment horizontal="left" vertical="top" wrapText="1"/>
    </xf>
    <xf numFmtId="0" fontId="314" fillId="5" borderId="3" xfId="0" applyFont="1" applyFill="1" applyBorder="1" applyAlignment="1">
      <alignment horizontal="left" vertical="top" wrapText="1"/>
    </xf>
    <xf numFmtId="0" fontId="315" fillId="5" borderId="3" xfId="0" applyFont="1" applyFill="1" applyBorder="1" applyAlignment="1">
      <alignment horizontal="left" vertical="top" wrapText="1"/>
    </xf>
    <xf numFmtId="0" fontId="316" fillId="5" borderId="3" xfId="0" applyFont="1" applyFill="1" applyBorder="1" applyAlignment="1">
      <alignment horizontal="left" vertical="top" wrapText="1"/>
    </xf>
    <xf numFmtId="0" fontId="317" fillId="5" borderId="3" xfId="0" applyFont="1" applyFill="1" applyBorder="1" applyAlignment="1">
      <alignment horizontal="left" vertical="top" wrapText="1"/>
    </xf>
    <xf numFmtId="0" fontId="318" fillId="5" borderId="3" xfId="0" applyFont="1" applyFill="1" applyBorder="1" applyAlignment="1">
      <alignment horizontal="left" vertical="top" wrapText="1"/>
    </xf>
    <xf numFmtId="0" fontId="319" fillId="5" borderId="3" xfId="0" applyFont="1" applyFill="1" applyBorder="1" applyAlignment="1">
      <alignment horizontal="left" vertical="top" wrapText="1"/>
    </xf>
    <xf numFmtId="0" fontId="320" fillId="5" borderId="3" xfId="0" applyFont="1" applyFill="1" applyBorder="1" applyAlignment="1">
      <alignment horizontal="left" vertical="top" wrapText="1"/>
    </xf>
    <xf numFmtId="0" fontId="321" fillId="5" borderId="3" xfId="0" applyFont="1" applyFill="1" applyBorder="1" applyAlignment="1">
      <alignment horizontal="left" vertical="top" wrapText="1"/>
    </xf>
    <xf numFmtId="0" fontId="322" fillId="5" borderId="3" xfId="0" applyFont="1" applyFill="1" applyBorder="1" applyAlignment="1">
      <alignment horizontal="left" vertical="top" wrapText="1"/>
    </xf>
    <xf numFmtId="0" fontId="323" fillId="5" borderId="3" xfId="0" applyFont="1" applyFill="1" applyBorder="1" applyAlignment="1">
      <alignment horizontal="left" vertical="top" wrapText="1"/>
    </xf>
    <xf numFmtId="0" fontId="324" fillId="5" borderId="3" xfId="0" applyFont="1" applyFill="1" applyBorder="1" applyAlignment="1">
      <alignment horizontal="center" vertical="top"/>
    </xf>
    <xf numFmtId="0" fontId="325" fillId="5" borderId="3" xfId="0" applyFont="1" applyFill="1" applyBorder="1" applyAlignment="1">
      <alignment horizontal="center" vertical="top"/>
    </xf>
    <xf numFmtId="0" fontId="326" fillId="5" borderId="3" xfId="0" applyFont="1" applyFill="1" applyBorder="1" applyAlignment="1">
      <alignment horizontal="left" vertical="top" wrapText="1"/>
    </xf>
    <xf numFmtId="0" fontId="327" fillId="5" borderId="3" xfId="0" applyFont="1" applyFill="1" applyBorder="1" applyAlignment="1">
      <alignment horizontal="left" vertical="top" wrapText="1"/>
    </xf>
    <xf numFmtId="0" fontId="328" fillId="5" borderId="3" xfId="0" applyFont="1" applyFill="1" applyBorder="1" applyAlignment="1">
      <alignment horizontal="left" vertical="top" wrapText="1"/>
    </xf>
    <xf numFmtId="0" fontId="329" fillId="5" borderId="3" xfId="0" applyFont="1" applyFill="1" applyBorder="1" applyAlignment="1">
      <alignment horizontal="left" vertical="top" wrapText="1"/>
    </xf>
    <xf numFmtId="0" fontId="330" fillId="5" borderId="3" xfId="0" applyFont="1" applyFill="1" applyBorder="1" applyAlignment="1">
      <alignment horizontal="left" vertical="top" wrapText="1"/>
    </xf>
    <xf numFmtId="0" fontId="331" fillId="5" borderId="3" xfId="0" applyFont="1" applyFill="1" applyBorder="1" applyAlignment="1">
      <alignment horizontal="left" vertical="top" wrapText="1"/>
    </xf>
    <xf numFmtId="0" fontId="332" fillId="5" borderId="3" xfId="0" applyFont="1" applyFill="1" applyBorder="1" applyAlignment="1">
      <alignment horizontal="left" vertical="top" wrapText="1"/>
    </xf>
    <xf numFmtId="0" fontId="333" fillId="5" borderId="3" xfId="0" applyFont="1" applyFill="1" applyBorder="1" applyAlignment="1">
      <alignment horizontal="left" vertical="top" wrapText="1"/>
    </xf>
    <xf numFmtId="0" fontId="334" fillId="5" borderId="3" xfId="0" applyFont="1" applyFill="1" applyBorder="1" applyAlignment="1">
      <alignment horizontal="left" vertical="top" wrapText="1"/>
    </xf>
    <xf numFmtId="0" fontId="335" fillId="5" borderId="3" xfId="0" applyFont="1" applyFill="1" applyBorder="1" applyAlignment="1">
      <alignment horizontal="left" vertical="top" wrapText="1"/>
    </xf>
    <xf numFmtId="0" fontId="336" fillId="5" borderId="3" xfId="0" applyFont="1" applyFill="1" applyBorder="1" applyAlignment="1">
      <alignment horizontal="left" vertical="top" wrapText="1"/>
    </xf>
    <xf numFmtId="0" fontId="337" fillId="5" borderId="3" xfId="0" applyFont="1" applyFill="1" applyBorder="1" applyAlignment="1">
      <alignment horizontal="left" vertical="top" wrapText="1"/>
    </xf>
    <xf numFmtId="0" fontId="338" fillId="5" borderId="3" xfId="0" applyFont="1" applyFill="1" applyBorder="1" applyAlignment="1">
      <alignment horizontal="left" vertical="top" wrapText="1"/>
    </xf>
    <xf numFmtId="0" fontId="339" fillId="5" borderId="3" xfId="0" applyFont="1" applyFill="1" applyBorder="1" applyAlignment="1">
      <alignment horizontal="left" vertical="top" wrapText="1"/>
    </xf>
    <xf numFmtId="0" fontId="340" fillId="5" borderId="3" xfId="0" applyFont="1" applyFill="1" applyBorder="1" applyAlignment="1">
      <alignment horizontal="left" vertical="top" wrapText="1"/>
    </xf>
    <xf numFmtId="0" fontId="341" fillId="5" borderId="3" xfId="0" applyFont="1" applyFill="1" applyBorder="1" applyAlignment="1">
      <alignment horizontal="left" vertical="top" wrapText="1"/>
    </xf>
    <xf numFmtId="0" fontId="342" fillId="5" borderId="3" xfId="0" applyFont="1" applyFill="1" applyBorder="1" applyAlignment="1">
      <alignment horizontal="left" vertical="top" wrapText="1"/>
    </xf>
    <xf numFmtId="0" fontId="343" fillId="5" borderId="3" xfId="0" applyFont="1" applyFill="1" applyBorder="1" applyAlignment="1">
      <alignment horizontal="left" vertical="top" wrapText="1"/>
    </xf>
    <xf numFmtId="0" fontId="344" fillId="5" borderId="3" xfId="0" applyFont="1" applyFill="1" applyBorder="1" applyAlignment="1">
      <alignment horizontal="left" vertical="top" wrapText="1"/>
    </xf>
    <xf numFmtId="0" fontId="345" fillId="5" borderId="3" xfId="0" applyFont="1" applyFill="1" applyBorder="1" applyAlignment="1">
      <alignment horizontal="left" vertical="top" wrapText="1"/>
    </xf>
    <xf numFmtId="0" fontId="346" fillId="5" borderId="3" xfId="0" applyFont="1" applyFill="1" applyBorder="1" applyAlignment="1">
      <alignment horizontal="left" vertical="top" wrapText="1"/>
    </xf>
    <xf numFmtId="0" fontId="347" fillId="5" borderId="3" xfId="0" applyFont="1" applyFill="1" applyBorder="1" applyAlignment="1">
      <alignment horizontal="center" vertical="top"/>
    </xf>
    <xf numFmtId="0" fontId="348" fillId="5" borderId="3" xfId="0" applyFont="1" applyFill="1" applyBorder="1" applyAlignment="1">
      <alignment horizontal="center" vertical="top"/>
    </xf>
    <xf numFmtId="0" fontId="349" fillId="5" borderId="3" xfId="0" applyFont="1" applyFill="1" applyBorder="1" applyAlignment="1">
      <alignment horizontal="left" vertical="top" wrapText="1"/>
    </xf>
    <xf numFmtId="0" fontId="350" fillId="5" borderId="3" xfId="0" applyFont="1" applyFill="1" applyBorder="1" applyAlignment="1">
      <alignment horizontal="left" vertical="top" wrapText="1"/>
    </xf>
    <xf numFmtId="0" fontId="351" fillId="5" borderId="3" xfId="0" applyFont="1" applyFill="1" applyBorder="1" applyAlignment="1">
      <alignment horizontal="left" vertical="top" wrapText="1"/>
    </xf>
    <xf numFmtId="0" fontId="352" fillId="5" borderId="3" xfId="0" applyFont="1" applyFill="1" applyBorder="1" applyAlignment="1">
      <alignment horizontal="left" vertical="top" wrapText="1"/>
    </xf>
    <xf numFmtId="0" fontId="353" fillId="5" borderId="3" xfId="0" applyFont="1" applyFill="1" applyBorder="1" applyAlignment="1">
      <alignment horizontal="left" vertical="top" wrapText="1"/>
    </xf>
    <xf numFmtId="0" fontId="354" fillId="5" borderId="3" xfId="0" applyFont="1" applyFill="1" applyBorder="1" applyAlignment="1">
      <alignment horizontal="left" vertical="top" wrapText="1"/>
    </xf>
    <xf numFmtId="0" fontId="355" fillId="5" borderId="3" xfId="0" applyFont="1" applyFill="1" applyBorder="1" applyAlignment="1">
      <alignment horizontal="left" vertical="top" wrapText="1"/>
    </xf>
    <xf numFmtId="0" fontId="356" fillId="5" borderId="3" xfId="0" applyFont="1" applyFill="1" applyBorder="1" applyAlignment="1">
      <alignment horizontal="left" vertical="top" wrapText="1"/>
    </xf>
    <xf numFmtId="0" fontId="357" fillId="5" borderId="3" xfId="0" applyFont="1" applyFill="1" applyBorder="1" applyAlignment="1">
      <alignment horizontal="left" vertical="top" wrapText="1"/>
    </xf>
    <xf numFmtId="0" fontId="358" fillId="5" borderId="3" xfId="0" applyFont="1" applyFill="1" applyBorder="1" applyAlignment="1">
      <alignment horizontal="left" vertical="top" wrapText="1"/>
    </xf>
    <xf numFmtId="0" fontId="359" fillId="5" borderId="3" xfId="0" applyFont="1" applyFill="1" applyBorder="1" applyAlignment="1">
      <alignment horizontal="left" vertical="top" wrapText="1"/>
    </xf>
    <xf numFmtId="0" fontId="360" fillId="5" borderId="3" xfId="0" applyFont="1" applyFill="1" applyBorder="1" applyAlignment="1">
      <alignment horizontal="left" vertical="top" wrapText="1"/>
    </xf>
    <xf numFmtId="0" fontId="361" fillId="5" borderId="3" xfId="0" applyFont="1" applyFill="1" applyBorder="1" applyAlignment="1">
      <alignment horizontal="left" vertical="top" wrapText="1"/>
    </xf>
    <xf numFmtId="0" fontId="362" fillId="5" borderId="3" xfId="0" applyFont="1" applyFill="1" applyBorder="1" applyAlignment="1">
      <alignment horizontal="left" vertical="top" wrapText="1"/>
    </xf>
    <xf numFmtId="0" fontId="363" fillId="5" borderId="3" xfId="0" applyFont="1" applyFill="1" applyBorder="1" applyAlignment="1">
      <alignment horizontal="left" vertical="top" wrapText="1"/>
    </xf>
    <xf numFmtId="0" fontId="364" fillId="5" borderId="3" xfId="0" applyFont="1" applyFill="1" applyBorder="1" applyAlignment="1">
      <alignment horizontal="left" vertical="top" wrapText="1"/>
    </xf>
    <xf numFmtId="0" fontId="365" fillId="5" borderId="3" xfId="0" applyFont="1" applyFill="1" applyBorder="1" applyAlignment="1">
      <alignment horizontal="left" vertical="top" wrapText="1"/>
    </xf>
    <xf numFmtId="0" fontId="366" fillId="5" borderId="3" xfId="0" applyFont="1" applyFill="1" applyBorder="1" applyAlignment="1">
      <alignment horizontal="center" vertical="top"/>
    </xf>
    <xf numFmtId="0" fontId="367" fillId="5" borderId="3" xfId="0" applyFont="1" applyFill="1" applyBorder="1" applyAlignment="1">
      <alignment horizontal="left" vertical="top" wrapText="1"/>
    </xf>
    <xf numFmtId="0" fontId="368" fillId="5" borderId="3" xfId="0" applyFont="1" applyFill="1" applyBorder="1" applyAlignment="1">
      <alignment horizontal="left" vertical="top" wrapText="1"/>
    </xf>
    <xf numFmtId="0" fontId="369" fillId="5" borderId="3" xfId="0" applyFont="1" applyFill="1" applyBorder="1" applyAlignment="1">
      <alignment horizontal="left" vertical="top" wrapText="1"/>
    </xf>
    <xf numFmtId="0" fontId="370" fillId="5" borderId="3" xfId="0" applyFont="1" applyFill="1" applyBorder="1" applyAlignment="1">
      <alignment horizontal="left" vertical="top" wrapText="1"/>
    </xf>
    <xf numFmtId="0" fontId="371" fillId="5" borderId="3" xfId="0" applyFont="1" applyFill="1" applyBorder="1" applyAlignment="1">
      <alignment horizontal="left" vertical="top" wrapText="1"/>
    </xf>
    <xf numFmtId="0" fontId="372" fillId="5" borderId="3" xfId="0" applyFont="1" applyFill="1" applyBorder="1" applyAlignment="1">
      <alignment horizontal="left" vertical="top" wrapText="1"/>
    </xf>
    <xf numFmtId="0" fontId="373" fillId="5" borderId="3" xfId="0" applyFont="1" applyFill="1" applyBorder="1" applyAlignment="1">
      <alignment horizontal="left" vertical="top" wrapText="1"/>
    </xf>
    <xf numFmtId="0" fontId="374" fillId="5" borderId="3" xfId="0" applyFont="1" applyFill="1" applyBorder="1" applyAlignment="1">
      <alignment horizontal="left" vertical="top" wrapText="1"/>
    </xf>
    <xf numFmtId="0" fontId="375" fillId="5" borderId="3" xfId="0" applyFont="1" applyFill="1" applyBorder="1" applyAlignment="1">
      <alignment horizontal="left" vertical="top" wrapText="1"/>
    </xf>
    <xf numFmtId="0" fontId="376" fillId="5" borderId="3" xfId="0" applyFont="1" applyFill="1" applyBorder="1" applyAlignment="1">
      <alignment horizontal="left" vertical="top" wrapText="1"/>
    </xf>
    <xf numFmtId="0" fontId="377" fillId="5" borderId="3" xfId="0" applyFont="1" applyFill="1" applyBorder="1" applyAlignment="1">
      <alignment horizontal="left" vertical="top" wrapText="1"/>
    </xf>
    <xf numFmtId="0" fontId="378" fillId="5" borderId="3" xfId="0" applyFont="1" applyFill="1" applyBorder="1" applyAlignment="1">
      <alignment horizontal="left" vertical="top" wrapText="1"/>
    </xf>
    <xf numFmtId="0" fontId="379" fillId="5" borderId="3" xfId="0" applyFont="1" applyFill="1" applyBorder="1" applyAlignment="1">
      <alignment horizontal="left" vertical="top" wrapText="1"/>
    </xf>
    <xf numFmtId="0" fontId="380" fillId="5" borderId="3" xfId="0" applyFont="1" applyFill="1" applyBorder="1" applyAlignment="1">
      <alignment horizontal="left" vertical="top" wrapText="1"/>
    </xf>
    <xf numFmtId="0" fontId="381" fillId="5" borderId="3" xfId="0" applyFont="1" applyFill="1" applyBorder="1" applyAlignment="1">
      <alignment horizontal="left" vertical="top" wrapText="1"/>
    </xf>
    <xf numFmtId="0" fontId="382" fillId="5" borderId="3" xfId="0" applyFont="1" applyFill="1" applyBorder="1" applyAlignment="1">
      <alignment horizontal="left" vertical="top" wrapText="1"/>
    </xf>
    <xf numFmtId="0" fontId="383" fillId="5" borderId="3" xfId="0" applyFont="1" applyFill="1" applyBorder="1" applyAlignment="1">
      <alignment horizontal="left" vertical="top" wrapText="1"/>
    </xf>
    <xf numFmtId="0" fontId="384" fillId="5" borderId="3" xfId="0" applyFont="1" applyFill="1" applyBorder="1" applyAlignment="1">
      <alignment horizontal="left" vertical="top" wrapText="1"/>
    </xf>
    <xf numFmtId="0" fontId="385" fillId="5" borderId="3" xfId="0" applyFont="1" applyFill="1" applyBorder="1" applyAlignment="1">
      <alignment horizontal="left" vertical="top" wrapText="1"/>
    </xf>
    <xf numFmtId="0" fontId="386" fillId="5" borderId="3" xfId="0" applyFont="1" applyFill="1" applyBorder="1" applyAlignment="1">
      <alignment horizontal="left" vertical="top" wrapText="1"/>
    </xf>
    <xf numFmtId="0" fontId="387" fillId="5" borderId="3" xfId="0" applyFont="1" applyFill="1" applyBorder="1" applyAlignment="1">
      <alignment horizontal="left" vertical="top" wrapText="1"/>
    </xf>
    <xf numFmtId="0" fontId="388" fillId="5" borderId="3" xfId="0" applyFont="1" applyFill="1" applyBorder="1" applyAlignment="1">
      <alignment horizontal="left" vertical="top" wrapText="1"/>
    </xf>
    <xf numFmtId="0" fontId="389" fillId="5" borderId="3" xfId="0" applyFont="1" applyFill="1" applyBorder="1" applyAlignment="1">
      <alignment horizontal="left" vertical="top" wrapText="1"/>
    </xf>
    <xf numFmtId="0" fontId="390" fillId="5" borderId="3" xfId="0" applyFont="1" applyFill="1" applyBorder="1" applyAlignment="1">
      <alignment horizontal="left" vertical="top" wrapText="1"/>
    </xf>
    <xf numFmtId="0" fontId="391" fillId="5" borderId="3" xfId="0" applyFont="1" applyFill="1" applyBorder="1" applyAlignment="1">
      <alignment horizontal="left" vertical="top" wrapText="1"/>
    </xf>
    <xf numFmtId="0" fontId="392" fillId="5" borderId="3" xfId="0" applyFont="1" applyFill="1" applyBorder="1" applyAlignment="1">
      <alignment horizontal="left" vertical="top" wrapText="1"/>
    </xf>
    <xf numFmtId="0" fontId="393" fillId="5" borderId="3" xfId="0" applyFont="1" applyFill="1" applyBorder="1" applyAlignment="1">
      <alignment horizontal="left" vertical="top" wrapText="1"/>
    </xf>
    <xf numFmtId="0" fontId="394" fillId="5" borderId="3" xfId="0" applyFont="1" applyFill="1" applyBorder="1" applyAlignment="1">
      <alignment horizontal="left" vertical="top" wrapText="1"/>
    </xf>
    <xf numFmtId="0" fontId="395" fillId="5" borderId="3" xfId="0" applyFont="1" applyFill="1" applyBorder="1" applyAlignment="1">
      <alignment horizontal="left" vertical="top" wrapText="1"/>
    </xf>
    <xf numFmtId="0" fontId="396" fillId="5" borderId="3" xfId="0" applyFont="1" applyFill="1" applyBorder="1" applyAlignment="1">
      <alignment horizontal="left" vertical="top" wrapText="1"/>
    </xf>
    <xf numFmtId="0" fontId="397" fillId="5" borderId="3" xfId="0" applyFont="1" applyFill="1" applyBorder="1" applyAlignment="1">
      <alignment horizontal="left" vertical="top" wrapText="1"/>
    </xf>
    <xf numFmtId="0" fontId="398" fillId="5" borderId="3" xfId="0" applyFont="1" applyFill="1" applyBorder="1" applyAlignment="1">
      <alignment horizontal="left" vertical="top" wrapText="1"/>
    </xf>
    <xf numFmtId="0" fontId="399" fillId="5" borderId="3" xfId="0" applyFont="1" applyFill="1" applyBorder="1" applyAlignment="1">
      <alignment horizontal="left" vertical="top" wrapText="1"/>
    </xf>
    <xf numFmtId="0" fontId="400" fillId="5" borderId="3" xfId="0" applyFont="1" applyFill="1" applyBorder="1" applyAlignment="1">
      <alignment horizontal="left" vertical="top" wrapText="1"/>
    </xf>
    <xf numFmtId="0" fontId="401" fillId="5" borderId="3" xfId="0" applyFont="1" applyFill="1" applyBorder="1" applyAlignment="1">
      <alignment horizontal="left" vertical="top" wrapText="1"/>
    </xf>
    <xf numFmtId="0" fontId="402" fillId="5" borderId="3" xfId="0" applyFont="1" applyFill="1" applyBorder="1" applyAlignment="1">
      <alignment horizontal="left" vertical="top" wrapText="1"/>
    </xf>
    <xf numFmtId="0" fontId="403" fillId="5" borderId="3" xfId="0" applyFont="1" applyFill="1" applyBorder="1" applyAlignment="1">
      <alignment horizontal="left" vertical="top" wrapText="1"/>
    </xf>
    <xf numFmtId="0" fontId="404" fillId="5" borderId="3" xfId="0" applyFont="1" applyFill="1" applyBorder="1" applyAlignment="1">
      <alignment horizontal="left" vertical="top" wrapText="1"/>
    </xf>
    <xf numFmtId="0" fontId="405" fillId="5" borderId="3" xfId="0" applyFont="1" applyFill="1" applyBorder="1" applyAlignment="1">
      <alignment horizontal="left" vertical="top" wrapText="1"/>
    </xf>
    <xf numFmtId="0" fontId="406" fillId="5" borderId="3" xfId="0" applyFont="1" applyFill="1" applyBorder="1" applyAlignment="1">
      <alignment horizontal="left" vertical="top" wrapText="1"/>
    </xf>
    <xf numFmtId="0" fontId="407" fillId="5" borderId="3" xfId="0" applyFont="1" applyFill="1" applyBorder="1" applyAlignment="1">
      <alignment horizontal="left" vertical="top" wrapText="1"/>
    </xf>
    <xf numFmtId="0" fontId="408" fillId="5" borderId="3" xfId="0" applyFont="1" applyFill="1" applyBorder="1" applyAlignment="1">
      <alignment horizontal="left" vertical="top" wrapText="1"/>
    </xf>
    <xf numFmtId="0" fontId="409" fillId="5" borderId="3" xfId="0" applyFont="1" applyFill="1" applyBorder="1" applyAlignment="1">
      <alignment horizontal="left" vertical="top" wrapText="1"/>
    </xf>
    <xf numFmtId="0" fontId="410" fillId="5" borderId="3" xfId="0" applyFont="1" applyFill="1" applyBorder="1" applyAlignment="1">
      <alignment horizontal="left" vertical="top" wrapText="1"/>
    </xf>
    <xf numFmtId="0" fontId="411" fillId="5" borderId="3" xfId="0" applyFont="1" applyFill="1" applyBorder="1" applyAlignment="1">
      <alignment horizontal="left" vertical="top" wrapText="1"/>
    </xf>
    <xf numFmtId="0" fontId="412" fillId="5" borderId="3" xfId="0" applyFont="1" applyFill="1" applyBorder="1" applyAlignment="1">
      <alignment horizontal="left" vertical="top" wrapText="1"/>
    </xf>
    <xf numFmtId="0" fontId="413" fillId="5" borderId="3" xfId="0" applyFont="1" applyFill="1" applyBorder="1" applyAlignment="1">
      <alignment horizontal="left" vertical="top" wrapText="1"/>
    </xf>
    <xf numFmtId="0" fontId="414" fillId="5" borderId="3" xfId="0" applyFont="1" applyFill="1" applyBorder="1" applyAlignment="1">
      <alignment horizontal="left" vertical="top" wrapText="1"/>
    </xf>
    <xf numFmtId="0" fontId="415" fillId="5" borderId="3" xfId="0" applyFont="1" applyFill="1" applyBorder="1" applyAlignment="1">
      <alignment horizontal="left" vertical="top" wrapText="1"/>
    </xf>
    <xf numFmtId="0" fontId="416" fillId="5" borderId="3" xfId="0" applyFont="1" applyFill="1" applyBorder="1" applyAlignment="1">
      <alignment horizontal="left" vertical="top" wrapText="1"/>
    </xf>
    <xf numFmtId="0" fontId="417" fillId="5" borderId="3" xfId="0" applyFont="1" applyFill="1" applyBorder="1" applyAlignment="1">
      <alignment horizontal="left" vertical="top" wrapText="1"/>
    </xf>
    <xf numFmtId="0" fontId="418" fillId="5" borderId="3" xfId="0" applyFont="1" applyFill="1" applyBorder="1" applyAlignment="1">
      <alignment horizontal="left" vertical="top" wrapText="1"/>
    </xf>
    <xf numFmtId="0" fontId="419" fillId="5" borderId="3" xfId="0" applyFont="1" applyFill="1" applyBorder="1" applyAlignment="1">
      <alignment horizontal="left" vertical="top" wrapText="1"/>
    </xf>
    <xf numFmtId="0" fontId="420" fillId="5" borderId="3" xfId="0" applyFont="1" applyFill="1" applyBorder="1" applyAlignment="1">
      <alignment horizontal="left" vertical="top" wrapText="1"/>
    </xf>
    <xf numFmtId="0" fontId="421" fillId="5" borderId="3" xfId="0" applyFont="1" applyFill="1" applyBorder="1" applyAlignment="1">
      <alignment horizontal="left" vertical="top" wrapText="1"/>
    </xf>
    <xf numFmtId="0" fontId="422" fillId="5" borderId="3" xfId="0" applyFont="1" applyFill="1" applyBorder="1" applyAlignment="1">
      <alignment horizontal="left" vertical="top" wrapText="1"/>
    </xf>
    <xf numFmtId="0" fontId="423" fillId="5" borderId="3" xfId="0" applyFont="1" applyFill="1" applyBorder="1" applyAlignment="1">
      <alignment horizontal="left" vertical="top" wrapText="1"/>
    </xf>
    <xf numFmtId="0" fontId="424" fillId="5" borderId="3" xfId="0" applyFont="1" applyFill="1" applyBorder="1" applyAlignment="1">
      <alignment horizontal="left" vertical="top" wrapText="1"/>
    </xf>
    <xf numFmtId="0" fontId="425" fillId="5" borderId="3" xfId="0" applyFont="1" applyFill="1" applyBorder="1" applyAlignment="1">
      <alignment horizontal="left" vertical="top" wrapText="1"/>
    </xf>
    <xf numFmtId="0" fontId="426" fillId="5" borderId="3" xfId="0" applyFont="1" applyFill="1" applyBorder="1" applyAlignment="1">
      <alignment horizontal="left" vertical="top" wrapText="1"/>
    </xf>
    <xf numFmtId="0" fontId="427" fillId="5" borderId="3" xfId="0" applyFont="1" applyFill="1" applyBorder="1" applyAlignment="1">
      <alignment horizontal="left" vertical="top" wrapText="1"/>
    </xf>
    <xf numFmtId="0" fontId="428" fillId="5" borderId="3" xfId="0" applyFont="1" applyFill="1" applyBorder="1" applyAlignment="1">
      <alignment horizontal="left" vertical="top" wrapText="1"/>
    </xf>
    <xf numFmtId="0" fontId="429" fillId="5" borderId="3" xfId="0" applyFont="1" applyFill="1" applyBorder="1" applyAlignment="1">
      <alignment horizontal="left" vertical="top" wrapText="1"/>
    </xf>
    <xf numFmtId="0" fontId="430" fillId="5" borderId="3" xfId="0" applyFont="1" applyFill="1" applyBorder="1" applyAlignment="1">
      <alignment horizontal="left" vertical="top" wrapText="1"/>
    </xf>
    <xf numFmtId="0" fontId="431" fillId="5" borderId="3" xfId="0" applyFont="1" applyFill="1" applyBorder="1" applyAlignment="1">
      <alignment horizontal="left" vertical="top" wrapText="1"/>
    </xf>
    <xf numFmtId="0" fontId="432" fillId="5" borderId="3" xfId="0" applyFont="1" applyFill="1" applyBorder="1" applyAlignment="1">
      <alignment horizontal="left" vertical="top" wrapText="1"/>
    </xf>
    <xf numFmtId="0" fontId="433" fillId="5" borderId="3" xfId="0" applyFont="1" applyFill="1" applyBorder="1" applyAlignment="1">
      <alignment horizontal="left" vertical="top" wrapText="1"/>
    </xf>
    <xf numFmtId="0" fontId="434" fillId="5" borderId="3" xfId="0" applyFont="1" applyFill="1" applyBorder="1" applyAlignment="1">
      <alignment horizontal="left" vertical="top" wrapText="1"/>
    </xf>
    <xf numFmtId="0" fontId="435" fillId="5" borderId="3" xfId="0" applyFont="1" applyFill="1" applyBorder="1" applyAlignment="1">
      <alignment horizontal="left" vertical="top" wrapText="1"/>
    </xf>
    <xf numFmtId="0" fontId="436" fillId="5" borderId="3" xfId="0" applyFont="1" applyFill="1" applyBorder="1" applyAlignment="1">
      <alignment horizontal="left" vertical="top" wrapText="1"/>
    </xf>
    <xf numFmtId="0" fontId="437" fillId="5" borderId="3" xfId="0" applyFont="1" applyFill="1" applyBorder="1" applyAlignment="1">
      <alignment horizontal="left" vertical="top" wrapText="1"/>
    </xf>
    <xf numFmtId="0" fontId="438" fillId="5" borderId="3" xfId="0" applyFont="1" applyFill="1" applyBorder="1" applyAlignment="1">
      <alignment horizontal="left" vertical="top" wrapText="1"/>
    </xf>
    <xf numFmtId="0" fontId="439" fillId="5" borderId="3" xfId="0" applyFont="1" applyFill="1" applyBorder="1" applyAlignment="1">
      <alignment horizontal="left" vertical="top" wrapText="1"/>
    </xf>
    <xf numFmtId="0" fontId="440" fillId="5" borderId="3" xfId="0" applyFont="1" applyFill="1" applyBorder="1" applyAlignment="1">
      <alignment horizontal="left" vertical="top" wrapText="1"/>
    </xf>
    <xf numFmtId="0" fontId="441" fillId="5" borderId="3" xfId="0" applyFont="1" applyFill="1" applyBorder="1" applyAlignment="1">
      <alignment horizontal="left" vertical="top" wrapText="1"/>
    </xf>
    <xf numFmtId="0" fontId="442" fillId="5" borderId="3" xfId="0" applyFont="1" applyFill="1" applyBorder="1" applyAlignment="1">
      <alignment horizontal="left" vertical="top" wrapText="1"/>
    </xf>
    <xf numFmtId="0" fontId="443" fillId="5" borderId="3" xfId="0" applyFont="1" applyFill="1" applyBorder="1" applyAlignment="1">
      <alignment horizontal="center" vertical="top"/>
    </xf>
    <xf numFmtId="0" fontId="444" fillId="5" borderId="3" xfId="0" applyFont="1" applyFill="1" applyBorder="1" applyAlignment="1">
      <alignment horizontal="left" vertical="top" wrapText="1"/>
    </xf>
    <xf numFmtId="0" fontId="445" fillId="5" borderId="3" xfId="0" applyFont="1" applyFill="1" applyBorder="1" applyAlignment="1">
      <alignment horizontal="center" vertical="top"/>
    </xf>
    <xf numFmtId="0" fontId="446" fillId="5" borderId="3" xfId="0" applyFont="1" applyFill="1" applyBorder="1" applyAlignment="1">
      <alignment horizontal="center" vertical="top"/>
    </xf>
    <xf numFmtId="0" fontId="447" fillId="5" borderId="3" xfId="0" applyFont="1" applyFill="1" applyBorder="1" applyAlignment="1">
      <alignment horizontal="center" vertical="top"/>
    </xf>
    <xf numFmtId="0" fontId="448" fillId="5" borderId="3" xfId="0" applyFont="1" applyFill="1" applyBorder="1" applyAlignment="1">
      <alignment horizontal="center" vertical="top"/>
    </xf>
    <xf numFmtId="0" fontId="449" fillId="5" borderId="3" xfId="0" applyFont="1" applyFill="1" applyBorder="1" applyAlignment="1">
      <alignment horizontal="center" vertical="top"/>
    </xf>
    <xf numFmtId="0" fontId="450" fillId="5" borderId="3" xfId="0" applyFont="1" applyFill="1" applyBorder="1" applyAlignment="1">
      <alignment horizontal="center" vertical="top"/>
    </xf>
    <xf numFmtId="0" fontId="451" fillId="5" borderId="3" xfId="0" applyFont="1" applyFill="1" applyBorder="1" applyAlignment="1">
      <alignment horizontal="center" vertical="top"/>
    </xf>
    <xf numFmtId="0" fontId="452" fillId="5" borderId="3" xfId="0" applyFont="1" applyFill="1" applyBorder="1" applyAlignment="1">
      <alignment horizontal="center" vertical="top"/>
    </xf>
    <xf numFmtId="0" fontId="453" fillId="5" borderId="3" xfId="0" applyFont="1" applyFill="1" applyBorder="1" applyAlignment="1">
      <alignment horizontal="center" vertical="top"/>
    </xf>
    <xf numFmtId="0" fontId="454" fillId="5" borderId="3" xfId="0" applyFont="1" applyFill="1" applyBorder="1" applyAlignment="1">
      <alignment horizontal="center" vertical="top"/>
    </xf>
    <xf numFmtId="0" fontId="455" fillId="5" borderId="3" xfId="0" applyFont="1" applyFill="1" applyBorder="1" applyAlignment="1">
      <alignment horizontal="center" vertical="top"/>
    </xf>
    <xf numFmtId="0" fontId="456" fillId="5" borderId="3" xfId="0" applyFont="1" applyFill="1" applyBorder="1" applyAlignment="1">
      <alignment horizontal="center" vertical="top"/>
    </xf>
    <xf numFmtId="0" fontId="457" fillId="5" borderId="3" xfId="0" applyFont="1" applyFill="1" applyBorder="1" applyAlignment="1">
      <alignment horizontal="center" vertical="top"/>
    </xf>
    <xf numFmtId="0" fontId="458" fillId="5" borderId="3" xfId="0" applyFont="1" applyFill="1" applyBorder="1" applyAlignment="1">
      <alignment horizontal="center" vertical="top"/>
    </xf>
    <xf numFmtId="0" fontId="459" fillId="5" borderId="3" xfId="0" applyFont="1" applyFill="1" applyBorder="1" applyAlignment="1">
      <alignment horizontal="center" vertical="top"/>
    </xf>
    <xf numFmtId="0" fontId="460" fillId="5" borderId="3" xfId="0" applyFont="1" applyFill="1" applyBorder="1" applyAlignment="1">
      <alignment horizontal="center" vertical="top"/>
    </xf>
    <xf numFmtId="0" fontId="461" fillId="5" borderId="3" xfId="0" applyFont="1" applyFill="1" applyBorder="1" applyAlignment="1">
      <alignment horizontal="center" vertical="top"/>
    </xf>
    <xf numFmtId="0" fontId="462" fillId="5" borderId="3" xfId="0" applyFont="1" applyFill="1" applyBorder="1" applyAlignment="1">
      <alignment horizontal="center" vertical="top"/>
    </xf>
    <xf numFmtId="0" fontId="463" fillId="5" borderId="3" xfId="0" applyFont="1" applyFill="1" applyBorder="1" applyAlignment="1">
      <alignment horizontal="center" vertical="top"/>
    </xf>
    <xf numFmtId="0" fontId="464" fillId="5" borderId="3" xfId="0" applyFont="1" applyFill="1" applyBorder="1" applyAlignment="1">
      <alignment horizontal="center" vertical="top"/>
    </xf>
    <xf numFmtId="0" fontId="465" fillId="5" borderId="3" xfId="0" applyFont="1" applyFill="1" applyBorder="1" applyAlignment="1">
      <alignment horizontal="center" vertical="top"/>
    </xf>
    <xf numFmtId="0" fontId="466" fillId="5" borderId="3" xfId="0" applyFont="1" applyFill="1" applyBorder="1" applyAlignment="1">
      <alignment horizontal="center" vertical="top"/>
    </xf>
    <xf numFmtId="0" fontId="467" fillId="5" borderId="3" xfId="0" applyFont="1" applyFill="1" applyBorder="1" applyAlignment="1">
      <alignment horizontal="center" vertical="top"/>
    </xf>
    <xf numFmtId="0" fontId="468" fillId="5" borderId="3" xfId="0" applyFont="1" applyFill="1" applyBorder="1" applyAlignment="1">
      <alignment horizontal="center" vertical="top"/>
    </xf>
    <xf numFmtId="0" fontId="469" fillId="5" borderId="3" xfId="0" applyFont="1" applyFill="1" applyBorder="1" applyAlignment="1">
      <alignment horizontal="center" vertical="top"/>
    </xf>
    <xf numFmtId="0" fontId="470" fillId="5" borderId="3" xfId="0" applyFont="1" applyFill="1" applyBorder="1" applyAlignment="1">
      <alignment horizontal="center" vertical="top"/>
    </xf>
    <xf numFmtId="0" fontId="471" fillId="5" borderId="3" xfId="0" applyFont="1" applyFill="1" applyBorder="1" applyAlignment="1">
      <alignment horizontal="left" vertical="top" wrapText="1"/>
    </xf>
    <xf numFmtId="0" fontId="472" fillId="5" borderId="3" xfId="0" applyFont="1" applyFill="1" applyBorder="1" applyAlignment="1">
      <alignment horizontal="center" vertical="top"/>
    </xf>
    <xf numFmtId="0" fontId="473" fillId="5" borderId="3" xfId="0" applyFont="1" applyFill="1" applyBorder="1" applyAlignment="1">
      <alignment horizontal="center" vertical="top"/>
    </xf>
    <xf numFmtId="0" fontId="474" fillId="5" borderId="3" xfId="0" applyFont="1" applyFill="1" applyBorder="1" applyAlignment="1">
      <alignment horizontal="center" vertical="top"/>
    </xf>
    <xf numFmtId="0" fontId="475" fillId="5" borderId="3" xfId="0" applyFont="1" applyFill="1" applyBorder="1" applyAlignment="1">
      <alignment horizontal="center" vertical="top"/>
    </xf>
    <xf numFmtId="0" fontId="476" fillId="5" borderId="3" xfId="0" applyFont="1" applyFill="1" applyBorder="1" applyAlignment="1">
      <alignment horizontal="left" vertical="top" wrapText="1"/>
    </xf>
    <xf numFmtId="0" fontId="477" fillId="5" borderId="3" xfId="0" applyFont="1" applyFill="1" applyBorder="1" applyAlignment="1">
      <alignment horizontal="center" vertical="top"/>
    </xf>
    <xf numFmtId="0" fontId="478" fillId="5" borderId="3" xfId="0" applyFont="1" applyFill="1" applyBorder="1" applyAlignment="1">
      <alignment horizontal="left" vertical="top" wrapText="1"/>
    </xf>
    <xf numFmtId="0" fontId="479" fillId="5" borderId="3" xfId="0" applyFont="1" applyFill="1" applyBorder="1" applyAlignment="1">
      <alignment horizontal="left" vertical="top" wrapText="1"/>
    </xf>
    <xf numFmtId="0" fontId="480" fillId="5" borderId="3" xfId="0" applyFont="1" applyFill="1" applyBorder="1" applyAlignment="1">
      <alignment horizontal="center" vertical="top"/>
    </xf>
    <xf numFmtId="0" fontId="481" fillId="5" borderId="3" xfId="0" applyFont="1" applyFill="1" applyBorder="1" applyAlignment="1">
      <alignment horizontal="left" vertical="top" wrapText="1"/>
    </xf>
    <xf numFmtId="0" fontId="482" fillId="5" borderId="3" xfId="0" applyFont="1" applyFill="1" applyBorder="1" applyAlignment="1">
      <alignment horizontal="left" vertical="top" wrapText="1"/>
    </xf>
    <xf numFmtId="0" fontId="483" fillId="5" borderId="3" xfId="0" applyFont="1" applyFill="1" applyBorder="1" applyAlignment="1">
      <alignment horizontal="left" vertical="top" wrapText="1"/>
    </xf>
    <xf numFmtId="0" fontId="484" fillId="5" borderId="3" xfId="0" applyFont="1" applyFill="1" applyBorder="1" applyAlignment="1">
      <alignment horizontal="left" vertical="top" wrapText="1"/>
    </xf>
    <xf numFmtId="0" fontId="485" fillId="5" borderId="3" xfId="0" applyFont="1" applyFill="1" applyBorder="1" applyAlignment="1">
      <alignment horizontal="left" vertical="top" wrapText="1"/>
    </xf>
    <xf numFmtId="0" fontId="486" fillId="5" borderId="3" xfId="0" applyFont="1" applyFill="1" applyBorder="1" applyAlignment="1">
      <alignment horizontal="left" vertical="top" wrapText="1"/>
    </xf>
    <xf numFmtId="0" fontId="487" fillId="5" borderId="3" xfId="0" applyFont="1" applyFill="1" applyBorder="1" applyAlignment="1">
      <alignment horizontal="left" vertical="top" wrapText="1"/>
    </xf>
    <xf numFmtId="0" fontId="488" fillId="5" borderId="3" xfId="0" applyFont="1" applyFill="1" applyBorder="1" applyAlignment="1">
      <alignment horizontal="left" vertical="top" wrapText="1"/>
    </xf>
    <xf numFmtId="0" fontId="489" fillId="5" borderId="3" xfId="0" applyFont="1" applyFill="1" applyBorder="1" applyAlignment="1">
      <alignment horizontal="left" vertical="top" wrapText="1"/>
    </xf>
    <xf numFmtId="0" fontId="490" fillId="5" borderId="3" xfId="0" applyFont="1" applyFill="1" applyBorder="1" applyAlignment="1">
      <alignment horizontal="left" vertical="top" wrapText="1"/>
    </xf>
    <xf numFmtId="0" fontId="491" fillId="5" borderId="3" xfId="0" applyFont="1" applyFill="1" applyBorder="1" applyAlignment="1">
      <alignment horizontal="center" vertical="top"/>
    </xf>
    <xf numFmtId="0" fontId="492" fillId="5" borderId="3" xfId="0" applyFont="1" applyFill="1" applyBorder="1" applyAlignment="1">
      <alignment horizontal="center" vertical="top"/>
    </xf>
    <xf numFmtId="0" fontId="493" fillId="5" borderId="3" xfId="0" applyFont="1" applyFill="1" applyBorder="1" applyAlignment="1">
      <alignment horizontal="center" vertical="top"/>
    </xf>
    <xf numFmtId="0" fontId="494" fillId="5" borderId="3" xfId="0" applyFont="1" applyFill="1" applyBorder="1" applyAlignment="1">
      <alignment horizontal="center" vertical="top"/>
    </xf>
    <xf numFmtId="0" fontId="495" fillId="5" borderId="3" xfId="0" applyFont="1" applyFill="1" applyBorder="1" applyAlignment="1">
      <alignment horizontal="center" vertical="top"/>
    </xf>
    <xf numFmtId="0" fontId="496" fillId="5" borderId="3" xfId="0" applyFont="1" applyFill="1" applyBorder="1" applyAlignment="1">
      <alignment horizontal="left" vertical="top" wrapText="1"/>
    </xf>
    <xf numFmtId="0" fontId="497" fillId="5" borderId="3" xfId="0" applyFont="1" applyFill="1" applyBorder="1" applyAlignment="1">
      <alignment horizontal="center" vertical="top"/>
    </xf>
    <xf numFmtId="0" fontId="498" fillId="5" borderId="3" xfId="0" applyFont="1" applyFill="1" applyBorder="1" applyAlignment="1">
      <alignment horizontal="center" vertical="top"/>
    </xf>
    <xf numFmtId="0" fontId="499" fillId="5" borderId="3" xfId="0" applyFont="1" applyFill="1" applyBorder="1" applyAlignment="1">
      <alignment horizontal="center" vertical="top"/>
    </xf>
    <xf numFmtId="0" fontId="500" fillId="5" borderId="3" xfId="0" applyFont="1" applyFill="1" applyBorder="1" applyAlignment="1">
      <alignment horizontal="left" vertical="top" wrapText="1"/>
    </xf>
    <xf numFmtId="0" fontId="501" fillId="5" borderId="3" xfId="0" applyFont="1" applyFill="1" applyBorder="1" applyAlignment="1">
      <alignment horizontal="left" vertical="top" wrapText="1"/>
    </xf>
    <xf numFmtId="0" fontId="502" fillId="5" borderId="3" xfId="0" applyFont="1" applyFill="1" applyBorder="1" applyAlignment="1">
      <alignment horizontal="left" vertical="top" wrapText="1"/>
    </xf>
    <xf numFmtId="0" fontId="503" fillId="5" borderId="3" xfId="0" applyFont="1" applyFill="1" applyBorder="1" applyAlignment="1">
      <alignment horizontal="left" vertical="top" wrapText="1"/>
    </xf>
    <xf numFmtId="0" fontId="504" fillId="5" borderId="3" xfId="0" applyFont="1" applyFill="1" applyBorder="1" applyAlignment="1">
      <alignment horizontal="left" vertical="top" wrapText="1"/>
    </xf>
    <xf numFmtId="0" fontId="505" fillId="5" borderId="3" xfId="0" applyFont="1" applyFill="1" applyBorder="1" applyAlignment="1">
      <alignment horizontal="left" vertical="top" wrapText="1"/>
    </xf>
    <xf numFmtId="0" fontId="506" fillId="5" borderId="3" xfId="0" applyFont="1" applyFill="1" applyBorder="1" applyAlignment="1">
      <alignment horizontal="left" vertical="top" wrapText="1"/>
    </xf>
    <xf numFmtId="0" fontId="507" fillId="5" borderId="3" xfId="0" applyFont="1" applyFill="1" applyBorder="1" applyAlignment="1">
      <alignment horizontal="left" vertical="top" wrapText="1"/>
    </xf>
    <xf numFmtId="0" fontId="508" fillId="5" borderId="3" xfId="0" applyFont="1" applyFill="1" applyBorder="1" applyAlignment="1">
      <alignment horizontal="left" vertical="top" wrapText="1"/>
    </xf>
    <xf numFmtId="0" fontId="509" fillId="5" borderId="3" xfId="0" applyFont="1" applyFill="1" applyBorder="1" applyAlignment="1">
      <alignment horizontal="left" vertical="top" wrapText="1"/>
    </xf>
    <xf numFmtId="0" fontId="510" fillId="5" borderId="3" xfId="0" applyFont="1" applyFill="1" applyBorder="1" applyAlignment="1">
      <alignment horizontal="left" vertical="top" wrapText="1"/>
    </xf>
    <xf numFmtId="0" fontId="511" fillId="5" borderId="3" xfId="0" applyFont="1" applyFill="1" applyBorder="1" applyAlignment="1">
      <alignment horizontal="left" vertical="top" wrapText="1"/>
    </xf>
    <xf numFmtId="0" fontId="512" fillId="5" borderId="3" xfId="0" applyFont="1" applyFill="1" applyBorder="1" applyAlignment="1">
      <alignment horizontal="left" vertical="top" wrapText="1"/>
    </xf>
    <xf numFmtId="0" fontId="513" fillId="5" borderId="3" xfId="0" applyFont="1" applyFill="1" applyBorder="1" applyAlignment="1">
      <alignment horizontal="left" vertical="top" wrapText="1"/>
    </xf>
    <xf numFmtId="0" fontId="514" fillId="5" borderId="3" xfId="0" applyFont="1" applyFill="1" applyBorder="1" applyAlignment="1">
      <alignment horizontal="left" vertical="top" wrapText="1"/>
    </xf>
    <xf numFmtId="0" fontId="515" fillId="5" borderId="3" xfId="0" applyFont="1" applyFill="1" applyBorder="1" applyAlignment="1">
      <alignment horizontal="left" vertical="top" wrapText="1"/>
    </xf>
    <xf numFmtId="0" fontId="516" fillId="5" borderId="3" xfId="0" applyFont="1" applyFill="1" applyBorder="1" applyAlignment="1">
      <alignment horizontal="left" vertical="top" wrapText="1"/>
    </xf>
    <xf numFmtId="0" fontId="517" fillId="5" borderId="3" xfId="0" applyFont="1" applyFill="1" applyBorder="1" applyAlignment="1">
      <alignment horizontal="left" vertical="top" wrapText="1"/>
    </xf>
    <xf numFmtId="0" fontId="518" fillId="5" borderId="3" xfId="0" applyFont="1" applyFill="1" applyBorder="1" applyAlignment="1">
      <alignment horizontal="left" vertical="top" wrapText="1"/>
    </xf>
    <xf numFmtId="0" fontId="519" fillId="5" borderId="3" xfId="0" applyFont="1" applyFill="1" applyBorder="1" applyAlignment="1">
      <alignment horizontal="left" vertical="top" wrapText="1"/>
    </xf>
    <xf numFmtId="0" fontId="520" fillId="5" borderId="3" xfId="0" applyFont="1" applyFill="1" applyBorder="1" applyAlignment="1">
      <alignment horizontal="left" vertical="top" wrapText="1"/>
    </xf>
    <xf numFmtId="0" fontId="521" fillId="5" borderId="3" xfId="0" applyFont="1" applyFill="1" applyBorder="1" applyAlignment="1">
      <alignment horizontal="left" vertical="top" wrapText="1"/>
    </xf>
    <xf numFmtId="0" fontId="522" fillId="5" borderId="3" xfId="0" applyFont="1" applyFill="1" applyBorder="1" applyAlignment="1">
      <alignment horizontal="left" vertical="top" wrapText="1"/>
    </xf>
    <xf numFmtId="0" fontId="523" fillId="5" borderId="3" xfId="0" applyFont="1" applyFill="1" applyBorder="1" applyAlignment="1">
      <alignment horizontal="left" vertical="top" wrapText="1"/>
    </xf>
    <xf numFmtId="0" fontId="524" fillId="5" borderId="3" xfId="0" applyFont="1" applyFill="1" applyBorder="1" applyAlignment="1">
      <alignment horizontal="left" vertical="top" wrapText="1"/>
    </xf>
    <xf numFmtId="0" fontId="525" fillId="5" borderId="3" xfId="0" applyFont="1" applyFill="1" applyBorder="1" applyAlignment="1">
      <alignment horizontal="left" vertical="top" wrapText="1"/>
    </xf>
    <xf numFmtId="0" fontId="526" fillId="5" borderId="3" xfId="0" applyFont="1" applyFill="1" applyBorder="1" applyAlignment="1">
      <alignment horizontal="left" vertical="top" wrapText="1"/>
    </xf>
    <xf numFmtId="0" fontId="527" fillId="5" borderId="3" xfId="0" applyFont="1" applyFill="1" applyBorder="1" applyAlignment="1">
      <alignment horizontal="left" vertical="top" wrapText="1"/>
    </xf>
    <xf numFmtId="0" fontId="528" fillId="5" borderId="3" xfId="0" applyFont="1" applyFill="1" applyBorder="1" applyAlignment="1">
      <alignment horizontal="left" vertical="top" wrapText="1"/>
    </xf>
    <xf numFmtId="0" fontId="529" fillId="5" borderId="3" xfId="0" applyFont="1" applyFill="1" applyBorder="1" applyAlignment="1">
      <alignment horizontal="left" vertical="top" wrapText="1"/>
    </xf>
    <xf numFmtId="0" fontId="530" fillId="5" borderId="3" xfId="0" applyFont="1" applyFill="1" applyBorder="1" applyAlignment="1">
      <alignment horizontal="left" vertical="top" wrapText="1"/>
    </xf>
    <xf numFmtId="0" fontId="531" fillId="5" borderId="3" xfId="0" applyFont="1" applyFill="1" applyBorder="1" applyAlignment="1">
      <alignment horizontal="left" vertical="top" wrapText="1"/>
    </xf>
    <xf numFmtId="0" fontId="532" fillId="5" borderId="3" xfId="0" applyFont="1" applyFill="1" applyBorder="1" applyAlignment="1">
      <alignment horizontal="left" vertical="top" wrapText="1"/>
    </xf>
    <xf numFmtId="0" fontId="533" fillId="5" borderId="3" xfId="0" applyFont="1" applyFill="1" applyBorder="1" applyAlignment="1">
      <alignment horizontal="left" vertical="top" wrapText="1"/>
    </xf>
    <xf numFmtId="0" fontId="534" fillId="5" borderId="3" xfId="0" applyFont="1" applyFill="1" applyBorder="1" applyAlignment="1">
      <alignment horizontal="left" vertical="top" wrapText="1"/>
    </xf>
    <xf numFmtId="0" fontId="535" fillId="5" borderId="3" xfId="0" applyFont="1" applyFill="1" applyBorder="1" applyAlignment="1">
      <alignment horizontal="left" vertical="top" wrapText="1"/>
    </xf>
    <xf numFmtId="0" fontId="536" fillId="5" borderId="3" xfId="0" applyFont="1" applyFill="1" applyBorder="1" applyAlignment="1">
      <alignment horizontal="left" vertical="top" wrapText="1"/>
    </xf>
    <xf numFmtId="0" fontId="537" fillId="5" borderId="3" xfId="0" applyFont="1" applyFill="1" applyBorder="1" applyAlignment="1">
      <alignment horizontal="left" vertical="top" wrapText="1"/>
    </xf>
    <xf numFmtId="0" fontId="538" fillId="5" borderId="3" xfId="0" applyFont="1" applyFill="1" applyBorder="1" applyAlignment="1">
      <alignment horizontal="left" vertical="top" wrapText="1"/>
    </xf>
    <xf numFmtId="0" fontId="539" fillId="5" borderId="3" xfId="0" applyFont="1" applyFill="1" applyBorder="1" applyAlignment="1">
      <alignment horizontal="left" vertical="top" wrapText="1"/>
    </xf>
    <xf numFmtId="0" fontId="540" fillId="5" borderId="3" xfId="0" applyFont="1" applyFill="1" applyBorder="1" applyAlignment="1">
      <alignment horizontal="left" vertical="top" wrapText="1"/>
    </xf>
    <xf numFmtId="0" fontId="541" fillId="5" borderId="3" xfId="0" applyFont="1" applyFill="1" applyBorder="1" applyAlignment="1">
      <alignment horizontal="left" vertical="top" wrapText="1"/>
    </xf>
    <xf numFmtId="0" fontId="542" fillId="5" borderId="3" xfId="0" applyFont="1" applyFill="1" applyBorder="1" applyAlignment="1">
      <alignment horizontal="center" vertical="top"/>
    </xf>
    <xf numFmtId="0" fontId="543" fillId="5" borderId="3" xfId="0" applyFont="1" applyFill="1" applyBorder="1" applyAlignment="1">
      <alignment horizontal="center" vertical="top"/>
    </xf>
    <xf numFmtId="0" fontId="544" fillId="5" borderId="3" xfId="0" applyFont="1" applyFill="1" applyBorder="1" applyAlignment="1">
      <alignment horizontal="center" vertical="top"/>
    </xf>
    <xf numFmtId="0" fontId="545" fillId="5" borderId="3" xfId="0" applyFont="1" applyFill="1" applyBorder="1" applyAlignment="1">
      <alignment horizontal="center" vertical="top"/>
    </xf>
    <xf numFmtId="0" fontId="546" fillId="5" borderId="3" xfId="0" applyFont="1" applyFill="1" applyBorder="1" applyAlignment="1">
      <alignment horizontal="center" vertical="top"/>
    </xf>
    <xf numFmtId="0" fontId="547" fillId="5" borderId="3" xfId="0" applyFont="1" applyFill="1" applyBorder="1" applyAlignment="1">
      <alignment horizontal="center" vertical="top"/>
    </xf>
    <xf numFmtId="0" fontId="548" fillId="5" borderId="3" xfId="0" applyFont="1" applyFill="1" applyBorder="1" applyAlignment="1">
      <alignment horizontal="center" vertical="top"/>
    </xf>
    <xf numFmtId="0" fontId="549" fillId="5" borderId="3" xfId="0" applyFont="1" applyFill="1" applyBorder="1" applyAlignment="1">
      <alignment horizontal="center" vertical="top"/>
    </xf>
    <xf numFmtId="0" fontId="550" fillId="5" borderId="3" xfId="0" applyFont="1" applyFill="1" applyBorder="1" applyAlignment="1">
      <alignment horizontal="left" vertical="top" wrapText="1"/>
    </xf>
    <xf numFmtId="0" fontId="551" fillId="5" borderId="3" xfId="0" applyFont="1" applyFill="1" applyBorder="1" applyAlignment="1">
      <alignment horizontal="center" vertical="top"/>
    </xf>
    <xf numFmtId="0" fontId="552" fillId="5" borderId="3" xfId="0" applyFont="1" applyFill="1" applyBorder="1" applyAlignment="1">
      <alignment horizontal="center" vertical="top"/>
    </xf>
    <xf numFmtId="0" fontId="553" fillId="5" borderId="3" xfId="0" applyFont="1" applyFill="1" applyBorder="1" applyAlignment="1">
      <alignment horizontal="center" vertical="top"/>
    </xf>
    <xf numFmtId="0" fontId="554" fillId="5" borderId="3" xfId="0" applyFont="1" applyFill="1" applyBorder="1" applyAlignment="1">
      <alignment horizontal="center" vertical="top"/>
    </xf>
    <xf numFmtId="0" fontId="555" fillId="5" borderId="3" xfId="0" applyFont="1" applyFill="1" applyBorder="1" applyAlignment="1">
      <alignment horizontal="center" vertical="top"/>
    </xf>
    <xf numFmtId="0" fontId="556" fillId="5" borderId="3" xfId="0" applyFont="1" applyFill="1" applyBorder="1" applyAlignment="1">
      <alignment horizontal="center" vertical="top"/>
    </xf>
    <xf numFmtId="0" fontId="557" fillId="5" borderId="3" xfId="0" applyFont="1" applyFill="1" applyBorder="1" applyAlignment="1">
      <alignment horizontal="center" vertical="top"/>
    </xf>
    <xf numFmtId="0" fontId="558" fillId="5" borderId="3" xfId="0" applyFont="1" applyFill="1" applyBorder="1" applyAlignment="1">
      <alignment horizontal="center" vertical="top"/>
    </xf>
    <xf numFmtId="0" fontId="559" fillId="5" borderId="3" xfId="0" applyFont="1" applyFill="1" applyBorder="1" applyAlignment="1">
      <alignment horizontal="center" vertical="top"/>
    </xf>
    <xf numFmtId="0" fontId="560" fillId="5" borderId="3" xfId="0" applyFont="1" applyFill="1" applyBorder="1" applyAlignment="1">
      <alignment horizontal="center" vertical="top"/>
    </xf>
    <xf numFmtId="0" fontId="561" fillId="5" borderId="3" xfId="0" applyFont="1" applyFill="1" applyBorder="1" applyAlignment="1">
      <alignment horizontal="center" vertical="top"/>
    </xf>
    <xf numFmtId="0" fontId="562" fillId="5" borderId="3" xfId="0" applyFont="1" applyFill="1" applyBorder="1" applyAlignment="1">
      <alignment horizontal="center" vertical="top"/>
    </xf>
    <xf numFmtId="0" fontId="563" fillId="5" borderId="3" xfId="0" applyFont="1" applyFill="1" applyBorder="1" applyAlignment="1">
      <alignment horizontal="center" vertical="top"/>
    </xf>
    <xf numFmtId="0" fontId="564" fillId="5" borderId="3" xfId="0" applyFont="1" applyFill="1" applyBorder="1" applyAlignment="1">
      <alignment horizontal="center" vertical="top"/>
    </xf>
    <xf numFmtId="0" fontId="565" fillId="5" borderId="3" xfId="0" applyFont="1" applyFill="1" applyBorder="1" applyAlignment="1">
      <alignment horizontal="center" vertical="top"/>
    </xf>
    <xf numFmtId="0" fontId="566" fillId="5" borderId="3" xfId="0" applyFont="1" applyFill="1" applyBorder="1" applyAlignment="1">
      <alignment horizontal="center" vertical="top"/>
    </xf>
    <xf numFmtId="0" fontId="567" fillId="5" borderId="3" xfId="0" applyFont="1" applyFill="1" applyBorder="1" applyAlignment="1">
      <alignment horizontal="left" vertical="top" wrapText="1"/>
    </xf>
    <xf numFmtId="0" fontId="568" fillId="5" borderId="3" xfId="0" applyFont="1" applyFill="1" applyBorder="1" applyAlignment="1">
      <alignment horizontal="left" vertical="top" wrapText="1"/>
    </xf>
    <xf numFmtId="0" fontId="569" fillId="5" borderId="3" xfId="0" applyFont="1" applyFill="1" applyBorder="1" applyAlignment="1">
      <alignment horizontal="left" vertical="top" wrapText="1"/>
    </xf>
    <xf numFmtId="0" fontId="570" fillId="5" borderId="3" xfId="0" applyFont="1" applyFill="1" applyBorder="1" applyAlignment="1">
      <alignment horizontal="left" vertical="top" wrapText="1"/>
    </xf>
    <xf numFmtId="0" fontId="571" fillId="5" borderId="3" xfId="0" applyFont="1" applyFill="1" applyBorder="1" applyAlignment="1">
      <alignment horizontal="left" vertical="top" wrapText="1"/>
    </xf>
    <xf numFmtId="0" fontId="572" fillId="5" borderId="3" xfId="0" applyFont="1" applyFill="1" applyBorder="1" applyAlignment="1">
      <alignment horizontal="left" vertical="top" wrapText="1"/>
    </xf>
    <xf numFmtId="0" fontId="573" fillId="5" borderId="3" xfId="0" applyFont="1" applyFill="1" applyBorder="1" applyAlignment="1">
      <alignment horizontal="left" vertical="top" wrapText="1"/>
    </xf>
    <xf numFmtId="0" fontId="574" fillId="5" borderId="3" xfId="0" applyFont="1" applyFill="1" applyBorder="1" applyAlignment="1">
      <alignment horizontal="left" vertical="top" wrapText="1"/>
    </xf>
    <xf numFmtId="0" fontId="575" fillId="5" borderId="3" xfId="0" applyFont="1" applyFill="1" applyBorder="1" applyAlignment="1">
      <alignment horizontal="left" vertical="top" wrapText="1"/>
    </xf>
    <xf numFmtId="0" fontId="576" fillId="5" borderId="3" xfId="0" applyFont="1" applyFill="1" applyBorder="1" applyAlignment="1">
      <alignment horizontal="left" vertical="top" wrapText="1"/>
    </xf>
    <xf numFmtId="0" fontId="577" fillId="5" borderId="3" xfId="0" applyFont="1" applyFill="1" applyBorder="1" applyAlignment="1">
      <alignment horizontal="left" vertical="top" wrapText="1"/>
    </xf>
    <xf numFmtId="0" fontId="578" fillId="5" borderId="3" xfId="0" applyFont="1" applyFill="1" applyBorder="1" applyAlignment="1">
      <alignment horizontal="left" vertical="top" wrapText="1"/>
    </xf>
    <xf numFmtId="0" fontId="579" fillId="5" borderId="3" xfId="0" applyFont="1" applyFill="1" applyBorder="1" applyAlignment="1">
      <alignment horizontal="left" vertical="top" wrapText="1"/>
    </xf>
    <xf numFmtId="0" fontId="580" fillId="5" borderId="3" xfId="0" applyFont="1" applyFill="1" applyBorder="1" applyAlignment="1">
      <alignment horizontal="left" vertical="top" wrapText="1"/>
    </xf>
    <xf numFmtId="0" fontId="581" fillId="5" borderId="3" xfId="0" applyFont="1" applyFill="1" applyBorder="1" applyAlignment="1">
      <alignment horizontal="left" vertical="top" wrapText="1"/>
    </xf>
    <xf numFmtId="0" fontId="582" fillId="5" borderId="3" xfId="0" applyFont="1" applyFill="1" applyBorder="1" applyAlignment="1">
      <alignment horizontal="left" vertical="top" wrapText="1"/>
    </xf>
    <xf numFmtId="0" fontId="583" fillId="5" borderId="3" xfId="0" applyFont="1" applyFill="1" applyBorder="1" applyAlignment="1">
      <alignment horizontal="left" vertical="top" wrapText="1"/>
    </xf>
    <xf numFmtId="0" fontId="584" fillId="5" borderId="3" xfId="0" applyFont="1" applyFill="1" applyBorder="1" applyAlignment="1">
      <alignment horizontal="left" vertical="top" wrapText="1"/>
    </xf>
    <xf numFmtId="0" fontId="585" fillId="5" borderId="3" xfId="0" applyFont="1" applyFill="1" applyBorder="1" applyAlignment="1">
      <alignment horizontal="left" vertical="top" wrapText="1"/>
    </xf>
    <xf numFmtId="0" fontId="586" fillId="5" borderId="3" xfId="0" applyFont="1" applyFill="1" applyBorder="1" applyAlignment="1">
      <alignment horizontal="left" vertical="top" wrapText="1"/>
    </xf>
    <xf numFmtId="0" fontId="587" fillId="5" borderId="3" xfId="0" applyFont="1" applyFill="1" applyBorder="1" applyAlignment="1">
      <alignment horizontal="left" vertical="top" wrapText="1"/>
    </xf>
    <xf numFmtId="0" fontId="588" fillId="5" borderId="3" xfId="0" applyFont="1" applyFill="1" applyBorder="1" applyAlignment="1">
      <alignment horizontal="left" vertical="top" wrapText="1"/>
    </xf>
    <xf numFmtId="0" fontId="589" fillId="5" borderId="3" xfId="0" applyFont="1" applyFill="1" applyBorder="1" applyAlignment="1">
      <alignment horizontal="left" vertical="top" wrapText="1"/>
    </xf>
    <xf numFmtId="0" fontId="590" fillId="5" borderId="3" xfId="0" applyFont="1" applyFill="1" applyBorder="1" applyAlignment="1">
      <alignment horizontal="left" vertical="top" wrapText="1"/>
    </xf>
    <xf numFmtId="0" fontId="591" fillId="5" borderId="3" xfId="0" applyFont="1" applyFill="1" applyBorder="1" applyAlignment="1">
      <alignment horizontal="left" vertical="top" wrapText="1"/>
    </xf>
    <xf numFmtId="0" fontId="592" fillId="5" borderId="3" xfId="0" applyFont="1" applyFill="1" applyBorder="1" applyAlignment="1">
      <alignment horizontal="left" vertical="top" wrapText="1"/>
    </xf>
    <xf numFmtId="0" fontId="593" fillId="5" borderId="3" xfId="0" applyFont="1" applyFill="1" applyBorder="1" applyAlignment="1">
      <alignment horizontal="left" vertical="top" wrapText="1"/>
    </xf>
    <xf numFmtId="0" fontId="594" fillId="5" borderId="3" xfId="0" applyFont="1" applyFill="1" applyBorder="1" applyAlignment="1">
      <alignment horizontal="left" vertical="top" wrapText="1"/>
    </xf>
    <xf numFmtId="0" fontId="595" fillId="5" borderId="3" xfId="0" applyFont="1" applyFill="1" applyBorder="1" applyAlignment="1">
      <alignment horizontal="left" vertical="top" wrapText="1"/>
    </xf>
    <xf numFmtId="0" fontId="596" fillId="5" borderId="3" xfId="0" applyFont="1" applyFill="1" applyBorder="1" applyAlignment="1">
      <alignment horizontal="left" vertical="top" wrapText="1"/>
    </xf>
    <xf numFmtId="0" fontId="597" fillId="5" borderId="3" xfId="0" applyFont="1" applyFill="1" applyBorder="1" applyAlignment="1">
      <alignment horizontal="left" vertical="top" wrapText="1"/>
    </xf>
    <xf numFmtId="0" fontId="598" fillId="5" borderId="3" xfId="0" applyFont="1" applyFill="1" applyBorder="1" applyAlignment="1">
      <alignment horizontal="left" vertical="top" wrapText="1"/>
    </xf>
    <xf numFmtId="0" fontId="599" fillId="5" borderId="3" xfId="0" applyFont="1" applyFill="1" applyBorder="1" applyAlignment="1">
      <alignment horizontal="left" vertical="top" wrapText="1"/>
    </xf>
    <xf numFmtId="0" fontId="600" fillId="5" borderId="3" xfId="0" applyFont="1" applyFill="1" applyBorder="1" applyAlignment="1">
      <alignment horizontal="left" vertical="top" wrapText="1"/>
    </xf>
    <xf numFmtId="0" fontId="601" fillId="5" borderId="3" xfId="0" applyFont="1" applyFill="1" applyBorder="1" applyAlignment="1">
      <alignment horizontal="left" vertical="top" wrapText="1"/>
    </xf>
    <xf numFmtId="0" fontId="602" fillId="5" borderId="3" xfId="0" applyFont="1" applyFill="1" applyBorder="1" applyAlignment="1">
      <alignment horizontal="left" vertical="top" wrapText="1"/>
    </xf>
    <xf numFmtId="0" fontId="603" fillId="5" borderId="3" xfId="0" applyFont="1" applyFill="1" applyBorder="1" applyAlignment="1">
      <alignment horizontal="center" vertical="top"/>
    </xf>
    <xf numFmtId="0" fontId="604" fillId="5" borderId="3" xfId="0" applyFont="1" applyFill="1" applyBorder="1" applyAlignment="1">
      <alignment horizontal="center" vertical="top"/>
    </xf>
    <xf numFmtId="0" fontId="605" fillId="5" borderId="3" xfId="0" applyFont="1" applyFill="1" applyBorder="1" applyAlignment="1">
      <alignment horizontal="center" vertical="top"/>
    </xf>
    <xf numFmtId="0" fontId="606" fillId="5" borderId="3" xfId="0" applyFont="1" applyFill="1" applyBorder="1" applyAlignment="1">
      <alignment horizontal="center" vertical="top"/>
    </xf>
    <xf numFmtId="0" fontId="607" fillId="5" borderId="3" xfId="0" applyFont="1" applyFill="1" applyBorder="1" applyAlignment="1">
      <alignment horizontal="center" vertical="top"/>
    </xf>
    <xf numFmtId="0" fontId="608" fillId="5" borderId="3" xfId="0" applyFont="1" applyFill="1" applyBorder="1" applyAlignment="1">
      <alignment horizontal="left" vertical="top" wrapText="1"/>
    </xf>
    <xf numFmtId="0" fontId="609" fillId="5" borderId="3" xfId="0" applyFont="1" applyFill="1" applyBorder="1" applyAlignment="1">
      <alignment horizontal="left" vertical="top" wrapText="1"/>
    </xf>
    <xf numFmtId="0" fontId="610" fillId="5" borderId="3" xfId="0" applyFont="1" applyFill="1" applyBorder="1" applyAlignment="1">
      <alignment horizontal="left" vertical="top" wrapText="1"/>
    </xf>
    <xf numFmtId="0" fontId="611" fillId="5" borderId="3" xfId="0" applyFont="1" applyFill="1" applyBorder="1" applyAlignment="1">
      <alignment horizontal="left" vertical="top" wrapText="1"/>
    </xf>
    <xf numFmtId="0" fontId="612" fillId="5" borderId="3" xfId="0" applyFont="1" applyFill="1" applyBorder="1" applyAlignment="1">
      <alignment horizontal="left" vertical="top" wrapText="1"/>
    </xf>
    <xf numFmtId="0" fontId="613" fillId="5" borderId="3" xfId="0" applyFont="1" applyFill="1" applyBorder="1" applyAlignment="1">
      <alignment horizontal="left" vertical="top" wrapText="1"/>
    </xf>
    <xf numFmtId="0" fontId="614" fillId="5" borderId="3" xfId="0" applyFont="1" applyFill="1" applyBorder="1" applyAlignment="1">
      <alignment horizontal="left" vertical="top" wrapText="1"/>
    </xf>
    <xf numFmtId="0" fontId="615" fillId="5" borderId="3" xfId="0" applyFont="1" applyFill="1" applyBorder="1" applyAlignment="1">
      <alignment horizontal="left" vertical="top" wrapText="1"/>
    </xf>
    <xf numFmtId="0" fontId="616" fillId="5" borderId="3" xfId="0" applyFont="1" applyFill="1" applyBorder="1" applyAlignment="1">
      <alignment horizontal="left" vertical="top" wrapText="1"/>
    </xf>
    <xf numFmtId="0" fontId="617" fillId="5" borderId="3" xfId="0" applyFont="1" applyFill="1" applyBorder="1" applyAlignment="1">
      <alignment horizontal="left" vertical="top" wrapText="1"/>
    </xf>
    <xf numFmtId="0" fontId="618" fillId="5" borderId="3" xfId="0" applyFont="1" applyFill="1" applyBorder="1" applyAlignment="1">
      <alignment horizontal="left" vertical="top" wrapText="1"/>
    </xf>
    <xf numFmtId="0" fontId="619" fillId="5" borderId="3" xfId="0" applyFont="1" applyFill="1" applyBorder="1" applyAlignment="1">
      <alignment horizontal="left" vertical="top" wrapText="1"/>
    </xf>
    <xf numFmtId="0" fontId="620" fillId="5" borderId="3" xfId="0" applyFont="1" applyFill="1" applyBorder="1" applyAlignment="1">
      <alignment horizontal="left" vertical="top" wrapText="1"/>
    </xf>
    <xf numFmtId="0" fontId="621" fillId="5" borderId="3" xfId="0" applyFont="1" applyFill="1" applyBorder="1" applyAlignment="1">
      <alignment horizontal="left" vertical="top" wrapText="1"/>
    </xf>
    <xf numFmtId="0" fontId="622" fillId="5" borderId="3" xfId="0" applyFont="1" applyFill="1" applyBorder="1" applyAlignment="1">
      <alignment horizontal="left" vertical="top" wrapText="1"/>
    </xf>
    <xf numFmtId="0" fontId="623" fillId="5" borderId="3" xfId="0" applyFont="1" applyFill="1" applyBorder="1" applyAlignment="1">
      <alignment horizontal="left" vertical="top" wrapText="1"/>
    </xf>
    <xf numFmtId="0" fontId="624" fillId="5" borderId="3" xfId="0" applyFont="1" applyFill="1" applyBorder="1" applyAlignment="1">
      <alignment horizontal="center" vertical="top"/>
    </xf>
    <xf numFmtId="0" fontId="625" fillId="5" borderId="3" xfId="0" applyFont="1" applyFill="1" applyBorder="1" applyAlignment="1">
      <alignment horizontal="left" vertical="top" wrapText="1"/>
    </xf>
    <xf numFmtId="0" fontId="626" fillId="5" borderId="3" xfId="0" applyFont="1" applyFill="1" applyBorder="1" applyAlignment="1">
      <alignment horizontal="left" vertical="top" wrapText="1"/>
    </xf>
    <xf numFmtId="0" fontId="627" fillId="5" borderId="3" xfId="0" applyFont="1" applyFill="1" applyBorder="1" applyAlignment="1">
      <alignment horizontal="left" vertical="top" wrapText="1"/>
    </xf>
    <xf numFmtId="0" fontId="628" fillId="5" borderId="3" xfId="0" applyFont="1" applyFill="1" applyBorder="1" applyAlignment="1">
      <alignment horizontal="left" vertical="top" wrapText="1"/>
    </xf>
    <xf numFmtId="0" fontId="629" fillId="5" borderId="3" xfId="0" applyFont="1" applyFill="1" applyBorder="1" applyAlignment="1">
      <alignment horizontal="left" vertical="top" wrapText="1"/>
    </xf>
    <xf numFmtId="0" fontId="630" fillId="5" borderId="3" xfId="0" applyFont="1" applyFill="1" applyBorder="1" applyAlignment="1">
      <alignment horizontal="left" vertical="top" wrapText="1"/>
    </xf>
    <xf numFmtId="0" fontId="631" fillId="5" borderId="3" xfId="0" applyFont="1" applyFill="1" applyBorder="1" applyAlignment="1">
      <alignment horizontal="left" vertical="top" wrapText="1"/>
    </xf>
    <xf numFmtId="0" fontId="632" fillId="5" borderId="3" xfId="0" applyFont="1" applyFill="1" applyBorder="1" applyAlignment="1">
      <alignment horizontal="left" vertical="top" wrapText="1"/>
    </xf>
    <xf numFmtId="0" fontId="633" fillId="5" borderId="3" xfId="0" applyFont="1" applyFill="1" applyBorder="1" applyAlignment="1">
      <alignment horizontal="left" vertical="top" wrapText="1"/>
    </xf>
    <xf numFmtId="0" fontId="634" fillId="5" borderId="3" xfId="0" applyFont="1" applyFill="1" applyBorder="1" applyAlignment="1">
      <alignment horizontal="left" vertical="top" wrapText="1"/>
    </xf>
    <xf numFmtId="0" fontId="635" fillId="5" borderId="3" xfId="0" applyFont="1" applyFill="1" applyBorder="1" applyAlignment="1">
      <alignment horizontal="left" vertical="top" wrapText="1"/>
    </xf>
    <xf numFmtId="0" fontId="636" fillId="5" borderId="3" xfId="0" applyFont="1" applyFill="1" applyBorder="1" applyAlignment="1">
      <alignment horizontal="left" vertical="top" wrapText="1"/>
    </xf>
    <xf numFmtId="0" fontId="637" fillId="5" borderId="3" xfId="0" applyFont="1" applyFill="1" applyBorder="1" applyAlignment="1">
      <alignment horizontal="left" vertical="top" wrapText="1"/>
    </xf>
    <xf numFmtId="0" fontId="638" fillId="5" borderId="3" xfId="0" applyFont="1" applyFill="1" applyBorder="1" applyAlignment="1">
      <alignment horizontal="left" vertical="top" wrapText="1"/>
    </xf>
    <xf numFmtId="0" fontId="639" fillId="5" borderId="3" xfId="0" applyFont="1" applyFill="1" applyBorder="1" applyAlignment="1">
      <alignment horizontal="left" vertical="top" wrapText="1"/>
    </xf>
    <xf numFmtId="0" fontId="640" fillId="5" borderId="3" xfId="0" applyFont="1" applyFill="1" applyBorder="1" applyAlignment="1">
      <alignment horizontal="left" vertical="top" wrapText="1"/>
    </xf>
    <xf numFmtId="0" fontId="641" fillId="5" borderId="3" xfId="0" applyFont="1" applyFill="1" applyBorder="1" applyAlignment="1">
      <alignment horizontal="left" vertical="top" wrapText="1"/>
    </xf>
    <xf numFmtId="0" fontId="642" fillId="5" borderId="3" xfId="0" applyFont="1" applyFill="1" applyBorder="1" applyAlignment="1">
      <alignment horizontal="left" vertical="top" wrapText="1"/>
    </xf>
    <xf numFmtId="0" fontId="643" fillId="5" borderId="3" xfId="0" applyFont="1" applyFill="1" applyBorder="1" applyAlignment="1">
      <alignment horizontal="left" vertical="top" wrapText="1"/>
    </xf>
    <xf numFmtId="0" fontId="644" fillId="5" borderId="3" xfId="0" applyFont="1" applyFill="1" applyBorder="1" applyAlignment="1">
      <alignment horizontal="left" vertical="top" wrapText="1"/>
    </xf>
    <xf numFmtId="0" fontId="645" fillId="5" borderId="3" xfId="0" applyFont="1" applyFill="1" applyBorder="1" applyAlignment="1">
      <alignment horizontal="left" vertical="top" wrapText="1"/>
    </xf>
    <xf numFmtId="0" fontId="646" fillId="5" borderId="3" xfId="0" applyFont="1" applyFill="1" applyBorder="1" applyAlignment="1">
      <alignment horizontal="left" vertical="top" wrapText="1"/>
    </xf>
    <xf numFmtId="0" fontId="647" fillId="5" borderId="3" xfId="0" applyFont="1" applyFill="1" applyBorder="1" applyAlignment="1">
      <alignment horizontal="left" vertical="top" wrapText="1"/>
    </xf>
    <xf numFmtId="0" fontId="648" fillId="5" borderId="3" xfId="0" applyFont="1" applyFill="1" applyBorder="1" applyAlignment="1">
      <alignment horizontal="left" vertical="top" wrapText="1"/>
    </xf>
    <xf numFmtId="0" fontId="649" fillId="5" borderId="3" xfId="0" applyFont="1" applyFill="1" applyBorder="1" applyAlignment="1">
      <alignment horizontal="left" vertical="top" wrapText="1"/>
    </xf>
    <xf numFmtId="0" fontId="650" fillId="5" borderId="3" xfId="0" applyFont="1" applyFill="1" applyBorder="1" applyAlignment="1">
      <alignment horizontal="left" vertical="top" wrapText="1"/>
    </xf>
    <xf numFmtId="0" fontId="651" fillId="5" borderId="3" xfId="0" applyFont="1" applyFill="1" applyBorder="1" applyAlignment="1">
      <alignment horizontal="left" vertical="top" wrapText="1"/>
    </xf>
    <xf numFmtId="0" fontId="652" fillId="5" borderId="3" xfId="0" applyFont="1" applyFill="1" applyBorder="1" applyAlignment="1">
      <alignment horizontal="left" vertical="top" wrapText="1"/>
    </xf>
    <xf numFmtId="0" fontId="653" fillId="5" borderId="3" xfId="0" applyFont="1" applyFill="1" applyBorder="1" applyAlignment="1">
      <alignment horizontal="left" vertical="top" wrapText="1"/>
    </xf>
    <xf numFmtId="0" fontId="654" fillId="5" borderId="3" xfId="0" applyFont="1" applyFill="1" applyBorder="1" applyAlignment="1">
      <alignment horizontal="center" vertical="top"/>
    </xf>
    <xf numFmtId="0" fontId="655" fillId="5" borderId="3" xfId="0" applyFont="1" applyFill="1" applyBorder="1" applyAlignment="1">
      <alignment horizontal="center" vertical="top"/>
    </xf>
    <xf numFmtId="0" fontId="656" fillId="5" borderId="3" xfId="0" applyFont="1" applyFill="1" applyBorder="1" applyAlignment="1">
      <alignment horizontal="center" vertical="top"/>
    </xf>
    <xf numFmtId="0" fontId="657" fillId="5" borderId="3" xfId="0" applyFont="1" applyFill="1" applyBorder="1" applyAlignment="1">
      <alignment horizontal="center" vertical="top"/>
    </xf>
    <xf numFmtId="0" fontId="658" fillId="5" borderId="3" xfId="0" applyFont="1" applyFill="1" applyBorder="1" applyAlignment="1">
      <alignment horizontal="center" vertical="top"/>
    </xf>
    <xf numFmtId="0" fontId="659" fillId="5" borderId="3" xfId="0" applyFont="1" applyFill="1" applyBorder="1" applyAlignment="1">
      <alignment horizontal="center" vertical="top"/>
    </xf>
    <xf numFmtId="0" fontId="660" fillId="5" borderId="3" xfId="0" applyFont="1" applyFill="1" applyBorder="1" applyAlignment="1">
      <alignment horizontal="center" vertical="top"/>
    </xf>
    <xf numFmtId="0" fontId="661" fillId="5" borderId="3" xfId="0" applyFont="1" applyFill="1" applyBorder="1" applyAlignment="1">
      <alignment horizontal="center" vertical="top"/>
    </xf>
    <xf numFmtId="0" fontId="662" fillId="5" borderId="3" xfId="0" applyFont="1" applyFill="1" applyBorder="1" applyAlignment="1">
      <alignment horizontal="center" vertical="top"/>
    </xf>
    <xf numFmtId="0" fontId="663" fillId="5" borderId="3" xfId="0" applyFont="1" applyFill="1" applyBorder="1" applyAlignment="1">
      <alignment horizontal="center" vertical="top"/>
    </xf>
    <xf numFmtId="0" fontId="664" fillId="5" borderId="3" xfId="0" applyFont="1" applyFill="1" applyBorder="1" applyAlignment="1">
      <alignment horizontal="center" vertical="top"/>
    </xf>
    <xf numFmtId="0" fontId="665" fillId="5" borderId="3" xfId="0" applyFont="1" applyFill="1" applyBorder="1" applyAlignment="1">
      <alignment horizontal="left" vertical="top" wrapText="1"/>
    </xf>
    <xf numFmtId="0" fontId="666" fillId="5" borderId="3" xfId="0" applyFont="1" applyFill="1" applyBorder="1" applyAlignment="1">
      <alignment horizontal="left" vertical="top" wrapText="1"/>
    </xf>
    <xf numFmtId="0" fontId="667" fillId="5" borderId="3" xfId="0" applyFont="1" applyFill="1" applyBorder="1" applyAlignment="1">
      <alignment horizontal="left" vertical="top" wrapText="1"/>
    </xf>
    <xf numFmtId="0" fontId="668" fillId="5" borderId="3" xfId="0" applyFont="1" applyFill="1" applyBorder="1" applyAlignment="1">
      <alignment horizontal="center" vertical="top"/>
    </xf>
    <xf numFmtId="0" fontId="669" fillId="5" borderId="3" xfId="0" applyFont="1" applyFill="1" applyBorder="1" applyAlignment="1">
      <alignment horizontal="left" vertical="top" wrapText="1"/>
    </xf>
    <xf numFmtId="0" fontId="670" fillId="5" borderId="3" xfId="0" applyFont="1" applyFill="1" applyBorder="1" applyAlignment="1">
      <alignment horizontal="left" vertical="top" wrapText="1"/>
    </xf>
    <xf numFmtId="0" fontId="671" fillId="5" borderId="3" xfId="0" applyFont="1" applyFill="1" applyBorder="1" applyAlignment="1">
      <alignment horizontal="left" vertical="top" wrapText="1"/>
    </xf>
    <xf numFmtId="0" fontId="672" fillId="5" borderId="3" xfId="0" applyFont="1" applyFill="1" applyBorder="1" applyAlignment="1">
      <alignment horizontal="left" vertical="top" wrapText="1"/>
    </xf>
    <xf numFmtId="0" fontId="673" fillId="5" borderId="3" xfId="0" applyFont="1" applyFill="1" applyBorder="1" applyAlignment="1">
      <alignment horizontal="left" vertical="top" wrapText="1"/>
    </xf>
    <xf numFmtId="0" fontId="674" fillId="5" borderId="3" xfId="0" applyFont="1" applyFill="1" applyBorder="1" applyAlignment="1">
      <alignment horizontal="left" vertical="top" wrapText="1"/>
    </xf>
    <xf numFmtId="0" fontId="675" fillId="5" borderId="3" xfId="0" applyFont="1" applyFill="1" applyBorder="1" applyAlignment="1">
      <alignment horizontal="left" vertical="top" wrapText="1"/>
    </xf>
    <xf numFmtId="0" fontId="676" fillId="5" borderId="3" xfId="0" applyFont="1" applyFill="1" applyBorder="1" applyAlignment="1">
      <alignment horizontal="left" vertical="top" wrapText="1"/>
    </xf>
    <xf numFmtId="0" fontId="677" fillId="5" borderId="3" xfId="0" applyFont="1" applyFill="1" applyBorder="1" applyAlignment="1">
      <alignment horizontal="left" vertical="top" wrapText="1"/>
    </xf>
    <xf numFmtId="0" fontId="678" fillId="5" borderId="3" xfId="0" applyFont="1" applyFill="1" applyBorder="1" applyAlignment="1">
      <alignment horizontal="center" vertical="top"/>
    </xf>
    <xf numFmtId="0" fontId="679" fillId="5" borderId="3" xfId="0" applyFont="1" applyFill="1" applyBorder="1" applyAlignment="1">
      <alignment horizontal="center" vertical="top"/>
    </xf>
    <xf numFmtId="0" fontId="680" fillId="5" borderId="3" xfId="0" applyFont="1" applyFill="1" applyBorder="1" applyAlignment="1">
      <alignment horizontal="left" vertical="top" wrapText="1"/>
    </xf>
    <xf numFmtId="0" fontId="681" fillId="5" borderId="3" xfId="0" applyFont="1" applyFill="1" applyBorder="1" applyAlignment="1">
      <alignment horizontal="left" vertical="top" wrapText="1"/>
    </xf>
    <xf numFmtId="0" fontId="682" fillId="5" borderId="3" xfId="0" applyFont="1" applyFill="1" applyBorder="1" applyAlignment="1">
      <alignment horizontal="left" vertical="top" wrapText="1"/>
    </xf>
    <xf numFmtId="0" fontId="683" fillId="5" borderId="3" xfId="0" applyFont="1" applyFill="1" applyBorder="1" applyAlignment="1">
      <alignment horizontal="left" vertical="top" wrapText="1"/>
    </xf>
    <xf numFmtId="0" fontId="684" fillId="5" borderId="3" xfId="0" applyFont="1" applyFill="1" applyBorder="1" applyAlignment="1">
      <alignment horizontal="left" vertical="top" wrapText="1"/>
    </xf>
    <xf numFmtId="0" fontId="685" fillId="5" borderId="3" xfId="0" applyFont="1" applyFill="1" applyBorder="1" applyAlignment="1">
      <alignment horizontal="center" vertical="top"/>
    </xf>
    <xf numFmtId="0" fontId="686" fillId="5" borderId="3" xfId="0" applyFont="1" applyFill="1" applyBorder="1" applyAlignment="1">
      <alignment horizontal="center" vertical="top"/>
    </xf>
    <xf numFmtId="0" fontId="687" fillId="5" borderId="3" xfId="0" applyFont="1" applyFill="1" applyBorder="1" applyAlignment="1">
      <alignment horizontal="left" vertical="top" wrapText="1"/>
    </xf>
    <xf numFmtId="0" fontId="688" fillId="5" borderId="3" xfId="0" applyFont="1" applyFill="1" applyBorder="1" applyAlignment="1">
      <alignment horizontal="left" vertical="top" wrapText="1"/>
    </xf>
    <xf numFmtId="0" fontId="689" fillId="5" borderId="3" xfId="0" applyFont="1" applyFill="1" applyBorder="1" applyAlignment="1">
      <alignment horizontal="left" vertical="top" wrapText="1"/>
    </xf>
    <xf numFmtId="0" fontId="690" fillId="5" borderId="3" xfId="0" applyFont="1" applyFill="1" applyBorder="1" applyAlignment="1">
      <alignment horizontal="left" vertical="top" wrapText="1"/>
    </xf>
    <xf numFmtId="0" fontId="691" fillId="5" borderId="3" xfId="0" applyFont="1" applyFill="1" applyBorder="1" applyAlignment="1">
      <alignment horizontal="left" vertical="top" wrapText="1"/>
    </xf>
    <xf numFmtId="0" fontId="692" fillId="5" borderId="3" xfId="0" applyFont="1" applyFill="1" applyBorder="1" applyAlignment="1">
      <alignment horizontal="left" vertical="top" wrapText="1"/>
    </xf>
    <xf numFmtId="0" fontId="693" fillId="5" borderId="3" xfId="0" applyFont="1" applyFill="1" applyBorder="1" applyAlignment="1">
      <alignment horizontal="left" vertical="top" wrapText="1"/>
    </xf>
    <xf numFmtId="0" fontId="694" fillId="5" borderId="3" xfId="0" applyFont="1" applyFill="1" applyBorder="1" applyAlignment="1">
      <alignment horizontal="left" vertical="top" wrapText="1"/>
    </xf>
    <xf numFmtId="0" fontId="695" fillId="5" borderId="3" xfId="0" applyFont="1" applyFill="1" applyBorder="1" applyAlignment="1">
      <alignment horizontal="left" vertical="top" wrapText="1"/>
    </xf>
    <xf numFmtId="0" fontId="696" fillId="5" borderId="3" xfId="0" applyFont="1" applyFill="1" applyBorder="1" applyAlignment="1">
      <alignment horizontal="left" vertical="top" wrapText="1"/>
    </xf>
    <xf numFmtId="0" fontId="697" fillId="5" borderId="3" xfId="0" applyFont="1" applyFill="1" applyBorder="1" applyAlignment="1">
      <alignment horizontal="left" vertical="top" wrapText="1"/>
    </xf>
    <xf numFmtId="0" fontId="698" fillId="5" borderId="3" xfId="0" applyFont="1" applyFill="1" applyBorder="1" applyAlignment="1">
      <alignment horizontal="left" vertical="top" wrapText="1"/>
    </xf>
    <xf numFmtId="0" fontId="699" fillId="5" borderId="3" xfId="0" applyFont="1" applyFill="1" applyBorder="1" applyAlignment="1">
      <alignment horizontal="left" vertical="top" wrapText="1"/>
    </xf>
    <xf numFmtId="0" fontId="700" fillId="5" borderId="3" xfId="0" applyFont="1" applyFill="1" applyBorder="1" applyAlignment="1">
      <alignment horizontal="left" vertical="top" wrapText="1"/>
    </xf>
    <xf numFmtId="0" fontId="701" fillId="5" borderId="3" xfId="0" applyFont="1" applyFill="1" applyBorder="1" applyAlignment="1">
      <alignment horizontal="left" vertical="top" wrapText="1"/>
    </xf>
    <xf numFmtId="0" fontId="702" fillId="5" borderId="3" xfId="0" applyFont="1" applyFill="1" applyBorder="1" applyAlignment="1">
      <alignment horizontal="left" vertical="top" wrapText="1"/>
    </xf>
    <xf numFmtId="0" fontId="703" fillId="5" borderId="3" xfId="0" applyFont="1" applyFill="1" applyBorder="1" applyAlignment="1">
      <alignment horizontal="left" vertical="top" wrapText="1"/>
    </xf>
    <xf numFmtId="0" fontId="704" fillId="5" borderId="3" xfId="0" applyFont="1" applyFill="1" applyBorder="1" applyAlignment="1">
      <alignment horizontal="left" vertical="top" wrapText="1"/>
    </xf>
    <xf numFmtId="0" fontId="705" fillId="5" borderId="3" xfId="0" applyFont="1" applyFill="1" applyBorder="1" applyAlignment="1">
      <alignment horizontal="center" vertical="top"/>
    </xf>
    <xf numFmtId="0" fontId="706" fillId="5" borderId="3" xfId="0" applyFont="1" applyFill="1" applyBorder="1" applyAlignment="1">
      <alignment horizontal="left" vertical="top" wrapText="1"/>
    </xf>
    <xf numFmtId="0" fontId="707" fillId="5" borderId="3" xfId="0" applyFont="1" applyFill="1" applyBorder="1" applyAlignment="1">
      <alignment horizontal="left" vertical="top" wrapText="1"/>
    </xf>
    <xf numFmtId="0" fontId="708" fillId="5" borderId="3" xfId="0" applyFont="1" applyFill="1" applyBorder="1" applyAlignment="1">
      <alignment horizontal="left" vertical="top" wrapText="1"/>
    </xf>
    <xf numFmtId="0" fontId="709" fillId="5" borderId="3" xfId="0" applyFont="1" applyFill="1" applyBorder="1" applyAlignment="1">
      <alignment horizontal="left" vertical="top" wrapText="1"/>
    </xf>
    <xf numFmtId="0" fontId="710" fillId="5" borderId="3" xfId="0" applyFont="1" applyFill="1" applyBorder="1" applyAlignment="1">
      <alignment horizontal="left" vertical="top" wrapText="1"/>
    </xf>
    <xf numFmtId="0" fontId="711" fillId="5" borderId="3" xfId="0" applyFont="1" applyFill="1" applyBorder="1" applyAlignment="1">
      <alignment horizontal="center" vertical="top"/>
    </xf>
    <xf numFmtId="0" fontId="712" fillId="5" borderId="3" xfId="0" applyFont="1" applyFill="1" applyBorder="1" applyAlignment="1">
      <alignment horizontal="center" vertical="top"/>
    </xf>
    <xf numFmtId="0" fontId="713" fillId="5" borderId="3" xfId="0" applyFont="1" applyFill="1" applyBorder="1" applyAlignment="1">
      <alignment horizontal="center" vertical="top"/>
    </xf>
    <xf numFmtId="0" fontId="714" fillId="5" borderId="3" xfId="0" applyFont="1" applyFill="1" applyBorder="1" applyAlignment="1">
      <alignment horizontal="center" vertical="top"/>
    </xf>
    <xf numFmtId="49" fontId="0" fillId="0" borderId="0" xfId="0" applyNumberFormat="1"/>
    <xf numFmtId="0" fontId="715" fillId="3" borderId="3" xfId="0" applyFont="1" applyFill="1" applyBorder="1" applyAlignment="1">
      <alignment horizontal="left" vertical="top" wrapText="1"/>
    </xf>
    <xf numFmtId="0" fontId="717" fillId="4" borderId="3" xfId="0" applyFont="1" applyFill="1" applyBorder="1" applyAlignment="1">
      <alignment horizontal="center" vertical="top" wrapText="1"/>
    </xf>
    <xf numFmtId="0" fontId="718" fillId="5" borderId="3" xfId="0" applyFont="1" applyFill="1" applyBorder="1" applyAlignment="1">
      <alignment horizontal="left" vertical="top" wrapText="1"/>
    </xf>
    <xf numFmtId="0" fontId="719" fillId="5" borderId="3" xfId="0" applyFont="1" applyFill="1" applyBorder="1" applyAlignment="1">
      <alignment horizontal="left" vertical="top" wrapText="1"/>
    </xf>
    <xf numFmtId="0" fontId="720" fillId="5" borderId="3" xfId="0" applyFont="1" applyFill="1" applyBorder="1" applyAlignment="1">
      <alignment horizontal="left" vertical="top" wrapText="1"/>
    </xf>
    <xf numFmtId="0" fontId="721" fillId="5" borderId="3" xfId="0" applyFont="1" applyFill="1" applyBorder="1" applyAlignment="1">
      <alignment horizontal="left" vertical="top" wrapText="1"/>
    </xf>
    <xf numFmtId="0" fontId="722" fillId="5" borderId="3" xfId="0" applyFont="1" applyFill="1" applyBorder="1" applyAlignment="1">
      <alignment horizontal="left" vertical="top" wrapText="1"/>
    </xf>
    <xf numFmtId="0" fontId="723" fillId="5" borderId="3" xfId="0" applyFont="1" applyFill="1" applyBorder="1" applyAlignment="1">
      <alignment horizontal="left" vertical="top" wrapText="1"/>
    </xf>
    <xf numFmtId="0" fontId="724" fillId="5" borderId="3" xfId="0" applyFont="1" applyFill="1" applyBorder="1" applyAlignment="1">
      <alignment horizontal="left" vertical="top" wrapText="1"/>
    </xf>
    <xf numFmtId="0" fontId="725" fillId="5" borderId="3" xfId="0" applyFont="1" applyFill="1" applyBorder="1" applyAlignment="1">
      <alignment horizontal="left" vertical="top" wrapText="1"/>
    </xf>
    <xf numFmtId="0" fontId="726" fillId="5" borderId="3" xfId="0" applyFont="1" applyFill="1" applyBorder="1" applyAlignment="1">
      <alignment horizontal="left" vertical="top" wrapText="1"/>
    </xf>
    <xf numFmtId="0" fontId="727" fillId="5" borderId="3" xfId="0" applyFont="1" applyFill="1" applyBorder="1" applyAlignment="1">
      <alignment horizontal="left" vertical="top" wrapText="1"/>
    </xf>
    <xf numFmtId="0" fontId="728" fillId="5" borderId="3" xfId="0" applyFont="1" applyFill="1" applyBorder="1" applyAlignment="1">
      <alignment horizontal="left" vertical="top" wrapText="1"/>
    </xf>
    <xf numFmtId="0" fontId="729" fillId="5" borderId="3" xfId="0" applyFont="1" applyFill="1" applyBorder="1" applyAlignment="1">
      <alignment horizontal="left" vertical="top" wrapText="1"/>
    </xf>
    <xf numFmtId="0" fontId="730" fillId="5" borderId="3" xfId="0" applyFont="1" applyFill="1" applyBorder="1" applyAlignment="1">
      <alignment horizontal="left" vertical="top" wrapText="1"/>
    </xf>
    <xf numFmtId="0" fontId="731" fillId="5" borderId="3" xfId="0" applyFont="1" applyFill="1" applyBorder="1" applyAlignment="1">
      <alignment horizontal="left" vertical="top" wrapText="1"/>
    </xf>
    <xf numFmtId="0" fontId="732" fillId="5" borderId="3" xfId="0" applyFont="1" applyFill="1" applyBorder="1" applyAlignment="1">
      <alignment horizontal="left" vertical="top" wrapText="1"/>
    </xf>
    <xf numFmtId="0" fontId="733" fillId="5" borderId="3" xfId="0" applyFont="1" applyFill="1" applyBorder="1" applyAlignment="1">
      <alignment horizontal="left" vertical="top" wrapText="1"/>
    </xf>
    <xf numFmtId="0" fontId="734" fillId="5" borderId="3" xfId="0" applyFont="1" applyFill="1" applyBorder="1" applyAlignment="1">
      <alignment horizontal="left" vertical="top" wrapText="1"/>
    </xf>
    <xf numFmtId="0" fontId="735" fillId="5" borderId="3" xfId="0" applyFont="1" applyFill="1" applyBorder="1" applyAlignment="1">
      <alignment horizontal="left" vertical="top" wrapText="1"/>
    </xf>
    <xf numFmtId="0" fontId="736" fillId="5" borderId="3" xfId="0" applyFont="1" applyFill="1" applyBorder="1" applyAlignment="1">
      <alignment horizontal="left" vertical="top" wrapText="1"/>
    </xf>
    <xf numFmtId="0" fontId="737" fillId="5" borderId="3" xfId="0" applyFont="1" applyFill="1" applyBorder="1" applyAlignment="1">
      <alignment horizontal="center" vertical="top"/>
    </xf>
    <xf numFmtId="0" fontId="738" fillId="5" borderId="3" xfId="0" applyFont="1" applyFill="1" applyBorder="1" applyAlignment="1">
      <alignment horizontal="left" vertical="top" wrapText="1"/>
    </xf>
    <xf numFmtId="0" fontId="739" fillId="5" borderId="3" xfId="0" applyFont="1" applyFill="1" applyBorder="1" applyAlignment="1">
      <alignment horizontal="left" vertical="top" wrapText="1"/>
    </xf>
    <xf numFmtId="0" fontId="740" fillId="5" borderId="3" xfId="0" applyFont="1" applyFill="1" applyBorder="1" applyAlignment="1">
      <alignment horizontal="left" vertical="top" wrapText="1"/>
    </xf>
    <xf numFmtId="0" fontId="741" fillId="5" borderId="3" xfId="0" applyFont="1" applyFill="1" applyBorder="1" applyAlignment="1">
      <alignment horizontal="left" vertical="top" wrapText="1"/>
    </xf>
    <xf numFmtId="0" fontId="742" fillId="5" borderId="3" xfId="0" applyFont="1" applyFill="1" applyBorder="1" applyAlignment="1">
      <alignment horizontal="left" vertical="top" wrapText="1"/>
    </xf>
    <xf numFmtId="0" fontId="743" fillId="5" borderId="3" xfId="0" applyFont="1" applyFill="1" applyBorder="1" applyAlignment="1">
      <alignment horizontal="center" vertical="top"/>
    </xf>
    <xf numFmtId="0" fontId="744" fillId="5" borderId="3" xfId="0" applyFont="1" applyFill="1" applyBorder="1" applyAlignment="1">
      <alignment horizontal="center" vertical="top"/>
    </xf>
    <xf numFmtId="0" fontId="745" fillId="5" borderId="3" xfId="0" applyFont="1" applyFill="1" applyBorder="1" applyAlignment="1">
      <alignment horizontal="center" vertical="top"/>
    </xf>
    <xf numFmtId="0" fontId="746" fillId="5" borderId="3" xfId="0" applyFont="1" applyFill="1" applyBorder="1" applyAlignment="1">
      <alignment horizontal="center" vertical="top"/>
    </xf>
    <xf numFmtId="0" fontId="747" fillId="5" borderId="3" xfId="0" applyFont="1" applyFill="1" applyBorder="1" applyAlignment="1">
      <alignment horizontal="left" vertical="top" wrapText="1"/>
    </xf>
    <xf numFmtId="0" fontId="748" fillId="5" borderId="3" xfId="0" applyFont="1" applyFill="1" applyBorder="1" applyAlignment="1">
      <alignment horizontal="left" vertical="top" wrapText="1"/>
    </xf>
    <xf numFmtId="0" fontId="749" fillId="5" borderId="3" xfId="0" applyFont="1" applyFill="1" applyBorder="1" applyAlignment="1">
      <alignment horizontal="left" vertical="top" wrapText="1"/>
    </xf>
    <xf numFmtId="0" fontId="750" fillId="5" borderId="3" xfId="0" applyFont="1" applyFill="1" applyBorder="1" applyAlignment="1">
      <alignment horizontal="left" vertical="top" wrapText="1"/>
    </xf>
    <xf numFmtId="0" fontId="751" fillId="5" borderId="3" xfId="0" applyFont="1" applyFill="1" applyBorder="1" applyAlignment="1">
      <alignment horizontal="left" vertical="top" wrapText="1"/>
    </xf>
    <xf numFmtId="0" fontId="752" fillId="5" borderId="3" xfId="0" applyFont="1" applyFill="1" applyBorder="1" applyAlignment="1">
      <alignment horizontal="left" vertical="top" wrapText="1"/>
    </xf>
    <xf numFmtId="0" fontId="753" fillId="5" borderId="3" xfId="0" applyFont="1" applyFill="1" applyBorder="1" applyAlignment="1">
      <alignment horizontal="left" vertical="top" wrapText="1"/>
    </xf>
    <xf numFmtId="0" fontId="754" fillId="5" borderId="3" xfId="0" applyFont="1" applyFill="1" applyBorder="1" applyAlignment="1">
      <alignment horizontal="left" vertical="top" wrapText="1"/>
    </xf>
    <xf numFmtId="0" fontId="755" fillId="5" borderId="3" xfId="0" applyFont="1" applyFill="1" applyBorder="1" applyAlignment="1">
      <alignment horizontal="left" vertical="top" wrapText="1"/>
    </xf>
    <xf numFmtId="0" fontId="756" fillId="5" borderId="3" xfId="0" applyFont="1" applyFill="1" applyBorder="1" applyAlignment="1">
      <alignment horizontal="left" vertical="top" wrapText="1"/>
    </xf>
    <xf numFmtId="0" fontId="757" fillId="5" borderId="3" xfId="0" applyFont="1" applyFill="1" applyBorder="1" applyAlignment="1">
      <alignment horizontal="left" vertical="top" wrapText="1"/>
    </xf>
    <xf numFmtId="0" fontId="758" fillId="5" borderId="3" xfId="0" applyFont="1" applyFill="1" applyBorder="1" applyAlignment="1">
      <alignment horizontal="left" vertical="top" wrapText="1"/>
    </xf>
    <xf numFmtId="0" fontId="759" fillId="5" borderId="3" xfId="0" applyFont="1" applyFill="1" applyBorder="1" applyAlignment="1">
      <alignment horizontal="left" vertical="top" wrapText="1"/>
    </xf>
    <xf numFmtId="0" fontId="760" fillId="5" borderId="3" xfId="0" applyFont="1" applyFill="1" applyBorder="1" applyAlignment="1">
      <alignment horizontal="left" vertical="top" wrapText="1"/>
    </xf>
    <xf numFmtId="0" fontId="761" fillId="5" borderId="3" xfId="0" applyFont="1" applyFill="1" applyBorder="1" applyAlignment="1">
      <alignment horizontal="left" vertical="top" wrapText="1"/>
    </xf>
    <xf numFmtId="0" fontId="762" fillId="5" borderId="3" xfId="0" applyFont="1" applyFill="1" applyBorder="1" applyAlignment="1">
      <alignment horizontal="left" vertical="top" wrapText="1"/>
    </xf>
    <xf numFmtId="0" fontId="763" fillId="5" borderId="3" xfId="0" applyFont="1" applyFill="1" applyBorder="1" applyAlignment="1">
      <alignment horizontal="left" vertical="top" wrapText="1"/>
    </xf>
    <xf numFmtId="0" fontId="764" fillId="5" borderId="3" xfId="0" applyFont="1" applyFill="1" applyBorder="1" applyAlignment="1">
      <alignment horizontal="left" vertical="top" wrapText="1"/>
    </xf>
    <xf numFmtId="0" fontId="765" fillId="5" borderId="3" xfId="0" applyFont="1" applyFill="1" applyBorder="1" applyAlignment="1">
      <alignment horizontal="left" vertical="top" wrapText="1"/>
    </xf>
    <xf numFmtId="0" fontId="766" fillId="5" borderId="3" xfId="0" applyFont="1" applyFill="1" applyBorder="1" applyAlignment="1">
      <alignment horizontal="left" vertical="top" wrapText="1"/>
    </xf>
    <xf numFmtId="0" fontId="767" fillId="5" borderId="3" xfId="0" applyFont="1" applyFill="1" applyBorder="1" applyAlignment="1">
      <alignment horizontal="left" vertical="top" wrapText="1"/>
    </xf>
    <xf numFmtId="0" fontId="768" fillId="5" borderId="3" xfId="0" applyFont="1" applyFill="1" applyBorder="1" applyAlignment="1">
      <alignment horizontal="left" vertical="top" wrapText="1"/>
    </xf>
    <xf numFmtId="0" fontId="769" fillId="5" borderId="3" xfId="0" applyFont="1" applyFill="1" applyBorder="1" applyAlignment="1">
      <alignment horizontal="left" vertical="top" wrapText="1"/>
    </xf>
    <xf numFmtId="0" fontId="770" fillId="5" borderId="3" xfId="0" applyFont="1" applyFill="1" applyBorder="1" applyAlignment="1">
      <alignment horizontal="left" vertical="top" wrapText="1"/>
    </xf>
    <xf numFmtId="0" fontId="771" fillId="5" borderId="3" xfId="0" applyFont="1" applyFill="1" applyBorder="1" applyAlignment="1">
      <alignment horizontal="left" vertical="top" wrapText="1"/>
    </xf>
    <xf numFmtId="0" fontId="772" fillId="5" borderId="3" xfId="0" applyFont="1" applyFill="1" applyBorder="1" applyAlignment="1">
      <alignment horizontal="left" vertical="top" wrapText="1"/>
    </xf>
    <xf numFmtId="0" fontId="773" fillId="5" borderId="3" xfId="0" applyFont="1" applyFill="1" applyBorder="1" applyAlignment="1">
      <alignment horizontal="center" vertical="top"/>
    </xf>
    <xf numFmtId="0" fontId="774" fillId="5" borderId="3" xfId="0" applyFont="1" applyFill="1" applyBorder="1" applyAlignment="1">
      <alignment horizontal="center" vertical="top"/>
    </xf>
    <xf numFmtId="0" fontId="775" fillId="5" borderId="3" xfId="0" applyFont="1" applyFill="1" applyBorder="1" applyAlignment="1">
      <alignment horizontal="center" vertical="top"/>
    </xf>
    <xf numFmtId="0" fontId="776" fillId="5" borderId="3" xfId="0" applyFont="1" applyFill="1" applyBorder="1" applyAlignment="1">
      <alignment horizontal="center" vertical="top"/>
    </xf>
    <xf numFmtId="0" fontId="777" fillId="5" borderId="3" xfId="0" applyFont="1" applyFill="1" applyBorder="1" applyAlignment="1">
      <alignment horizontal="left" vertical="top" wrapText="1"/>
    </xf>
    <xf numFmtId="0" fontId="778" fillId="5" borderId="3" xfId="0" applyFont="1" applyFill="1" applyBorder="1" applyAlignment="1">
      <alignment horizontal="left" vertical="top" wrapText="1"/>
    </xf>
    <xf numFmtId="0" fontId="779" fillId="5" borderId="3" xfId="0" applyFont="1" applyFill="1" applyBorder="1" applyAlignment="1">
      <alignment horizontal="center" vertical="top"/>
    </xf>
    <xf numFmtId="0" fontId="780" fillId="5" borderId="3" xfId="0" applyFont="1" applyFill="1" applyBorder="1" applyAlignment="1">
      <alignment horizontal="center" vertical="top"/>
    </xf>
    <xf numFmtId="0" fontId="781" fillId="5" borderId="3" xfId="0" applyFont="1" applyFill="1" applyBorder="1" applyAlignment="1">
      <alignment horizontal="center" vertical="top"/>
    </xf>
    <xf numFmtId="0" fontId="782" fillId="5" borderId="3" xfId="0" applyFont="1" applyFill="1" applyBorder="1" applyAlignment="1">
      <alignment horizontal="center" vertical="top"/>
    </xf>
    <xf numFmtId="0" fontId="783" fillId="5" borderId="3" xfId="0" applyFont="1" applyFill="1" applyBorder="1" applyAlignment="1">
      <alignment horizontal="center" vertical="top"/>
    </xf>
    <xf numFmtId="0" fontId="784" fillId="5" borderId="3" xfId="0" applyFont="1" applyFill="1" applyBorder="1" applyAlignment="1">
      <alignment horizontal="center" vertical="top"/>
    </xf>
    <xf numFmtId="0" fontId="785" fillId="5" borderId="3" xfId="0" applyFont="1" applyFill="1" applyBorder="1" applyAlignment="1">
      <alignment horizontal="center" vertical="top"/>
    </xf>
    <xf numFmtId="0" fontId="786" fillId="5" borderId="3" xfId="0" applyFont="1" applyFill="1" applyBorder="1" applyAlignment="1">
      <alignment horizontal="center" vertical="top"/>
    </xf>
    <xf numFmtId="0" fontId="787" fillId="5" borderId="3" xfId="0" applyFont="1" applyFill="1" applyBorder="1" applyAlignment="1">
      <alignment horizontal="center" vertical="top"/>
    </xf>
    <xf numFmtId="0" fontId="788" fillId="5" borderId="3" xfId="0" applyFont="1" applyFill="1" applyBorder="1" applyAlignment="1">
      <alignment horizontal="center" vertical="top"/>
    </xf>
    <xf numFmtId="0" fontId="789" fillId="5" borderId="3" xfId="0" applyFont="1" applyFill="1" applyBorder="1" applyAlignment="1">
      <alignment horizontal="center" vertical="top"/>
    </xf>
    <xf numFmtId="0" fontId="790" fillId="5" borderId="3" xfId="0" applyFont="1" applyFill="1" applyBorder="1" applyAlignment="1">
      <alignment horizontal="left" vertical="top" wrapText="1"/>
    </xf>
    <xf numFmtId="0" fontId="791" fillId="5" borderId="3" xfId="0" applyFont="1" applyFill="1" applyBorder="1" applyAlignment="1">
      <alignment horizontal="left" vertical="top" wrapText="1"/>
    </xf>
    <xf numFmtId="0" fontId="792" fillId="5" borderId="3" xfId="0" applyFont="1" applyFill="1" applyBorder="1" applyAlignment="1">
      <alignment horizontal="left" vertical="top" wrapText="1"/>
    </xf>
    <xf numFmtId="0" fontId="793" fillId="5" borderId="3" xfId="0" applyFont="1" applyFill="1" applyBorder="1" applyAlignment="1">
      <alignment horizontal="left" vertical="top" wrapText="1"/>
    </xf>
    <xf numFmtId="0" fontId="794" fillId="5" borderId="3" xfId="0" applyFont="1" applyFill="1" applyBorder="1" applyAlignment="1">
      <alignment horizontal="left" vertical="top" wrapText="1"/>
    </xf>
    <xf numFmtId="0" fontId="795" fillId="5" borderId="3" xfId="0" applyFont="1" applyFill="1" applyBorder="1" applyAlignment="1">
      <alignment horizontal="left" vertical="top" wrapText="1"/>
    </xf>
    <xf numFmtId="0" fontId="796" fillId="5" borderId="3" xfId="0" applyFont="1" applyFill="1" applyBorder="1" applyAlignment="1">
      <alignment horizontal="left" vertical="top" wrapText="1"/>
    </xf>
    <xf numFmtId="0" fontId="797" fillId="5" borderId="3" xfId="0" applyFont="1" applyFill="1" applyBorder="1" applyAlignment="1">
      <alignment horizontal="left" vertical="top" wrapText="1"/>
    </xf>
    <xf numFmtId="0" fontId="798" fillId="5" borderId="3" xfId="0" applyFont="1" applyFill="1" applyBorder="1" applyAlignment="1">
      <alignment horizontal="left" vertical="top" wrapText="1"/>
    </xf>
    <xf numFmtId="0" fontId="799" fillId="5" borderId="3" xfId="0" applyFont="1" applyFill="1" applyBorder="1" applyAlignment="1">
      <alignment horizontal="left" vertical="top" wrapText="1"/>
    </xf>
    <xf numFmtId="0" fontId="800" fillId="5" borderId="3" xfId="0" applyFont="1" applyFill="1" applyBorder="1" applyAlignment="1">
      <alignment horizontal="left" vertical="top" wrapText="1"/>
    </xf>
    <xf numFmtId="0" fontId="801" fillId="5" borderId="3" xfId="0" applyFont="1" applyFill="1" applyBorder="1" applyAlignment="1">
      <alignment horizontal="left" vertical="top" wrapText="1"/>
    </xf>
    <xf numFmtId="0" fontId="802" fillId="5" borderId="3" xfId="0" applyFont="1" applyFill="1" applyBorder="1" applyAlignment="1">
      <alignment horizontal="left" vertical="top" wrapText="1"/>
    </xf>
    <xf numFmtId="0" fontId="803" fillId="5" borderId="3" xfId="0" applyFont="1" applyFill="1" applyBorder="1" applyAlignment="1">
      <alignment horizontal="left" vertical="top" wrapText="1"/>
    </xf>
    <xf numFmtId="0" fontId="804" fillId="5" borderId="3" xfId="0" applyFont="1" applyFill="1" applyBorder="1" applyAlignment="1">
      <alignment horizontal="left" vertical="top" wrapText="1"/>
    </xf>
    <xf numFmtId="0" fontId="805" fillId="5" borderId="3" xfId="0" applyFont="1" applyFill="1" applyBorder="1" applyAlignment="1">
      <alignment horizontal="left" vertical="top" wrapText="1"/>
    </xf>
    <xf numFmtId="0" fontId="806" fillId="5" borderId="3" xfId="0" applyFont="1" applyFill="1" applyBorder="1" applyAlignment="1">
      <alignment horizontal="left" vertical="top" wrapText="1"/>
    </xf>
    <xf numFmtId="0" fontId="807" fillId="5" borderId="3" xfId="0" applyFont="1" applyFill="1" applyBorder="1" applyAlignment="1">
      <alignment horizontal="left" vertical="top" wrapText="1"/>
    </xf>
    <xf numFmtId="0" fontId="808" fillId="5" borderId="3" xfId="0" applyFont="1" applyFill="1" applyBorder="1" applyAlignment="1">
      <alignment horizontal="left" vertical="top" wrapText="1"/>
    </xf>
    <xf numFmtId="0" fontId="809" fillId="5" borderId="3" xfId="0" applyFont="1" applyFill="1" applyBorder="1" applyAlignment="1">
      <alignment horizontal="left" vertical="top" wrapText="1"/>
    </xf>
    <xf numFmtId="0" fontId="810" fillId="5" borderId="3" xfId="0" applyFont="1" applyFill="1" applyBorder="1" applyAlignment="1">
      <alignment horizontal="left" vertical="top" wrapText="1"/>
    </xf>
    <xf numFmtId="0" fontId="811" fillId="5" borderId="3" xfId="0" applyFont="1" applyFill="1" applyBorder="1" applyAlignment="1">
      <alignment horizontal="left" vertical="top" wrapText="1"/>
    </xf>
    <xf numFmtId="0" fontId="812" fillId="5" borderId="3" xfId="0" applyFont="1" applyFill="1" applyBorder="1" applyAlignment="1">
      <alignment horizontal="left" vertical="top" wrapText="1"/>
    </xf>
    <xf numFmtId="0" fontId="813" fillId="5" borderId="3" xfId="0" applyFont="1" applyFill="1" applyBorder="1" applyAlignment="1">
      <alignment horizontal="left" vertical="top" wrapText="1"/>
    </xf>
    <xf numFmtId="0" fontId="814" fillId="5" borderId="3" xfId="0" applyFont="1" applyFill="1" applyBorder="1" applyAlignment="1">
      <alignment horizontal="left" vertical="top" wrapText="1"/>
    </xf>
    <xf numFmtId="0" fontId="815" fillId="5" borderId="3" xfId="0" applyFont="1" applyFill="1" applyBorder="1" applyAlignment="1">
      <alignment horizontal="center" vertical="top"/>
    </xf>
    <xf numFmtId="0" fontId="816" fillId="5" borderId="3" xfId="0" applyFont="1" applyFill="1" applyBorder="1" applyAlignment="1">
      <alignment horizontal="left" vertical="top" wrapText="1"/>
    </xf>
    <xf numFmtId="0" fontId="817" fillId="5" borderId="3" xfId="0" applyFont="1" applyFill="1" applyBorder="1" applyAlignment="1">
      <alignment horizontal="left" vertical="top" wrapText="1"/>
    </xf>
    <xf numFmtId="0" fontId="818" fillId="5" borderId="3" xfId="0" applyFont="1" applyFill="1" applyBorder="1" applyAlignment="1">
      <alignment horizontal="left" vertical="top" wrapText="1"/>
    </xf>
    <xf numFmtId="0" fontId="819" fillId="5" borderId="3" xfId="0" applyFont="1" applyFill="1" applyBorder="1" applyAlignment="1">
      <alignment horizontal="left" vertical="top" wrapText="1"/>
    </xf>
    <xf numFmtId="0" fontId="820" fillId="5" borderId="3" xfId="0" applyFont="1" applyFill="1" applyBorder="1" applyAlignment="1">
      <alignment horizontal="left" vertical="top" wrapText="1"/>
    </xf>
    <xf numFmtId="0" fontId="821" fillId="5" borderId="3" xfId="0" applyFont="1" applyFill="1" applyBorder="1" applyAlignment="1">
      <alignment horizontal="left" vertical="top" wrapText="1"/>
    </xf>
    <xf numFmtId="0" fontId="822" fillId="5" borderId="3" xfId="0" applyFont="1" applyFill="1" applyBorder="1" applyAlignment="1">
      <alignment horizontal="left" vertical="top" wrapText="1"/>
    </xf>
    <xf numFmtId="0" fontId="823" fillId="5" borderId="3" xfId="0" applyFont="1" applyFill="1" applyBorder="1" applyAlignment="1">
      <alignment horizontal="left" vertical="top" wrapText="1"/>
    </xf>
    <xf numFmtId="0" fontId="824" fillId="5" borderId="3" xfId="0" applyFont="1" applyFill="1" applyBorder="1" applyAlignment="1">
      <alignment horizontal="left" vertical="top" wrapText="1"/>
    </xf>
    <xf numFmtId="0" fontId="825" fillId="5" borderId="3" xfId="0" applyFont="1" applyFill="1" applyBorder="1" applyAlignment="1">
      <alignment horizontal="left" vertical="top" wrapText="1"/>
    </xf>
    <xf numFmtId="0" fontId="826" fillId="5" borderId="3" xfId="0" applyFont="1" applyFill="1" applyBorder="1" applyAlignment="1">
      <alignment horizontal="left" vertical="top" wrapText="1"/>
    </xf>
    <xf numFmtId="0" fontId="827" fillId="5" borderId="3" xfId="0" applyFont="1" applyFill="1" applyBorder="1" applyAlignment="1">
      <alignment horizontal="left" vertical="top" wrapText="1"/>
    </xf>
    <xf numFmtId="0" fontId="828" fillId="5" borderId="3" xfId="0" applyFont="1" applyFill="1" applyBorder="1" applyAlignment="1">
      <alignment horizontal="left" vertical="top" wrapText="1"/>
    </xf>
    <xf numFmtId="0" fontId="829" fillId="5" borderId="3" xfId="0" applyFont="1" applyFill="1" applyBorder="1" applyAlignment="1">
      <alignment horizontal="left" vertical="top" wrapText="1"/>
    </xf>
    <xf numFmtId="0" fontId="830" fillId="5" borderId="3" xfId="0" applyFont="1" applyFill="1" applyBorder="1" applyAlignment="1">
      <alignment horizontal="left" vertical="top" wrapText="1"/>
    </xf>
    <xf numFmtId="0" fontId="831" fillId="5" borderId="3" xfId="0" applyFont="1" applyFill="1" applyBorder="1" applyAlignment="1">
      <alignment horizontal="left" vertical="top" wrapText="1"/>
    </xf>
    <xf numFmtId="0" fontId="832" fillId="5" borderId="3" xfId="0" applyFont="1" applyFill="1" applyBorder="1" applyAlignment="1">
      <alignment horizontal="left" vertical="top" wrapText="1"/>
    </xf>
    <xf numFmtId="0" fontId="833" fillId="5" borderId="3" xfId="0" applyFont="1" applyFill="1" applyBorder="1" applyAlignment="1">
      <alignment horizontal="center" vertical="top"/>
    </xf>
    <xf numFmtId="0" fontId="834" fillId="5" borderId="3" xfId="0" applyFont="1" applyFill="1" applyBorder="1" applyAlignment="1">
      <alignment horizontal="center" vertical="top"/>
    </xf>
    <xf numFmtId="0" fontId="835" fillId="5" borderId="3" xfId="0" applyFont="1" applyFill="1" applyBorder="1" applyAlignment="1">
      <alignment horizontal="left" vertical="top" wrapText="1"/>
    </xf>
    <xf numFmtId="0" fontId="836" fillId="5" borderId="3" xfId="0" applyFont="1" applyFill="1" applyBorder="1" applyAlignment="1">
      <alignment horizontal="center" vertical="top"/>
    </xf>
    <xf numFmtId="0" fontId="837" fillId="5" borderId="3" xfId="0" applyFont="1" applyFill="1" applyBorder="1" applyAlignment="1">
      <alignment horizontal="left" vertical="top" wrapText="1"/>
    </xf>
    <xf numFmtId="0" fontId="838" fillId="5" borderId="3" xfId="0" applyFont="1" applyFill="1" applyBorder="1" applyAlignment="1">
      <alignment horizontal="left" vertical="top" wrapText="1"/>
    </xf>
    <xf numFmtId="0" fontId="839" fillId="5" borderId="3" xfId="0" applyFont="1" applyFill="1" applyBorder="1" applyAlignment="1">
      <alignment horizontal="center" vertical="top"/>
    </xf>
    <xf numFmtId="0" fontId="840" fillId="5" borderId="3" xfId="0" applyFont="1" applyFill="1" applyBorder="1" applyAlignment="1">
      <alignment horizontal="center" vertical="top"/>
    </xf>
    <xf numFmtId="0" fontId="841" fillId="5" borderId="3" xfId="0" applyFont="1" applyFill="1" applyBorder="1" applyAlignment="1">
      <alignment horizontal="left" vertical="top" wrapText="1"/>
    </xf>
    <xf numFmtId="0" fontId="842" fillId="5" borderId="3" xfId="0" applyFont="1" applyFill="1" applyBorder="1" applyAlignment="1">
      <alignment horizontal="left" vertical="top" wrapText="1"/>
    </xf>
    <xf numFmtId="0" fontId="843" fillId="5" borderId="3" xfId="0" applyFont="1" applyFill="1" applyBorder="1" applyAlignment="1">
      <alignment horizontal="left" vertical="top" wrapText="1"/>
    </xf>
    <xf numFmtId="0" fontId="844" fillId="5" borderId="3" xfId="0" applyFont="1" applyFill="1" applyBorder="1" applyAlignment="1">
      <alignment horizontal="left" vertical="top" wrapText="1"/>
    </xf>
    <xf numFmtId="0" fontId="845" fillId="5" borderId="3" xfId="0" applyFont="1" applyFill="1" applyBorder="1" applyAlignment="1">
      <alignment horizontal="left" vertical="top" wrapText="1"/>
    </xf>
    <xf numFmtId="0" fontId="846" fillId="5" borderId="3" xfId="0" applyFont="1" applyFill="1" applyBorder="1" applyAlignment="1">
      <alignment horizontal="left" vertical="top" wrapText="1"/>
    </xf>
    <xf numFmtId="0" fontId="847" fillId="5" borderId="3" xfId="0" applyFont="1" applyFill="1" applyBorder="1" applyAlignment="1">
      <alignment horizontal="left" vertical="top" wrapText="1"/>
    </xf>
    <xf numFmtId="0" fontId="848" fillId="5" borderId="3" xfId="0" applyFont="1" applyFill="1" applyBorder="1" applyAlignment="1">
      <alignment horizontal="left" vertical="top" wrapText="1"/>
    </xf>
    <xf numFmtId="0" fontId="849" fillId="5" borderId="3" xfId="0" applyFont="1" applyFill="1" applyBorder="1" applyAlignment="1">
      <alignment horizontal="left" vertical="top" wrapText="1"/>
    </xf>
    <xf numFmtId="0" fontId="850" fillId="5" borderId="3" xfId="0" applyFont="1" applyFill="1" applyBorder="1" applyAlignment="1">
      <alignment horizontal="left" vertical="top" wrapText="1"/>
    </xf>
    <xf numFmtId="0" fontId="851" fillId="5" borderId="3" xfId="0" applyFont="1" applyFill="1" applyBorder="1" applyAlignment="1">
      <alignment horizontal="left" vertical="top" wrapText="1"/>
    </xf>
    <xf numFmtId="0" fontId="852" fillId="5" borderId="3" xfId="0" applyFont="1" applyFill="1" applyBorder="1" applyAlignment="1">
      <alignment horizontal="left" vertical="top" wrapText="1"/>
    </xf>
    <xf numFmtId="0" fontId="853" fillId="5" borderId="3" xfId="0" applyFont="1" applyFill="1" applyBorder="1" applyAlignment="1">
      <alignment horizontal="left" vertical="top" wrapText="1"/>
    </xf>
    <xf numFmtId="0" fontId="854" fillId="5" borderId="3" xfId="0" applyFont="1" applyFill="1" applyBorder="1" applyAlignment="1">
      <alignment horizontal="left" vertical="top" wrapText="1"/>
    </xf>
    <xf numFmtId="0" fontId="855" fillId="5" borderId="3" xfId="0" applyFont="1" applyFill="1" applyBorder="1" applyAlignment="1">
      <alignment horizontal="left" vertical="top" wrapText="1"/>
    </xf>
    <xf numFmtId="0" fontId="856" fillId="5" borderId="3" xfId="0" applyFont="1" applyFill="1" applyBorder="1" applyAlignment="1">
      <alignment horizontal="left" vertical="top" wrapText="1"/>
    </xf>
    <xf numFmtId="0" fontId="857" fillId="5" borderId="3" xfId="0" applyFont="1" applyFill="1" applyBorder="1" applyAlignment="1">
      <alignment horizontal="left" vertical="top" wrapText="1"/>
    </xf>
    <xf numFmtId="0" fontId="858" fillId="5" borderId="3" xfId="0" applyFont="1" applyFill="1" applyBorder="1" applyAlignment="1">
      <alignment horizontal="left" vertical="top" wrapText="1"/>
    </xf>
    <xf numFmtId="0" fontId="859" fillId="5" borderId="3" xfId="0" applyFont="1" applyFill="1" applyBorder="1" applyAlignment="1">
      <alignment horizontal="left" vertical="top" wrapText="1"/>
    </xf>
    <xf numFmtId="0" fontId="860" fillId="5" borderId="3" xfId="0" applyFont="1" applyFill="1" applyBorder="1" applyAlignment="1">
      <alignment horizontal="left" vertical="top" wrapText="1"/>
    </xf>
    <xf numFmtId="0" fontId="861" fillId="5" borderId="3" xfId="0" applyFont="1" applyFill="1" applyBorder="1" applyAlignment="1">
      <alignment horizontal="left" vertical="top" wrapText="1"/>
    </xf>
    <xf numFmtId="0" fontId="862" fillId="5" borderId="3" xfId="0" applyFont="1" applyFill="1" applyBorder="1" applyAlignment="1">
      <alignment horizontal="left" vertical="top" wrapText="1"/>
    </xf>
    <xf numFmtId="0" fontId="863" fillId="5" borderId="3" xfId="0" applyFont="1" applyFill="1" applyBorder="1" applyAlignment="1">
      <alignment horizontal="center" vertical="top"/>
    </xf>
    <xf numFmtId="0" fontId="864" fillId="5" borderId="3" xfId="0" applyFont="1" applyFill="1" applyBorder="1" applyAlignment="1">
      <alignment horizontal="center" vertical="top"/>
    </xf>
    <xf numFmtId="0" fontId="865" fillId="5" borderId="3" xfId="0" applyFont="1" applyFill="1" applyBorder="1" applyAlignment="1">
      <alignment horizontal="center" vertical="top"/>
    </xf>
    <xf numFmtId="0" fontId="866" fillId="5" borderId="3" xfId="0" applyFont="1" applyFill="1" applyBorder="1" applyAlignment="1">
      <alignment horizontal="center" vertical="top"/>
    </xf>
    <xf numFmtId="0" fontId="867" fillId="5" borderId="3" xfId="0" applyFont="1" applyFill="1" applyBorder="1" applyAlignment="1">
      <alignment horizontal="center" vertical="top"/>
    </xf>
    <xf numFmtId="0" fontId="868" fillId="5" borderId="3" xfId="0" applyFont="1" applyFill="1" applyBorder="1" applyAlignment="1">
      <alignment horizontal="center" vertical="top"/>
    </xf>
    <xf numFmtId="0" fontId="869" fillId="5" borderId="3" xfId="0" applyFont="1" applyFill="1" applyBorder="1" applyAlignment="1">
      <alignment horizontal="center" vertical="top"/>
    </xf>
    <xf numFmtId="0" fontId="870" fillId="5" borderId="3" xfId="0" applyFont="1" applyFill="1" applyBorder="1" applyAlignment="1">
      <alignment horizontal="left" vertical="top" wrapText="1"/>
    </xf>
    <xf numFmtId="0" fontId="871" fillId="5" borderId="3" xfId="0" applyFont="1" applyFill="1" applyBorder="1" applyAlignment="1">
      <alignment horizontal="center" vertical="top"/>
    </xf>
    <xf numFmtId="0" fontId="872" fillId="5" borderId="3" xfId="0" applyFont="1" applyFill="1" applyBorder="1" applyAlignment="1">
      <alignment horizontal="left" vertical="top" wrapText="1"/>
    </xf>
    <xf numFmtId="0" fontId="873" fillId="5" borderId="3" xfId="0" applyFont="1" applyFill="1" applyBorder="1" applyAlignment="1">
      <alignment horizontal="center" vertical="top"/>
    </xf>
    <xf numFmtId="0" fontId="874" fillId="5" borderId="3" xfId="0" applyFont="1" applyFill="1" applyBorder="1" applyAlignment="1">
      <alignment horizontal="left" vertical="top" wrapText="1"/>
    </xf>
    <xf numFmtId="0" fontId="875" fillId="5" borderId="3" xfId="0" applyFont="1" applyFill="1" applyBorder="1" applyAlignment="1">
      <alignment horizontal="left" vertical="top" wrapText="1"/>
    </xf>
    <xf numFmtId="0" fontId="876" fillId="5" borderId="3" xfId="0" applyFont="1" applyFill="1" applyBorder="1" applyAlignment="1">
      <alignment horizontal="left" vertical="top" wrapText="1"/>
    </xf>
    <xf numFmtId="0" fontId="877" fillId="5" borderId="3" xfId="0" applyFont="1" applyFill="1" applyBorder="1" applyAlignment="1">
      <alignment horizontal="left" vertical="top" wrapText="1"/>
    </xf>
    <xf numFmtId="0" fontId="878" fillId="5" borderId="3" xfId="0" applyFont="1" applyFill="1" applyBorder="1" applyAlignment="1">
      <alignment horizontal="left" vertical="top" wrapText="1"/>
    </xf>
    <xf numFmtId="0" fontId="879" fillId="5" borderId="3" xfId="0" applyFont="1" applyFill="1" applyBorder="1" applyAlignment="1">
      <alignment horizontal="left" vertical="top" wrapText="1"/>
    </xf>
    <xf numFmtId="0" fontId="880" fillId="5" borderId="3" xfId="0" applyFont="1" applyFill="1" applyBorder="1" applyAlignment="1">
      <alignment horizontal="left" vertical="top" wrapText="1"/>
    </xf>
    <xf numFmtId="0" fontId="881" fillId="5" borderId="3" xfId="0" applyFont="1" applyFill="1" applyBorder="1" applyAlignment="1">
      <alignment horizontal="left" vertical="top" wrapText="1"/>
    </xf>
    <xf numFmtId="0" fontId="882" fillId="5" borderId="3" xfId="0" applyFont="1" applyFill="1" applyBorder="1" applyAlignment="1">
      <alignment horizontal="left" vertical="top" wrapText="1"/>
    </xf>
    <xf numFmtId="0" fontId="883" fillId="5" borderId="3" xfId="0" applyFont="1" applyFill="1" applyBorder="1" applyAlignment="1">
      <alignment horizontal="left" vertical="top" wrapText="1"/>
    </xf>
    <xf numFmtId="0" fontId="884" fillId="5" borderId="3" xfId="0" applyFont="1" applyFill="1" applyBorder="1" applyAlignment="1">
      <alignment horizontal="left" vertical="top" wrapText="1"/>
    </xf>
    <xf numFmtId="0" fontId="885" fillId="5" borderId="3" xfId="0" applyFont="1" applyFill="1" applyBorder="1" applyAlignment="1">
      <alignment horizontal="left" vertical="top" wrapText="1"/>
    </xf>
    <xf numFmtId="0" fontId="886" fillId="5" borderId="3" xfId="0" applyFont="1" applyFill="1" applyBorder="1" applyAlignment="1">
      <alignment horizontal="left" vertical="top" wrapText="1"/>
    </xf>
    <xf numFmtId="0" fontId="887" fillId="5" borderId="3" xfId="0" applyFont="1" applyFill="1" applyBorder="1" applyAlignment="1">
      <alignment horizontal="left" vertical="top" wrapText="1"/>
    </xf>
    <xf numFmtId="0" fontId="888" fillId="5" borderId="3" xfId="0" applyFont="1" applyFill="1" applyBorder="1" applyAlignment="1">
      <alignment horizontal="left" vertical="top" wrapText="1"/>
    </xf>
    <xf numFmtId="0" fontId="889" fillId="5" borderId="3" xfId="0" applyFont="1" applyFill="1" applyBorder="1" applyAlignment="1">
      <alignment horizontal="left" vertical="top" wrapText="1"/>
    </xf>
    <xf numFmtId="0" fontId="890" fillId="5" borderId="3" xfId="0" applyFont="1" applyFill="1" applyBorder="1" applyAlignment="1">
      <alignment horizontal="left" vertical="top" wrapText="1"/>
    </xf>
    <xf numFmtId="0" fontId="891" fillId="5" borderId="3" xfId="0" applyFont="1" applyFill="1" applyBorder="1" applyAlignment="1">
      <alignment horizontal="left" vertical="top" wrapText="1"/>
    </xf>
    <xf numFmtId="0" fontId="892" fillId="5" borderId="3" xfId="0" applyFont="1" applyFill="1" applyBorder="1" applyAlignment="1">
      <alignment horizontal="left" vertical="top" wrapText="1"/>
    </xf>
    <xf numFmtId="0" fontId="893" fillId="5" borderId="3" xfId="0" applyFont="1" applyFill="1" applyBorder="1" applyAlignment="1">
      <alignment horizontal="left" vertical="top" wrapText="1"/>
    </xf>
    <xf numFmtId="0" fontId="894" fillId="5" borderId="3" xfId="0" applyFont="1" applyFill="1" applyBorder="1" applyAlignment="1">
      <alignment horizontal="left" vertical="top" wrapText="1"/>
    </xf>
    <xf numFmtId="0" fontId="895" fillId="5" borderId="3" xfId="0" applyFont="1" applyFill="1" applyBorder="1" applyAlignment="1">
      <alignment horizontal="left" vertical="top" wrapText="1"/>
    </xf>
    <xf numFmtId="0" fontId="896" fillId="5" borderId="3" xfId="0" applyFont="1" applyFill="1" applyBorder="1" applyAlignment="1">
      <alignment horizontal="left" vertical="top" wrapText="1"/>
    </xf>
    <xf numFmtId="0" fontId="897" fillId="5" borderId="3" xfId="0" applyFont="1" applyFill="1" applyBorder="1" applyAlignment="1">
      <alignment horizontal="left" vertical="top" wrapText="1"/>
    </xf>
    <xf numFmtId="0" fontId="898" fillId="5" borderId="3" xfId="0" applyFont="1" applyFill="1" applyBorder="1" applyAlignment="1">
      <alignment horizontal="left" vertical="top" wrapText="1"/>
    </xf>
    <xf numFmtId="0" fontId="899" fillId="5" borderId="3" xfId="0" applyFont="1" applyFill="1" applyBorder="1" applyAlignment="1">
      <alignment horizontal="left" vertical="top" wrapText="1"/>
    </xf>
    <xf numFmtId="0" fontId="900" fillId="5" borderId="3" xfId="0" applyFont="1" applyFill="1" applyBorder="1" applyAlignment="1">
      <alignment horizontal="left" vertical="top" wrapText="1"/>
    </xf>
    <xf numFmtId="0" fontId="901" fillId="5" borderId="3" xfId="0" applyFont="1" applyFill="1" applyBorder="1" applyAlignment="1">
      <alignment horizontal="left" vertical="top" wrapText="1"/>
    </xf>
    <xf numFmtId="0" fontId="902" fillId="5" borderId="3" xfId="0" applyFont="1" applyFill="1" applyBorder="1" applyAlignment="1">
      <alignment horizontal="left" vertical="top" wrapText="1"/>
    </xf>
    <xf numFmtId="0" fontId="903" fillId="5" borderId="3" xfId="0" applyFont="1" applyFill="1" applyBorder="1" applyAlignment="1">
      <alignment horizontal="left" vertical="top" wrapText="1"/>
    </xf>
    <xf numFmtId="0" fontId="904" fillId="5" borderId="3" xfId="0" applyFont="1" applyFill="1" applyBorder="1" applyAlignment="1">
      <alignment horizontal="left" vertical="top" wrapText="1"/>
    </xf>
    <xf numFmtId="0" fontId="905" fillId="5" borderId="3" xfId="0" applyFont="1" applyFill="1" applyBorder="1" applyAlignment="1">
      <alignment horizontal="left" vertical="top" wrapText="1"/>
    </xf>
    <xf numFmtId="0" fontId="906" fillId="5" borderId="3" xfId="0" applyFont="1" applyFill="1" applyBorder="1" applyAlignment="1">
      <alignment horizontal="left" vertical="top" wrapText="1"/>
    </xf>
    <xf numFmtId="0" fontId="907" fillId="5" borderId="3" xfId="0" applyFont="1" applyFill="1" applyBorder="1" applyAlignment="1">
      <alignment horizontal="left" vertical="top" wrapText="1"/>
    </xf>
    <xf numFmtId="0" fontId="908" fillId="5" borderId="3" xfId="0" applyFont="1" applyFill="1" applyBorder="1" applyAlignment="1">
      <alignment horizontal="left" vertical="top" wrapText="1"/>
    </xf>
    <xf numFmtId="0" fontId="909" fillId="5" borderId="3" xfId="0" applyFont="1" applyFill="1" applyBorder="1" applyAlignment="1">
      <alignment horizontal="left" vertical="top" wrapText="1"/>
    </xf>
    <xf numFmtId="0" fontId="910" fillId="5" borderId="3" xfId="0" applyFont="1" applyFill="1" applyBorder="1" applyAlignment="1">
      <alignment horizontal="left" vertical="top" wrapText="1"/>
    </xf>
    <xf numFmtId="0" fontId="911" fillId="5" borderId="3" xfId="0" applyFont="1" applyFill="1" applyBorder="1" applyAlignment="1">
      <alignment horizontal="left" vertical="top" wrapText="1"/>
    </xf>
    <xf numFmtId="0" fontId="912" fillId="5" borderId="3" xfId="0" applyFont="1" applyFill="1" applyBorder="1" applyAlignment="1">
      <alignment horizontal="left" vertical="top" wrapText="1"/>
    </xf>
    <xf numFmtId="0" fontId="913" fillId="5" borderId="3" xfId="0" applyFont="1" applyFill="1" applyBorder="1" applyAlignment="1">
      <alignment horizontal="left" vertical="top" wrapText="1"/>
    </xf>
    <xf numFmtId="0" fontId="914" fillId="5" borderId="3" xfId="0" applyFont="1" applyFill="1" applyBorder="1" applyAlignment="1">
      <alignment horizontal="left" vertical="top" wrapText="1"/>
    </xf>
    <xf numFmtId="0" fontId="915" fillId="5" borderId="3" xfId="0" applyFont="1" applyFill="1" applyBorder="1" applyAlignment="1">
      <alignment horizontal="left" vertical="top" wrapText="1"/>
    </xf>
    <xf numFmtId="0" fontId="916" fillId="5" borderId="3" xfId="0" applyFont="1" applyFill="1" applyBorder="1" applyAlignment="1">
      <alignment horizontal="left" vertical="top" wrapText="1"/>
    </xf>
    <xf numFmtId="0" fontId="917" fillId="5" borderId="3" xfId="0" applyFont="1" applyFill="1" applyBorder="1" applyAlignment="1">
      <alignment horizontal="left" vertical="top" wrapText="1"/>
    </xf>
    <xf numFmtId="0" fontId="918" fillId="5" borderId="3" xfId="0" applyFont="1" applyFill="1" applyBorder="1" applyAlignment="1">
      <alignment horizontal="left" vertical="top" wrapText="1"/>
    </xf>
    <xf numFmtId="0" fontId="919" fillId="5" borderId="3" xfId="0" applyFont="1" applyFill="1" applyBorder="1" applyAlignment="1">
      <alignment horizontal="left" vertical="top" wrapText="1"/>
    </xf>
    <xf numFmtId="0" fontId="920" fillId="5" borderId="3" xfId="0" applyFont="1" applyFill="1" applyBorder="1" applyAlignment="1">
      <alignment horizontal="left" vertical="top" wrapText="1"/>
    </xf>
    <xf numFmtId="0" fontId="921" fillId="5" borderId="3" xfId="0" applyFont="1" applyFill="1" applyBorder="1" applyAlignment="1">
      <alignment horizontal="left" vertical="top" wrapText="1"/>
    </xf>
    <xf numFmtId="0" fontId="922" fillId="5" borderId="3" xfId="0" applyFont="1" applyFill="1" applyBorder="1" applyAlignment="1">
      <alignment horizontal="left" vertical="top" wrapText="1"/>
    </xf>
    <xf numFmtId="0" fontId="923" fillId="5" borderId="3" xfId="0" applyFont="1" applyFill="1" applyBorder="1" applyAlignment="1">
      <alignment horizontal="left" vertical="top" wrapText="1"/>
    </xf>
    <xf numFmtId="0" fontId="924" fillId="5" borderId="3" xfId="0" applyFont="1" applyFill="1" applyBorder="1" applyAlignment="1">
      <alignment horizontal="left" vertical="top" wrapText="1"/>
    </xf>
    <xf numFmtId="0" fontId="925" fillId="5" borderId="3" xfId="0" applyFont="1" applyFill="1" applyBorder="1" applyAlignment="1">
      <alignment horizontal="left" vertical="top" wrapText="1"/>
    </xf>
    <xf numFmtId="0" fontId="926" fillId="5" borderId="3" xfId="0" applyFont="1" applyFill="1" applyBorder="1" applyAlignment="1">
      <alignment horizontal="left" vertical="top" wrapText="1"/>
    </xf>
    <xf numFmtId="0" fontId="927" fillId="5" borderId="3" xfId="0" applyFont="1" applyFill="1" applyBorder="1" applyAlignment="1">
      <alignment horizontal="left" vertical="top" wrapText="1"/>
    </xf>
    <xf numFmtId="0" fontId="928" fillId="5" borderId="3" xfId="0" applyFont="1" applyFill="1" applyBorder="1" applyAlignment="1">
      <alignment horizontal="center" vertical="top"/>
    </xf>
    <xf numFmtId="0" fontId="929" fillId="5" borderId="3" xfId="0" applyFont="1" applyFill="1" applyBorder="1" applyAlignment="1">
      <alignment horizontal="center" vertical="top"/>
    </xf>
    <xf numFmtId="0" fontId="930" fillId="5" borderId="3" xfId="0" applyFont="1" applyFill="1" applyBorder="1" applyAlignment="1">
      <alignment horizontal="center" vertical="top"/>
    </xf>
    <xf numFmtId="0" fontId="931" fillId="5" borderId="3" xfId="0" applyFont="1" applyFill="1" applyBorder="1" applyAlignment="1">
      <alignment horizontal="center" vertical="top"/>
    </xf>
    <xf numFmtId="0" fontId="932" fillId="5" borderId="3" xfId="0" applyFont="1" applyFill="1" applyBorder="1" applyAlignment="1">
      <alignment horizontal="center" vertical="top"/>
    </xf>
    <xf numFmtId="0" fontId="933" fillId="5" borderId="3" xfId="0" applyFont="1" applyFill="1" applyBorder="1" applyAlignment="1">
      <alignment horizontal="center" vertical="top"/>
    </xf>
    <xf numFmtId="0" fontId="934" fillId="5" borderId="3" xfId="0" applyFont="1" applyFill="1" applyBorder="1" applyAlignment="1">
      <alignment horizontal="center" vertical="top"/>
    </xf>
    <xf numFmtId="0" fontId="935" fillId="5" borderId="3" xfId="0" applyFont="1" applyFill="1" applyBorder="1" applyAlignment="1">
      <alignment horizontal="center" vertical="top"/>
    </xf>
    <xf numFmtId="0" fontId="936" fillId="5" borderId="3" xfId="0" applyFont="1" applyFill="1" applyBorder="1" applyAlignment="1">
      <alignment horizontal="center" vertical="top"/>
    </xf>
    <xf numFmtId="0" fontId="937" fillId="5" borderId="3" xfId="0" applyFont="1" applyFill="1" applyBorder="1" applyAlignment="1">
      <alignment horizontal="center" vertical="top"/>
    </xf>
    <xf numFmtId="0" fontId="938" fillId="5" borderId="3" xfId="0" applyFont="1" applyFill="1" applyBorder="1" applyAlignment="1">
      <alignment horizontal="left" vertical="top" wrapText="1"/>
    </xf>
    <xf numFmtId="0" fontId="939" fillId="5" borderId="3" xfId="0" applyFont="1" applyFill="1" applyBorder="1" applyAlignment="1">
      <alignment horizontal="center" vertical="top"/>
    </xf>
    <xf numFmtId="0" fontId="940" fillId="5" borderId="3" xfId="0" applyFont="1" applyFill="1" applyBorder="1" applyAlignment="1">
      <alignment horizontal="center" vertical="top"/>
    </xf>
    <xf numFmtId="0" fontId="941" fillId="5" borderId="3" xfId="0" applyFont="1" applyFill="1" applyBorder="1" applyAlignment="1">
      <alignment horizontal="center" vertical="top"/>
    </xf>
    <xf numFmtId="0" fontId="942" fillId="5" borderId="3" xfId="0" applyFont="1" applyFill="1" applyBorder="1" applyAlignment="1">
      <alignment horizontal="left" vertical="top" wrapText="1"/>
    </xf>
    <xf numFmtId="0" fontId="943" fillId="5" borderId="3" xfId="0" applyFont="1" applyFill="1" applyBorder="1" applyAlignment="1">
      <alignment horizontal="left" vertical="top" wrapText="1"/>
    </xf>
    <xf numFmtId="0" fontId="944" fillId="5" borderId="3" xfId="0" applyFont="1" applyFill="1" applyBorder="1" applyAlignment="1">
      <alignment horizontal="left" vertical="top" wrapText="1"/>
    </xf>
    <xf numFmtId="0" fontId="945" fillId="5" borderId="3" xfId="0" applyFont="1" applyFill="1" applyBorder="1" applyAlignment="1">
      <alignment horizontal="left" vertical="top" wrapText="1"/>
    </xf>
    <xf numFmtId="49" fontId="0" fillId="0" borderId="0" xfId="0" applyNumberFormat="1"/>
    <xf numFmtId="0" fontId="946" fillId="3" borderId="3" xfId="0" applyFont="1" applyFill="1" applyBorder="1" applyAlignment="1">
      <alignment horizontal="left" vertical="top" wrapText="1"/>
    </xf>
    <xf numFmtId="0" fontId="949" fillId="4" borderId="3" xfId="0" applyFont="1" applyFill="1" applyBorder="1" applyAlignment="1">
      <alignment horizontal="center" vertical="top" wrapText="1"/>
    </xf>
    <xf numFmtId="0" fontId="950" fillId="5" borderId="3" xfId="0" applyFont="1" applyFill="1" applyBorder="1" applyAlignment="1">
      <alignment horizontal="center" vertical="top"/>
    </xf>
    <xf numFmtId="0" fontId="951" fillId="5" borderId="3" xfId="0" applyFont="1" applyFill="1" applyBorder="1" applyAlignment="1">
      <alignment horizontal="left" vertical="top" wrapText="1"/>
    </xf>
    <xf numFmtId="0" fontId="952" fillId="5" borderId="3" xfId="0" applyFont="1" applyFill="1" applyBorder="1" applyAlignment="1">
      <alignment horizontal="left" vertical="top" wrapText="1"/>
    </xf>
    <xf numFmtId="0" fontId="953" fillId="5" borderId="3" xfId="0" applyFont="1" applyFill="1" applyBorder="1" applyAlignment="1">
      <alignment horizontal="left" vertical="top" wrapText="1"/>
    </xf>
    <xf numFmtId="0" fontId="954" fillId="5" borderId="3" xfId="0" applyFont="1" applyFill="1" applyBorder="1" applyAlignment="1">
      <alignment horizontal="left" vertical="top" wrapText="1"/>
    </xf>
    <xf numFmtId="0" fontId="955" fillId="5" borderId="3" xfId="0" applyFont="1" applyFill="1" applyBorder="1" applyAlignment="1">
      <alignment horizontal="left" vertical="top" wrapText="1"/>
    </xf>
    <xf numFmtId="0" fontId="956" fillId="5" borderId="3" xfId="0" applyFont="1" applyFill="1" applyBorder="1" applyAlignment="1">
      <alignment horizontal="left" vertical="top" wrapText="1"/>
    </xf>
    <xf numFmtId="0" fontId="957" fillId="5" borderId="3" xfId="0" applyFont="1" applyFill="1" applyBorder="1" applyAlignment="1">
      <alignment horizontal="left" vertical="top" wrapText="1"/>
    </xf>
    <xf numFmtId="0" fontId="958" fillId="5" borderId="3" xfId="0" applyFont="1" applyFill="1" applyBorder="1" applyAlignment="1">
      <alignment horizontal="left" vertical="top" wrapText="1"/>
    </xf>
    <xf numFmtId="0" fontId="959" fillId="5" borderId="3" xfId="0" applyFont="1" applyFill="1" applyBorder="1" applyAlignment="1">
      <alignment horizontal="left" vertical="top" wrapText="1"/>
    </xf>
    <xf numFmtId="0" fontId="960" fillId="5" borderId="3" xfId="0" applyFont="1" applyFill="1" applyBorder="1" applyAlignment="1">
      <alignment horizontal="left" vertical="top" wrapText="1"/>
    </xf>
    <xf numFmtId="0" fontId="961" fillId="5" borderId="3" xfId="0" applyFont="1" applyFill="1" applyBorder="1" applyAlignment="1">
      <alignment horizontal="left" vertical="top" wrapText="1"/>
    </xf>
    <xf numFmtId="0" fontId="962" fillId="5" borderId="3" xfId="0" applyFont="1" applyFill="1" applyBorder="1" applyAlignment="1">
      <alignment horizontal="left" vertical="top" wrapText="1"/>
    </xf>
    <xf numFmtId="0" fontId="963" fillId="5" borderId="3" xfId="0" applyFont="1" applyFill="1" applyBorder="1" applyAlignment="1">
      <alignment horizontal="left" vertical="top" wrapText="1"/>
    </xf>
    <xf numFmtId="0" fontId="964" fillId="5" borderId="3" xfId="0" applyFont="1" applyFill="1" applyBorder="1" applyAlignment="1">
      <alignment horizontal="left" vertical="top" wrapText="1"/>
    </xf>
    <xf numFmtId="0" fontId="965" fillId="5" borderId="3" xfId="0" applyFont="1" applyFill="1" applyBorder="1" applyAlignment="1">
      <alignment horizontal="left" vertical="top" wrapText="1"/>
    </xf>
    <xf numFmtId="0" fontId="966" fillId="5" borderId="3" xfId="0" applyFont="1" applyFill="1" applyBorder="1" applyAlignment="1">
      <alignment horizontal="center" vertical="top"/>
    </xf>
    <xf numFmtId="0" fontId="967" fillId="5" borderId="3" xfId="0" applyFont="1" applyFill="1" applyBorder="1" applyAlignment="1">
      <alignment horizontal="center" vertical="top"/>
    </xf>
    <xf numFmtId="0" fontId="968" fillId="5" borderId="3" xfId="0" applyFont="1" applyFill="1" applyBorder="1" applyAlignment="1">
      <alignment horizontal="center" vertical="top"/>
    </xf>
    <xf numFmtId="0" fontId="969" fillId="5" borderId="3" xfId="0" applyFont="1" applyFill="1" applyBorder="1" applyAlignment="1">
      <alignment horizontal="center" vertical="top"/>
    </xf>
    <xf numFmtId="0" fontId="970" fillId="5" borderId="3" xfId="0" applyFont="1" applyFill="1" applyBorder="1" applyAlignment="1">
      <alignment horizontal="center" vertical="top"/>
    </xf>
    <xf numFmtId="0" fontId="971" fillId="5" borderId="3" xfId="0" applyFont="1" applyFill="1" applyBorder="1" applyAlignment="1">
      <alignment horizontal="center" vertical="top"/>
    </xf>
    <xf numFmtId="0" fontId="972" fillId="5" borderId="3" xfId="0" applyFont="1" applyFill="1" applyBorder="1" applyAlignment="1">
      <alignment horizontal="center" vertical="top"/>
    </xf>
    <xf numFmtId="0" fontId="973" fillId="5" borderId="3" xfId="0" applyFont="1" applyFill="1" applyBorder="1" applyAlignment="1">
      <alignment horizontal="center" vertical="top"/>
    </xf>
    <xf numFmtId="0" fontId="974" fillId="5" borderId="3" xfId="0" applyFont="1" applyFill="1" applyBorder="1" applyAlignment="1">
      <alignment horizontal="center" vertical="top"/>
    </xf>
    <xf numFmtId="0" fontId="975" fillId="5" borderId="3" xfId="0" applyFont="1" applyFill="1" applyBorder="1" applyAlignment="1">
      <alignment horizontal="center" vertical="top"/>
    </xf>
    <xf numFmtId="0" fontId="976" fillId="5" borderId="3" xfId="0" applyFont="1" applyFill="1" applyBorder="1" applyAlignment="1">
      <alignment horizontal="center" vertical="top"/>
    </xf>
    <xf numFmtId="0" fontId="977" fillId="5" borderId="3" xfId="0" applyFont="1" applyFill="1" applyBorder="1" applyAlignment="1">
      <alignment horizontal="center" vertical="top"/>
    </xf>
    <xf numFmtId="0" fontId="978" fillId="5" borderId="3" xfId="0" applyFont="1" applyFill="1" applyBorder="1" applyAlignment="1">
      <alignment horizontal="center" vertical="top"/>
    </xf>
    <xf numFmtId="0" fontId="979" fillId="5" borderId="3" xfId="0" applyFont="1" applyFill="1" applyBorder="1" applyAlignment="1">
      <alignment horizontal="center" vertical="top"/>
    </xf>
    <xf numFmtId="0" fontId="980" fillId="5" borderId="3" xfId="0" applyFont="1" applyFill="1" applyBorder="1" applyAlignment="1">
      <alignment horizontal="left" vertical="top" wrapText="1"/>
    </xf>
    <xf numFmtId="0" fontId="981" fillId="5" borderId="3" xfId="0" applyFont="1" applyFill="1" applyBorder="1" applyAlignment="1">
      <alignment horizontal="left" vertical="top" wrapText="1"/>
    </xf>
    <xf numFmtId="0" fontId="982" fillId="5" borderId="3" xfId="0" applyFont="1" applyFill="1" applyBorder="1" applyAlignment="1">
      <alignment horizontal="left" vertical="top" wrapText="1"/>
    </xf>
    <xf numFmtId="0" fontId="983" fillId="5" borderId="3" xfId="0" applyFont="1" applyFill="1" applyBorder="1" applyAlignment="1">
      <alignment horizontal="left" vertical="top" wrapText="1"/>
    </xf>
    <xf numFmtId="0" fontId="984" fillId="5" borderId="3" xfId="0" applyFont="1" applyFill="1" applyBorder="1" applyAlignment="1">
      <alignment horizontal="center" vertical="top"/>
    </xf>
    <xf numFmtId="0" fontId="985" fillId="5" borderId="3" xfId="0" applyFont="1" applyFill="1" applyBorder="1" applyAlignment="1">
      <alignment horizontal="center" vertical="top"/>
    </xf>
    <xf numFmtId="0" fontId="986" fillId="5" borderId="3" xfId="0" applyFont="1" applyFill="1" applyBorder="1" applyAlignment="1">
      <alignment horizontal="left" vertical="top" wrapText="1"/>
    </xf>
    <xf numFmtId="0" fontId="987" fillId="5" borderId="3" xfId="0" applyFont="1" applyFill="1" applyBorder="1" applyAlignment="1">
      <alignment horizontal="center" vertical="top"/>
    </xf>
    <xf numFmtId="0" fontId="988" fillId="5" borderId="3" xfId="0" applyFont="1" applyFill="1" applyBorder="1" applyAlignment="1">
      <alignment horizontal="center" vertical="top"/>
    </xf>
    <xf numFmtId="0" fontId="989" fillId="5" borderId="3" xfId="0" applyFont="1" applyFill="1" applyBorder="1" applyAlignment="1">
      <alignment horizontal="center" vertical="top"/>
    </xf>
    <xf numFmtId="0" fontId="990" fillId="5" borderId="3" xfId="0" applyFont="1" applyFill="1" applyBorder="1" applyAlignment="1">
      <alignment horizontal="center" vertical="top"/>
    </xf>
    <xf numFmtId="0" fontId="991" fillId="5" borderId="3" xfId="0" applyFont="1" applyFill="1" applyBorder="1" applyAlignment="1">
      <alignment horizontal="center" vertical="top"/>
    </xf>
    <xf numFmtId="0" fontId="992" fillId="5" borderId="3" xfId="0" applyFont="1" applyFill="1" applyBorder="1" applyAlignment="1">
      <alignment horizontal="center" vertical="top"/>
    </xf>
    <xf numFmtId="0" fontId="993" fillId="5" borderId="3" xfId="0" applyFont="1" applyFill="1" applyBorder="1" applyAlignment="1">
      <alignment horizontal="center" vertical="top"/>
    </xf>
    <xf numFmtId="0" fontId="994" fillId="5" borderId="3" xfId="0" applyFont="1" applyFill="1" applyBorder="1" applyAlignment="1">
      <alignment horizontal="center" vertical="top"/>
    </xf>
    <xf numFmtId="0" fontId="995" fillId="5" borderId="3" xfId="0" applyFont="1" applyFill="1" applyBorder="1" applyAlignment="1">
      <alignment horizontal="center" vertical="top"/>
    </xf>
    <xf numFmtId="0" fontId="996" fillId="5" borderId="3" xfId="0" applyFont="1" applyFill="1" applyBorder="1" applyAlignment="1">
      <alignment horizontal="center" vertical="top"/>
    </xf>
    <xf numFmtId="0" fontId="997" fillId="5" borderId="3" xfId="0" applyFont="1" applyFill="1" applyBorder="1" applyAlignment="1">
      <alignment horizontal="center" vertical="top"/>
    </xf>
    <xf numFmtId="0" fontId="998" fillId="5" borderId="3" xfId="0" applyFont="1" applyFill="1" applyBorder="1" applyAlignment="1">
      <alignment horizontal="left" vertical="top" wrapText="1"/>
    </xf>
    <xf numFmtId="0" fontId="999" fillId="5" borderId="3" xfId="0" applyFont="1" applyFill="1" applyBorder="1" applyAlignment="1">
      <alignment horizontal="left" vertical="top" wrapText="1"/>
    </xf>
    <xf numFmtId="0" fontId="1000" fillId="5" borderId="3" xfId="0" applyFont="1" applyFill="1" applyBorder="1" applyAlignment="1">
      <alignment horizontal="left" vertical="top" wrapText="1"/>
    </xf>
    <xf numFmtId="0" fontId="1001" fillId="5" borderId="3" xfId="0" applyFont="1" applyFill="1" applyBorder="1" applyAlignment="1">
      <alignment horizontal="left" vertical="top" wrapText="1"/>
    </xf>
    <xf numFmtId="0" fontId="1002" fillId="5" borderId="3" xfId="0" applyFont="1" applyFill="1" applyBorder="1" applyAlignment="1">
      <alignment horizontal="left" vertical="top" wrapText="1"/>
    </xf>
    <xf numFmtId="0" fontId="1003" fillId="5" borderId="3" xfId="0" applyFont="1" applyFill="1" applyBorder="1" applyAlignment="1">
      <alignment horizontal="left" vertical="top" wrapText="1"/>
    </xf>
    <xf numFmtId="0" fontId="1004" fillId="5" borderId="3" xfId="0" applyFont="1" applyFill="1" applyBorder="1" applyAlignment="1">
      <alignment horizontal="left" vertical="top" wrapText="1"/>
    </xf>
    <xf numFmtId="0" fontId="1005" fillId="5" borderId="3" xfId="0" applyFont="1" applyFill="1" applyBorder="1" applyAlignment="1">
      <alignment horizontal="left" vertical="top" wrapText="1"/>
    </xf>
    <xf numFmtId="0" fontId="1006" fillId="5" borderId="3" xfId="0" applyFont="1" applyFill="1" applyBorder="1" applyAlignment="1">
      <alignment horizontal="left" vertical="top" wrapText="1"/>
    </xf>
    <xf numFmtId="0" fontId="1007" fillId="5" borderId="3" xfId="0" applyFont="1" applyFill="1" applyBorder="1" applyAlignment="1">
      <alignment horizontal="left" vertical="top" wrapText="1"/>
    </xf>
    <xf numFmtId="0" fontId="1008" fillId="5" borderId="3" xfId="0" applyFont="1" applyFill="1" applyBorder="1" applyAlignment="1">
      <alignment horizontal="left" vertical="top" wrapText="1"/>
    </xf>
    <xf numFmtId="0" fontId="1009" fillId="5" borderId="3" xfId="0" applyFont="1" applyFill="1" applyBorder="1" applyAlignment="1">
      <alignment horizontal="left" vertical="top" wrapText="1"/>
    </xf>
    <xf numFmtId="0" fontId="1010" fillId="5" borderId="3" xfId="0" applyFont="1" applyFill="1" applyBorder="1" applyAlignment="1">
      <alignment horizontal="left" vertical="top" wrapText="1"/>
    </xf>
    <xf numFmtId="0" fontId="1011" fillId="5" borderId="3" xfId="0" applyFont="1" applyFill="1" applyBorder="1" applyAlignment="1">
      <alignment horizontal="left" vertical="top" wrapText="1"/>
    </xf>
    <xf numFmtId="0" fontId="1012" fillId="5" borderId="3" xfId="0" applyFont="1" applyFill="1" applyBorder="1" applyAlignment="1">
      <alignment horizontal="left" vertical="top" wrapText="1"/>
    </xf>
    <xf numFmtId="0" fontId="1013" fillId="5" borderId="3" xfId="0" applyFont="1" applyFill="1" applyBorder="1" applyAlignment="1">
      <alignment horizontal="left" vertical="top" wrapText="1"/>
    </xf>
    <xf numFmtId="0" fontId="1014" fillId="5" borderId="3" xfId="0" applyFont="1" applyFill="1" applyBorder="1" applyAlignment="1">
      <alignment horizontal="center" vertical="top"/>
    </xf>
    <xf numFmtId="0" fontId="1015" fillId="5" borderId="3" xfId="0" applyFont="1" applyFill="1" applyBorder="1" applyAlignment="1">
      <alignment horizontal="center" vertical="top"/>
    </xf>
    <xf numFmtId="0" fontId="1016" fillId="5" borderId="3" xfId="0" applyFont="1" applyFill="1" applyBorder="1" applyAlignment="1">
      <alignment horizontal="left" vertical="top" wrapText="1"/>
    </xf>
    <xf numFmtId="0" fontId="1017" fillId="5" borderId="3" xfId="0" applyFont="1" applyFill="1" applyBorder="1" applyAlignment="1">
      <alignment horizontal="left" vertical="top" wrapText="1"/>
    </xf>
    <xf numFmtId="0" fontId="1018" fillId="5" borderId="3" xfId="0" applyFont="1" applyFill="1" applyBorder="1" applyAlignment="1">
      <alignment horizontal="left" vertical="top" wrapText="1"/>
    </xf>
    <xf numFmtId="0" fontId="1019" fillId="5" borderId="3" xfId="0" applyFont="1" applyFill="1" applyBorder="1" applyAlignment="1">
      <alignment horizontal="left" vertical="top" wrapText="1"/>
    </xf>
    <xf numFmtId="0" fontId="1020" fillId="5" borderId="3" xfId="0" applyFont="1" applyFill="1" applyBorder="1" applyAlignment="1">
      <alignment horizontal="left" vertical="top" wrapText="1"/>
    </xf>
    <xf numFmtId="0" fontId="1021" fillId="5" borderId="3" xfId="0" applyFont="1" applyFill="1" applyBorder="1" applyAlignment="1">
      <alignment horizontal="left" vertical="top" wrapText="1"/>
    </xf>
    <xf numFmtId="0" fontId="1022" fillId="5" borderId="3" xfId="0" applyFont="1" applyFill="1" applyBorder="1" applyAlignment="1">
      <alignment horizontal="left" vertical="top" wrapText="1"/>
    </xf>
    <xf numFmtId="0" fontId="1023" fillId="5" borderId="3" xfId="0" applyFont="1" applyFill="1" applyBorder="1" applyAlignment="1">
      <alignment horizontal="left" vertical="top" wrapText="1"/>
    </xf>
    <xf numFmtId="0" fontId="1024" fillId="5" borderId="3" xfId="0" applyFont="1" applyFill="1" applyBorder="1" applyAlignment="1">
      <alignment horizontal="left" vertical="top" wrapText="1"/>
    </xf>
    <xf numFmtId="0" fontId="1025" fillId="5" borderId="3" xfId="0" applyFont="1" applyFill="1" applyBorder="1" applyAlignment="1">
      <alignment horizontal="left" vertical="top" wrapText="1"/>
    </xf>
    <xf numFmtId="0" fontId="1026" fillId="5" borderId="3" xfId="0" applyFont="1" applyFill="1" applyBorder="1" applyAlignment="1">
      <alignment horizontal="left" vertical="top" wrapText="1"/>
    </xf>
    <xf numFmtId="0" fontId="1027" fillId="5" borderId="3" xfId="0" applyFont="1" applyFill="1" applyBorder="1" applyAlignment="1">
      <alignment horizontal="left" vertical="top" wrapText="1"/>
    </xf>
    <xf numFmtId="0" fontId="1028" fillId="5" borderId="3" xfId="0" applyFont="1" applyFill="1" applyBorder="1" applyAlignment="1">
      <alignment horizontal="left" vertical="top" wrapText="1"/>
    </xf>
    <xf numFmtId="0" fontId="1029" fillId="5" borderId="3" xfId="0" applyFont="1" applyFill="1" applyBorder="1" applyAlignment="1">
      <alignment horizontal="left" vertical="top" wrapText="1"/>
    </xf>
    <xf numFmtId="0" fontId="1030" fillId="5" borderId="3" xfId="0" applyFont="1" applyFill="1" applyBorder="1" applyAlignment="1">
      <alignment horizontal="left" vertical="top" wrapText="1"/>
    </xf>
    <xf numFmtId="0" fontId="1031" fillId="5" borderId="3" xfId="0" applyFont="1" applyFill="1" applyBorder="1" applyAlignment="1">
      <alignment horizontal="left" vertical="top" wrapText="1"/>
    </xf>
    <xf numFmtId="0" fontId="1032" fillId="5" borderId="3" xfId="0" applyFont="1" applyFill="1" applyBorder="1" applyAlignment="1">
      <alignment horizontal="left" vertical="top" wrapText="1"/>
    </xf>
    <xf numFmtId="0" fontId="1033" fillId="5" borderId="3" xfId="0" applyFont="1" applyFill="1" applyBorder="1" applyAlignment="1">
      <alignment horizontal="left" vertical="top" wrapText="1"/>
    </xf>
    <xf numFmtId="0" fontId="1034" fillId="5" borderId="3" xfId="0" applyFont="1" applyFill="1" applyBorder="1" applyAlignment="1">
      <alignment horizontal="left" vertical="top" wrapText="1"/>
    </xf>
    <xf numFmtId="0" fontId="1035" fillId="5" borderId="3" xfId="0" applyFont="1" applyFill="1" applyBorder="1" applyAlignment="1">
      <alignment horizontal="left" vertical="top" wrapText="1"/>
    </xf>
    <xf numFmtId="0" fontId="1036" fillId="5" borderId="3" xfId="0" applyFont="1" applyFill="1" applyBorder="1" applyAlignment="1">
      <alignment horizontal="left" vertical="top" wrapText="1"/>
    </xf>
    <xf numFmtId="0" fontId="1037" fillId="5" borderId="3" xfId="0" applyFont="1" applyFill="1" applyBorder="1" applyAlignment="1">
      <alignment horizontal="left" vertical="top" wrapText="1"/>
    </xf>
    <xf numFmtId="0" fontId="1038" fillId="5" borderId="3" xfId="0" applyFont="1" applyFill="1" applyBorder="1" applyAlignment="1">
      <alignment horizontal="left" vertical="top" wrapText="1"/>
    </xf>
    <xf numFmtId="0" fontId="1039" fillId="5" borderId="3" xfId="0" applyFont="1" applyFill="1" applyBorder="1" applyAlignment="1">
      <alignment horizontal="left" vertical="top" wrapText="1"/>
    </xf>
    <xf numFmtId="0" fontId="1040" fillId="5" borderId="3" xfId="0" applyFont="1" applyFill="1" applyBorder="1" applyAlignment="1">
      <alignment horizontal="left" vertical="top" wrapText="1"/>
    </xf>
    <xf numFmtId="0" fontId="1041" fillId="5" borderId="3" xfId="0" applyFont="1" applyFill="1" applyBorder="1" applyAlignment="1">
      <alignment horizontal="left" vertical="top" wrapText="1"/>
    </xf>
    <xf numFmtId="0" fontId="1042" fillId="5" borderId="3" xfId="0" applyFont="1" applyFill="1" applyBorder="1" applyAlignment="1">
      <alignment horizontal="left" vertical="top" wrapText="1"/>
    </xf>
    <xf numFmtId="0" fontId="1043" fillId="5" borderId="3" xfId="0" applyFont="1" applyFill="1" applyBorder="1" applyAlignment="1">
      <alignment horizontal="left" vertical="top" wrapText="1"/>
    </xf>
    <xf numFmtId="0" fontId="1044" fillId="5" borderId="3" xfId="0" applyFont="1" applyFill="1" applyBorder="1" applyAlignment="1">
      <alignment horizontal="left" vertical="top" wrapText="1"/>
    </xf>
    <xf numFmtId="0" fontId="1045" fillId="5" borderId="3" xfId="0" applyFont="1" applyFill="1" applyBorder="1" applyAlignment="1">
      <alignment horizontal="left" vertical="top" wrapText="1"/>
    </xf>
    <xf numFmtId="0" fontId="1046" fillId="5" borderId="3" xfId="0" applyFont="1" applyFill="1" applyBorder="1" applyAlignment="1">
      <alignment horizontal="left" vertical="top" wrapText="1"/>
    </xf>
    <xf numFmtId="0" fontId="1047" fillId="5" borderId="3" xfId="0" applyFont="1" applyFill="1" applyBorder="1" applyAlignment="1">
      <alignment horizontal="left" vertical="top" wrapText="1"/>
    </xf>
    <xf numFmtId="0" fontId="1048" fillId="5" borderId="3" xfId="0" applyFont="1" applyFill="1" applyBorder="1" applyAlignment="1">
      <alignment horizontal="left" vertical="top" wrapText="1"/>
    </xf>
    <xf numFmtId="0" fontId="1049" fillId="5" borderId="3" xfId="0" applyFont="1" applyFill="1" applyBorder="1" applyAlignment="1">
      <alignment horizontal="left" vertical="top" wrapText="1"/>
    </xf>
    <xf numFmtId="0" fontId="1050" fillId="5" borderId="3" xfId="0" applyFont="1" applyFill="1" applyBorder="1" applyAlignment="1">
      <alignment horizontal="left" vertical="top" wrapText="1"/>
    </xf>
    <xf numFmtId="0" fontId="1051" fillId="5" borderId="3" xfId="0" applyFont="1" applyFill="1" applyBorder="1" applyAlignment="1">
      <alignment horizontal="left" vertical="top" wrapText="1"/>
    </xf>
    <xf numFmtId="0" fontId="1052" fillId="5" borderId="3" xfId="0" applyFont="1" applyFill="1" applyBorder="1" applyAlignment="1">
      <alignment horizontal="left" vertical="top" wrapText="1"/>
    </xf>
    <xf numFmtId="0" fontId="1053" fillId="5" borderId="3" xfId="0" applyFont="1" applyFill="1" applyBorder="1" applyAlignment="1">
      <alignment horizontal="left" vertical="top" wrapText="1"/>
    </xf>
    <xf numFmtId="0" fontId="1054" fillId="5" borderId="3" xfId="0" applyFont="1" applyFill="1" applyBorder="1" applyAlignment="1">
      <alignment horizontal="left" vertical="top" wrapText="1"/>
    </xf>
    <xf numFmtId="0" fontId="1055" fillId="5" borderId="3" xfId="0" applyFont="1" applyFill="1" applyBorder="1" applyAlignment="1">
      <alignment horizontal="left" vertical="top" wrapText="1"/>
    </xf>
    <xf numFmtId="0" fontId="1056" fillId="5" borderId="3" xfId="0" applyFont="1" applyFill="1" applyBorder="1" applyAlignment="1">
      <alignment horizontal="left" vertical="top" wrapText="1"/>
    </xf>
    <xf numFmtId="0" fontId="1057" fillId="5" borderId="3" xfId="0" applyFont="1" applyFill="1" applyBorder="1" applyAlignment="1">
      <alignment horizontal="left" vertical="top" wrapText="1"/>
    </xf>
    <xf numFmtId="0" fontId="1058" fillId="5" borderId="3" xfId="0" applyFont="1" applyFill="1" applyBorder="1" applyAlignment="1">
      <alignment horizontal="left" vertical="top" wrapText="1"/>
    </xf>
    <xf numFmtId="0" fontId="1059" fillId="5" borderId="3" xfId="0" applyFont="1" applyFill="1" applyBorder="1" applyAlignment="1">
      <alignment horizontal="left" vertical="top" wrapText="1"/>
    </xf>
    <xf numFmtId="0" fontId="1060" fillId="5" borderId="3" xfId="0" applyFont="1" applyFill="1" applyBorder="1" applyAlignment="1">
      <alignment horizontal="left" vertical="top" wrapText="1"/>
    </xf>
    <xf numFmtId="0" fontId="1061" fillId="5" borderId="3" xfId="0" applyFont="1" applyFill="1" applyBorder="1" applyAlignment="1">
      <alignment horizontal="left" vertical="top" wrapText="1"/>
    </xf>
    <xf numFmtId="0" fontId="1062" fillId="5" borderId="3" xfId="0" applyFont="1" applyFill="1" applyBorder="1" applyAlignment="1">
      <alignment horizontal="left" vertical="top" wrapText="1"/>
    </xf>
    <xf numFmtId="0" fontId="1063" fillId="5" borderId="3" xfId="0" applyFont="1" applyFill="1" applyBorder="1" applyAlignment="1">
      <alignment horizontal="left" vertical="top" wrapText="1"/>
    </xf>
    <xf numFmtId="0" fontId="1064" fillId="5" borderId="3" xfId="0" applyFont="1" applyFill="1" applyBorder="1" applyAlignment="1">
      <alignment horizontal="left" vertical="top" wrapText="1"/>
    </xf>
    <xf numFmtId="0" fontId="1065" fillId="5" borderId="3" xfId="0" applyFont="1" applyFill="1" applyBorder="1" applyAlignment="1">
      <alignment horizontal="left" vertical="top" wrapText="1"/>
    </xf>
    <xf numFmtId="0" fontId="1066" fillId="5" borderId="3" xfId="0" applyFont="1" applyFill="1" applyBorder="1" applyAlignment="1">
      <alignment horizontal="center" vertical="top"/>
    </xf>
    <xf numFmtId="0" fontId="1067" fillId="5" borderId="3" xfId="0" applyFont="1" applyFill="1" applyBorder="1" applyAlignment="1">
      <alignment horizontal="center" vertical="top"/>
    </xf>
    <xf numFmtId="0" fontId="1068" fillId="5" borderId="3" xfId="0" applyFont="1" applyFill="1" applyBorder="1" applyAlignment="1">
      <alignment horizontal="center" vertical="top"/>
    </xf>
    <xf numFmtId="0" fontId="1069" fillId="5" borderId="3" xfId="0" applyFont="1" applyFill="1" applyBorder="1" applyAlignment="1">
      <alignment horizontal="left" vertical="top" wrapText="1"/>
    </xf>
    <xf numFmtId="0" fontId="1070" fillId="5" borderId="3" xfId="0" applyFont="1" applyFill="1" applyBorder="1" applyAlignment="1">
      <alignment horizontal="center" vertical="top"/>
    </xf>
    <xf numFmtId="0" fontId="1071" fillId="5" borderId="3" xfId="0" applyFont="1" applyFill="1" applyBorder="1" applyAlignment="1">
      <alignment horizontal="left" vertical="top" wrapText="1"/>
    </xf>
    <xf numFmtId="0" fontId="1072" fillId="5" borderId="3" xfId="0" applyFont="1" applyFill="1" applyBorder="1" applyAlignment="1">
      <alignment horizontal="left" vertical="top" wrapText="1"/>
    </xf>
    <xf numFmtId="0" fontId="1073" fillId="5" borderId="3" xfId="0" applyFont="1" applyFill="1" applyBorder="1" applyAlignment="1">
      <alignment horizontal="left" vertical="top" wrapText="1"/>
    </xf>
    <xf numFmtId="0" fontId="1074" fillId="5" borderId="3" xfId="0" applyFont="1" applyFill="1" applyBorder="1" applyAlignment="1">
      <alignment horizontal="left" vertical="top" wrapText="1"/>
    </xf>
    <xf numFmtId="0" fontId="1075" fillId="5" borderId="3" xfId="0" applyFont="1" applyFill="1" applyBorder="1" applyAlignment="1">
      <alignment horizontal="left" vertical="top" wrapText="1"/>
    </xf>
    <xf numFmtId="0" fontId="1076" fillId="5" borderId="3" xfId="0" applyFont="1" applyFill="1" applyBorder="1" applyAlignment="1">
      <alignment horizontal="left" vertical="top" wrapText="1"/>
    </xf>
    <xf numFmtId="0" fontId="1077" fillId="5" borderId="3" xfId="0" applyFont="1" applyFill="1" applyBorder="1" applyAlignment="1">
      <alignment horizontal="left" vertical="top" wrapText="1"/>
    </xf>
    <xf numFmtId="0" fontId="1078" fillId="5" borderId="3" xfId="0" applyFont="1" applyFill="1" applyBorder="1" applyAlignment="1">
      <alignment horizontal="left" vertical="top" wrapText="1"/>
    </xf>
    <xf numFmtId="0" fontId="1079" fillId="5" borderId="3" xfId="0" applyFont="1" applyFill="1" applyBorder="1" applyAlignment="1">
      <alignment horizontal="left" vertical="top" wrapText="1"/>
    </xf>
    <xf numFmtId="0" fontId="1080" fillId="5" borderId="3" xfId="0" applyFont="1" applyFill="1" applyBorder="1" applyAlignment="1">
      <alignment horizontal="left" vertical="top" wrapText="1"/>
    </xf>
    <xf numFmtId="0" fontId="1081" fillId="5" borderId="3" xfId="0" applyFont="1" applyFill="1" applyBorder="1" applyAlignment="1">
      <alignment horizontal="left" vertical="top" wrapText="1"/>
    </xf>
    <xf numFmtId="0" fontId="1082" fillId="5" borderId="3" xfId="0" applyFont="1" applyFill="1" applyBorder="1" applyAlignment="1">
      <alignment horizontal="left" vertical="top" wrapText="1"/>
    </xf>
    <xf numFmtId="0" fontId="1083" fillId="5" borderId="3" xfId="0" applyFont="1" applyFill="1" applyBorder="1" applyAlignment="1">
      <alignment horizontal="left" vertical="top" wrapText="1"/>
    </xf>
    <xf numFmtId="0" fontId="1084" fillId="5" borderId="3" xfId="0" applyFont="1" applyFill="1" applyBorder="1" applyAlignment="1">
      <alignment horizontal="left" vertical="top" wrapText="1"/>
    </xf>
    <xf numFmtId="0" fontId="1085" fillId="5" borderId="3" xfId="0" applyFont="1" applyFill="1" applyBorder="1" applyAlignment="1">
      <alignment horizontal="left" vertical="top" wrapText="1"/>
    </xf>
    <xf numFmtId="0" fontId="1086" fillId="5" borderId="3" xfId="0" applyFont="1" applyFill="1" applyBorder="1" applyAlignment="1">
      <alignment horizontal="left" vertical="top" wrapText="1"/>
    </xf>
    <xf numFmtId="0" fontId="1087" fillId="5" borderId="3" xfId="0" applyFont="1" applyFill="1" applyBorder="1" applyAlignment="1">
      <alignment horizontal="left" vertical="top" wrapText="1"/>
    </xf>
    <xf numFmtId="0" fontId="1088" fillId="5" borderId="3" xfId="0" applyFont="1" applyFill="1" applyBorder="1" applyAlignment="1">
      <alignment horizontal="left" vertical="top" wrapText="1"/>
    </xf>
    <xf numFmtId="0" fontId="1089" fillId="5" borderId="3" xfId="0" applyFont="1" applyFill="1" applyBorder="1" applyAlignment="1">
      <alignment horizontal="left" vertical="top" wrapText="1"/>
    </xf>
    <xf numFmtId="0" fontId="1090" fillId="5" borderId="3" xfId="0" applyFont="1" applyFill="1" applyBorder="1" applyAlignment="1">
      <alignment horizontal="left" vertical="top" wrapText="1"/>
    </xf>
    <xf numFmtId="0" fontId="1091" fillId="5" borderId="3" xfId="0" applyFont="1" applyFill="1" applyBorder="1" applyAlignment="1">
      <alignment horizontal="left" vertical="top" wrapText="1"/>
    </xf>
    <xf numFmtId="0" fontId="1092" fillId="5" borderId="3" xfId="0" applyFont="1" applyFill="1" applyBorder="1" applyAlignment="1">
      <alignment horizontal="left" vertical="top" wrapText="1"/>
    </xf>
    <xf numFmtId="0" fontId="1093" fillId="5" borderId="3" xfId="0" applyFont="1" applyFill="1" applyBorder="1" applyAlignment="1">
      <alignment horizontal="center" vertical="top"/>
    </xf>
    <xf numFmtId="0" fontId="1094" fillId="5" borderId="3" xfId="0" applyFont="1" applyFill="1" applyBorder="1" applyAlignment="1">
      <alignment horizontal="center" vertical="top"/>
    </xf>
    <xf numFmtId="0" fontId="1095" fillId="5" borderId="3" xfId="0" applyFont="1" applyFill="1" applyBorder="1" applyAlignment="1">
      <alignment horizontal="center" vertical="top"/>
    </xf>
    <xf numFmtId="0" fontId="1096" fillId="5" borderId="3" xfId="0" applyFont="1" applyFill="1" applyBorder="1" applyAlignment="1">
      <alignment horizontal="center" vertical="top"/>
    </xf>
    <xf numFmtId="0" fontId="1097" fillId="5" borderId="3" xfId="0" applyFont="1" applyFill="1" applyBorder="1" applyAlignment="1">
      <alignment horizontal="center" vertical="top"/>
    </xf>
    <xf numFmtId="0" fontId="1098" fillId="5" borderId="3" xfId="0" applyFont="1" applyFill="1" applyBorder="1" applyAlignment="1">
      <alignment horizontal="center" vertical="top"/>
    </xf>
    <xf numFmtId="0" fontId="1099" fillId="5" borderId="3" xfId="0" applyFont="1" applyFill="1" applyBorder="1" applyAlignment="1">
      <alignment horizontal="center" vertical="top"/>
    </xf>
    <xf numFmtId="0" fontId="1100" fillId="5" borderId="3" xfId="0" applyFont="1" applyFill="1" applyBorder="1" applyAlignment="1">
      <alignment horizontal="center" vertical="top"/>
    </xf>
    <xf numFmtId="0" fontId="1101" fillId="5" borderId="3" xfId="0" applyFont="1" applyFill="1" applyBorder="1" applyAlignment="1">
      <alignment horizontal="center" vertical="top"/>
    </xf>
    <xf numFmtId="0" fontId="1102" fillId="5" borderId="3" xfId="0" applyFont="1" applyFill="1" applyBorder="1" applyAlignment="1">
      <alignment horizontal="center" vertical="top"/>
    </xf>
    <xf numFmtId="0" fontId="1103" fillId="5" borderId="3" xfId="0" applyFont="1" applyFill="1" applyBorder="1" applyAlignment="1">
      <alignment horizontal="center" vertical="top"/>
    </xf>
    <xf numFmtId="0" fontId="1104" fillId="5" borderId="3" xfId="0" applyFont="1" applyFill="1" applyBorder="1" applyAlignment="1">
      <alignment horizontal="center" vertical="top"/>
    </xf>
    <xf numFmtId="0" fontId="1105" fillId="5" borderId="3" xfId="0" applyFont="1" applyFill="1" applyBorder="1" applyAlignment="1">
      <alignment horizontal="center" vertical="top"/>
    </xf>
    <xf numFmtId="0" fontId="1106" fillId="5" borderId="3" xfId="0" applyFont="1" applyFill="1" applyBorder="1" applyAlignment="1">
      <alignment horizontal="left" vertical="top" wrapText="1"/>
    </xf>
    <xf numFmtId="0" fontId="1107" fillId="5" borderId="3" xfId="0" applyFont="1" applyFill="1" applyBorder="1" applyAlignment="1">
      <alignment horizontal="center" vertical="top"/>
    </xf>
    <xf numFmtId="0" fontId="1108" fillId="5" borderId="3" xfId="0" applyFont="1" applyFill="1" applyBorder="1" applyAlignment="1">
      <alignment horizontal="left" vertical="top" wrapText="1"/>
    </xf>
    <xf numFmtId="0" fontId="1109" fillId="5" borderId="3" xfId="0" applyFont="1" applyFill="1" applyBorder="1" applyAlignment="1">
      <alignment horizontal="left" vertical="top" wrapText="1"/>
    </xf>
    <xf numFmtId="0" fontId="1110" fillId="5" borderId="3" xfId="0" applyFont="1" applyFill="1" applyBorder="1" applyAlignment="1">
      <alignment horizontal="left" vertical="top" wrapText="1"/>
    </xf>
    <xf numFmtId="0" fontId="1111" fillId="5" borderId="3" xfId="0" applyFont="1" applyFill="1" applyBorder="1" applyAlignment="1">
      <alignment horizontal="left" vertical="top" wrapText="1"/>
    </xf>
    <xf numFmtId="0" fontId="1112" fillId="5" borderId="3" xfId="0" applyFont="1" applyFill="1" applyBorder="1" applyAlignment="1">
      <alignment horizontal="left" vertical="top" wrapText="1"/>
    </xf>
    <xf numFmtId="0" fontId="1113" fillId="5" borderId="3" xfId="0" applyFont="1" applyFill="1" applyBorder="1" applyAlignment="1">
      <alignment horizontal="left" vertical="top" wrapText="1"/>
    </xf>
    <xf numFmtId="0" fontId="1114" fillId="5" borderId="3" xfId="0" applyFont="1" applyFill="1" applyBorder="1" applyAlignment="1">
      <alignment horizontal="left" vertical="top" wrapText="1"/>
    </xf>
    <xf numFmtId="0" fontId="1115" fillId="5" borderId="3" xfId="0" applyFont="1" applyFill="1" applyBorder="1" applyAlignment="1">
      <alignment horizontal="left" vertical="top" wrapText="1"/>
    </xf>
    <xf numFmtId="0" fontId="1116" fillId="5" borderId="3" xfId="0" applyFont="1" applyFill="1" applyBorder="1" applyAlignment="1">
      <alignment horizontal="left" vertical="top" wrapText="1"/>
    </xf>
    <xf numFmtId="0" fontId="1117" fillId="5" borderId="3" xfId="0" applyFont="1" applyFill="1" applyBorder="1" applyAlignment="1">
      <alignment horizontal="left" vertical="top" wrapText="1"/>
    </xf>
    <xf numFmtId="0" fontId="1118" fillId="5" borderId="3" xfId="0" applyFont="1" applyFill="1" applyBorder="1" applyAlignment="1">
      <alignment horizontal="left" vertical="top" wrapText="1"/>
    </xf>
    <xf numFmtId="0" fontId="1119" fillId="5" borderId="3" xfId="0" applyFont="1" applyFill="1" applyBorder="1" applyAlignment="1">
      <alignment horizontal="left" vertical="top" wrapText="1"/>
    </xf>
    <xf numFmtId="0" fontId="1120" fillId="5" borderId="3" xfId="0" applyFont="1" applyFill="1" applyBorder="1" applyAlignment="1">
      <alignment horizontal="left" vertical="top" wrapText="1"/>
    </xf>
    <xf numFmtId="0" fontId="1121" fillId="5" borderId="3" xfId="0" applyFont="1" applyFill="1" applyBorder="1" applyAlignment="1">
      <alignment horizontal="left" vertical="top" wrapText="1"/>
    </xf>
    <xf numFmtId="0" fontId="1122" fillId="5" borderId="3" xfId="0" applyFont="1" applyFill="1" applyBorder="1" applyAlignment="1">
      <alignment horizontal="center" vertical="top"/>
    </xf>
    <xf numFmtId="0" fontId="1123" fillId="5" borderId="3" xfId="0" applyFont="1" applyFill="1" applyBorder="1" applyAlignment="1">
      <alignment horizontal="left" vertical="top" wrapText="1"/>
    </xf>
    <xf numFmtId="0" fontId="1124" fillId="5" borderId="3" xfId="0" applyFont="1" applyFill="1" applyBorder="1" applyAlignment="1">
      <alignment horizontal="left" vertical="top" wrapText="1"/>
    </xf>
    <xf numFmtId="0" fontId="1125" fillId="5" borderId="3" xfId="0" applyFont="1" applyFill="1" applyBorder="1" applyAlignment="1">
      <alignment horizontal="left" vertical="top" wrapText="1"/>
    </xf>
    <xf numFmtId="0" fontId="1126" fillId="5" borderId="3" xfId="0" applyFont="1" applyFill="1" applyBorder="1" applyAlignment="1">
      <alignment horizontal="left" vertical="top" wrapText="1"/>
    </xf>
    <xf numFmtId="0" fontId="1127" fillId="5" borderId="3" xfId="0" applyFont="1" applyFill="1" applyBorder="1" applyAlignment="1">
      <alignment horizontal="left" vertical="top" wrapText="1"/>
    </xf>
    <xf numFmtId="0" fontId="1128" fillId="5" borderId="3" xfId="0" applyFont="1" applyFill="1" applyBorder="1" applyAlignment="1">
      <alignment horizontal="left" vertical="top" wrapText="1"/>
    </xf>
    <xf numFmtId="0" fontId="1129" fillId="5" borderId="3" xfId="0" applyFont="1" applyFill="1" applyBorder="1" applyAlignment="1">
      <alignment horizontal="left" vertical="top" wrapText="1"/>
    </xf>
    <xf numFmtId="0" fontId="1130" fillId="5" borderId="3" xfId="0" applyFont="1" applyFill="1" applyBorder="1" applyAlignment="1">
      <alignment horizontal="left" vertical="top" wrapText="1"/>
    </xf>
    <xf numFmtId="0" fontId="1131" fillId="5" borderId="3" xfId="0" applyFont="1" applyFill="1" applyBorder="1" applyAlignment="1">
      <alignment horizontal="left" vertical="top" wrapText="1"/>
    </xf>
    <xf numFmtId="0" fontId="1132" fillId="5" borderId="3" xfId="0" applyFont="1" applyFill="1" applyBorder="1" applyAlignment="1">
      <alignment horizontal="left" vertical="top" wrapText="1"/>
    </xf>
    <xf numFmtId="0" fontId="1133" fillId="5" borderId="3" xfId="0" applyFont="1" applyFill="1" applyBorder="1" applyAlignment="1">
      <alignment horizontal="left" vertical="top" wrapText="1"/>
    </xf>
    <xf numFmtId="0" fontId="1134" fillId="5" borderId="3" xfId="0" applyFont="1" applyFill="1" applyBorder="1" applyAlignment="1">
      <alignment horizontal="left" vertical="top" wrapText="1"/>
    </xf>
    <xf numFmtId="0" fontId="1135" fillId="5" borderId="3" xfId="0" applyFont="1" applyFill="1" applyBorder="1" applyAlignment="1">
      <alignment horizontal="left" vertical="top" wrapText="1"/>
    </xf>
    <xf numFmtId="0" fontId="1136" fillId="5" borderId="3" xfId="0" applyFont="1" applyFill="1" applyBorder="1" applyAlignment="1">
      <alignment horizontal="left" vertical="top" wrapText="1"/>
    </xf>
    <xf numFmtId="0" fontId="1137" fillId="5" borderId="3" xfId="0" applyFont="1" applyFill="1" applyBorder="1" applyAlignment="1">
      <alignment horizontal="center" vertical="top"/>
    </xf>
    <xf numFmtId="0" fontId="1138" fillId="5" borderId="3" xfId="0" applyFont="1" applyFill="1" applyBorder="1" applyAlignment="1">
      <alignment horizontal="center" vertical="top"/>
    </xf>
    <xf numFmtId="0" fontId="1139" fillId="5" borderId="3" xfId="0" applyFont="1" applyFill="1" applyBorder="1" applyAlignment="1">
      <alignment horizontal="center" vertical="top"/>
    </xf>
    <xf numFmtId="0" fontId="1140" fillId="5" borderId="3" xfId="0" applyFont="1" applyFill="1" applyBorder="1" applyAlignment="1">
      <alignment horizontal="left" vertical="top" wrapText="1"/>
    </xf>
    <xf numFmtId="0" fontId="1141" fillId="5" borderId="3" xfId="0" applyFont="1" applyFill="1" applyBorder="1" applyAlignment="1">
      <alignment horizontal="left" vertical="top" wrapText="1"/>
    </xf>
    <xf numFmtId="0" fontId="1142" fillId="5" borderId="3" xfId="0" applyFont="1" applyFill="1" applyBorder="1" applyAlignment="1">
      <alignment horizontal="left" vertical="top" wrapText="1"/>
    </xf>
    <xf numFmtId="0" fontId="1143" fillId="5" borderId="3" xfId="0" applyFont="1" applyFill="1" applyBorder="1" applyAlignment="1">
      <alignment horizontal="left" vertical="top" wrapText="1"/>
    </xf>
    <xf numFmtId="0" fontId="1144" fillId="5" borderId="3" xfId="0" applyFont="1" applyFill="1" applyBorder="1" applyAlignment="1">
      <alignment horizontal="left" vertical="top" wrapText="1"/>
    </xf>
    <xf numFmtId="0" fontId="1145" fillId="5" borderId="3" xfId="0" applyFont="1" applyFill="1" applyBorder="1" applyAlignment="1">
      <alignment horizontal="left" vertical="top" wrapText="1"/>
    </xf>
    <xf numFmtId="0" fontId="1146" fillId="5" borderId="3" xfId="0" applyFont="1" applyFill="1" applyBorder="1" applyAlignment="1">
      <alignment horizontal="left" vertical="top" wrapText="1"/>
    </xf>
    <xf numFmtId="0" fontId="1147" fillId="5" borderId="3" xfId="0" applyFont="1" applyFill="1" applyBorder="1" applyAlignment="1">
      <alignment horizontal="left" vertical="top" wrapText="1"/>
    </xf>
    <xf numFmtId="0" fontId="1148" fillId="5" borderId="3" xfId="0" applyFont="1" applyFill="1" applyBorder="1" applyAlignment="1">
      <alignment horizontal="left" vertical="top" wrapText="1"/>
    </xf>
    <xf numFmtId="0" fontId="1149" fillId="5" borderId="3" xfId="0" applyFont="1" applyFill="1" applyBorder="1" applyAlignment="1">
      <alignment horizontal="left" vertical="top" wrapText="1"/>
    </xf>
    <xf numFmtId="0" fontId="1150" fillId="5" borderId="3" xfId="0" applyFont="1" applyFill="1" applyBorder="1" applyAlignment="1">
      <alignment horizontal="left" vertical="top" wrapText="1"/>
    </xf>
    <xf numFmtId="0" fontId="1151" fillId="5" borderId="3" xfId="0" applyFont="1" applyFill="1" applyBorder="1" applyAlignment="1">
      <alignment horizontal="left" vertical="top" wrapText="1"/>
    </xf>
    <xf numFmtId="0" fontId="1152" fillId="5" borderId="3" xfId="0" applyFont="1" applyFill="1" applyBorder="1" applyAlignment="1">
      <alignment horizontal="left" vertical="top" wrapText="1"/>
    </xf>
    <xf numFmtId="0" fontId="1153" fillId="5" borderId="3" xfId="0" applyFont="1" applyFill="1" applyBorder="1" applyAlignment="1">
      <alignment horizontal="left" vertical="top" wrapText="1"/>
    </xf>
    <xf numFmtId="0" fontId="1154" fillId="5" borderId="3" xfId="0" applyFont="1" applyFill="1" applyBorder="1" applyAlignment="1">
      <alignment horizontal="left" vertical="top" wrapText="1"/>
    </xf>
    <xf numFmtId="0" fontId="1155" fillId="5" borderId="3" xfId="0" applyFont="1" applyFill="1" applyBorder="1" applyAlignment="1">
      <alignment horizontal="left" vertical="top" wrapText="1"/>
    </xf>
    <xf numFmtId="0" fontId="1156" fillId="5" borderId="3" xfId="0" applyFont="1" applyFill="1" applyBorder="1" applyAlignment="1">
      <alignment horizontal="left" vertical="top" wrapText="1"/>
    </xf>
    <xf numFmtId="0" fontId="1157" fillId="5" borderId="3" xfId="0" applyFont="1" applyFill="1" applyBorder="1" applyAlignment="1">
      <alignment horizontal="left" vertical="top" wrapText="1"/>
    </xf>
    <xf numFmtId="0" fontId="1158" fillId="5" borderId="3" xfId="0" applyFont="1" applyFill="1" applyBorder="1" applyAlignment="1">
      <alignment horizontal="left" vertical="top" wrapText="1"/>
    </xf>
    <xf numFmtId="0" fontId="1159" fillId="5" borderId="3" xfId="0" applyFont="1" applyFill="1" applyBorder="1" applyAlignment="1">
      <alignment horizontal="left" vertical="top" wrapText="1"/>
    </xf>
    <xf numFmtId="0" fontId="1160" fillId="5" borderId="3" xfId="0" applyFont="1" applyFill="1" applyBorder="1" applyAlignment="1">
      <alignment horizontal="left" vertical="top" wrapText="1"/>
    </xf>
    <xf numFmtId="0" fontId="1161" fillId="5" borderId="3" xfId="0" applyFont="1" applyFill="1" applyBorder="1" applyAlignment="1">
      <alignment horizontal="left" vertical="top" wrapText="1"/>
    </xf>
    <xf numFmtId="0" fontId="1162" fillId="5" borderId="3" xfId="0" applyFont="1" applyFill="1" applyBorder="1" applyAlignment="1">
      <alignment horizontal="left" vertical="top" wrapText="1"/>
    </xf>
    <xf numFmtId="0" fontId="1163" fillId="5" borderId="3" xfId="0" applyFont="1" applyFill="1" applyBorder="1" applyAlignment="1">
      <alignment horizontal="left" vertical="top" wrapText="1"/>
    </xf>
    <xf numFmtId="0" fontId="1164" fillId="5" borderId="3" xfId="0" applyFont="1" applyFill="1" applyBorder="1" applyAlignment="1">
      <alignment horizontal="left" vertical="top" wrapText="1"/>
    </xf>
    <xf numFmtId="0" fontId="1165" fillId="5" borderId="3" xfId="0" applyFont="1" applyFill="1" applyBorder="1" applyAlignment="1">
      <alignment horizontal="center" vertical="top"/>
    </xf>
    <xf numFmtId="0" fontId="1166" fillId="5" borderId="3" xfId="0" applyFont="1" applyFill="1" applyBorder="1" applyAlignment="1">
      <alignment horizontal="center" vertical="top"/>
    </xf>
    <xf numFmtId="0" fontId="1167" fillId="5" borderId="3" xfId="0" applyFont="1" applyFill="1" applyBorder="1" applyAlignment="1">
      <alignment horizontal="left" vertical="top" wrapText="1"/>
    </xf>
    <xf numFmtId="0" fontId="1168" fillId="5" borderId="3" xfId="0" applyFont="1" applyFill="1" applyBorder="1" applyAlignment="1">
      <alignment horizontal="left" vertical="top" wrapText="1"/>
    </xf>
    <xf numFmtId="0" fontId="1169" fillId="5" borderId="3" xfId="0" applyFont="1" applyFill="1" applyBorder="1" applyAlignment="1">
      <alignment horizontal="left" vertical="top" wrapText="1"/>
    </xf>
    <xf numFmtId="0" fontId="1170" fillId="5" borderId="3" xfId="0" applyFont="1" applyFill="1" applyBorder="1" applyAlignment="1">
      <alignment horizontal="left" vertical="top" wrapText="1"/>
    </xf>
    <xf numFmtId="0" fontId="1171" fillId="5" borderId="3" xfId="0" applyFont="1" applyFill="1" applyBorder="1" applyAlignment="1">
      <alignment horizontal="left" vertical="top" wrapText="1"/>
    </xf>
    <xf numFmtId="0" fontId="1172" fillId="5" borderId="3" xfId="0" applyFont="1" applyFill="1" applyBorder="1" applyAlignment="1">
      <alignment horizontal="left" vertical="top" wrapText="1"/>
    </xf>
    <xf numFmtId="0" fontId="1173" fillId="5" borderId="3" xfId="0" applyFont="1" applyFill="1" applyBorder="1" applyAlignment="1">
      <alignment horizontal="left" vertical="top" wrapText="1"/>
    </xf>
    <xf numFmtId="0" fontId="1174" fillId="5" borderId="3" xfId="0" applyFont="1" applyFill="1" applyBorder="1" applyAlignment="1">
      <alignment horizontal="left" vertical="top" wrapText="1"/>
    </xf>
    <xf numFmtId="0" fontId="1175" fillId="5" borderId="3" xfId="0" applyFont="1" applyFill="1" applyBorder="1" applyAlignment="1">
      <alignment horizontal="left" vertical="top" wrapText="1"/>
    </xf>
    <xf numFmtId="0" fontId="1176" fillId="5" borderId="3" xfId="0" applyFont="1" applyFill="1" applyBorder="1" applyAlignment="1">
      <alignment horizontal="left" vertical="top" wrapText="1"/>
    </xf>
    <xf numFmtId="0" fontId="1177" fillId="5" borderId="3" xfId="0" applyFont="1" applyFill="1" applyBorder="1" applyAlignment="1">
      <alignment horizontal="left" vertical="top" wrapText="1"/>
    </xf>
    <xf numFmtId="0" fontId="1178" fillId="5" borderId="3" xfId="0" applyFont="1" applyFill="1" applyBorder="1" applyAlignment="1">
      <alignment horizontal="left" vertical="top" wrapText="1"/>
    </xf>
    <xf numFmtId="0" fontId="1179" fillId="5" borderId="3" xfId="0" applyFont="1" applyFill="1" applyBorder="1" applyAlignment="1">
      <alignment horizontal="left" vertical="top" wrapText="1"/>
    </xf>
    <xf numFmtId="0" fontId="1180" fillId="5" borderId="3" xfId="0" applyFont="1" applyFill="1" applyBorder="1" applyAlignment="1">
      <alignment horizontal="left" vertical="top" wrapText="1"/>
    </xf>
    <xf numFmtId="0" fontId="1181" fillId="5" borderId="3" xfId="0" applyFont="1" applyFill="1" applyBorder="1" applyAlignment="1">
      <alignment horizontal="left" vertical="top" wrapText="1"/>
    </xf>
    <xf numFmtId="0" fontId="1182" fillId="5" borderId="3" xfId="0" applyFont="1" applyFill="1" applyBorder="1" applyAlignment="1">
      <alignment horizontal="left" vertical="top" wrapText="1"/>
    </xf>
    <xf numFmtId="0" fontId="1183" fillId="5" borderId="3" xfId="0" applyFont="1" applyFill="1" applyBorder="1" applyAlignment="1">
      <alignment horizontal="left" vertical="top" wrapText="1"/>
    </xf>
    <xf numFmtId="0" fontId="1184" fillId="5" borderId="3" xfId="0" applyFont="1" applyFill="1" applyBorder="1" applyAlignment="1">
      <alignment horizontal="left" vertical="top" wrapText="1"/>
    </xf>
    <xf numFmtId="0" fontId="1185" fillId="5" borderId="3" xfId="0" applyFont="1" applyFill="1" applyBorder="1" applyAlignment="1">
      <alignment horizontal="left" vertical="top" wrapText="1"/>
    </xf>
    <xf numFmtId="0" fontId="1186" fillId="5" borderId="3" xfId="0" applyFont="1" applyFill="1" applyBorder="1" applyAlignment="1">
      <alignment horizontal="left" vertical="top" wrapText="1"/>
    </xf>
    <xf numFmtId="0" fontId="1187" fillId="5" borderId="3" xfId="0" applyFont="1" applyFill="1" applyBorder="1" applyAlignment="1">
      <alignment horizontal="left" vertical="top" wrapText="1"/>
    </xf>
    <xf numFmtId="0" fontId="1188" fillId="5" borderId="3" xfId="0" applyFont="1" applyFill="1" applyBorder="1" applyAlignment="1">
      <alignment horizontal="left" vertical="top" wrapText="1"/>
    </xf>
    <xf numFmtId="0" fontId="1189" fillId="5" borderId="3" xfId="0" applyFont="1" applyFill="1" applyBorder="1" applyAlignment="1">
      <alignment horizontal="left" vertical="top" wrapText="1"/>
    </xf>
    <xf numFmtId="0" fontId="1190" fillId="5" borderId="3" xfId="0" applyFont="1" applyFill="1" applyBorder="1" applyAlignment="1">
      <alignment horizontal="left" vertical="top" wrapText="1"/>
    </xf>
    <xf numFmtId="0" fontId="1191" fillId="5" borderId="3" xfId="0" applyFont="1" applyFill="1" applyBorder="1" applyAlignment="1">
      <alignment horizontal="left" vertical="top" wrapText="1"/>
    </xf>
    <xf numFmtId="0" fontId="1192" fillId="5" borderId="3" xfId="0" applyFont="1" applyFill="1" applyBorder="1" applyAlignment="1">
      <alignment horizontal="left" vertical="top" wrapText="1"/>
    </xf>
    <xf numFmtId="0" fontId="1193" fillId="5" borderId="3" xfId="0" applyFont="1" applyFill="1" applyBorder="1" applyAlignment="1">
      <alignment horizontal="left" vertical="top" wrapText="1"/>
    </xf>
    <xf numFmtId="0" fontId="1194" fillId="5" borderId="3" xfId="0" applyFont="1" applyFill="1" applyBorder="1" applyAlignment="1">
      <alignment horizontal="center" vertical="top"/>
    </xf>
    <xf numFmtId="0" fontId="1195" fillId="5" borderId="3" xfId="0" applyFont="1" applyFill="1" applyBorder="1" applyAlignment="1">
      <alignment horizontal="left" vertical="top" wrapText="1"/>
    </xf>
    <xf numFmtId="0" fontId="1196" fillId="5" borderId="3" xfId="0" applyFont="1" applyFill="1" applyBorder="1" applyAlignment="1">
      <alignment horizontal="left" vertical="top" wrapText="1"/>
    </xf>
    <xf numFmtId="0" fontId="1197" fillId="5" borderId="3" xfId="0" applyFont="1" applyFill="1" applyBorder="1" applyAlignment="1">
      <alignment horizontal="left" vertical="top" wrapText="1"/>
    </xf>
    <xf numFmtId="0" fontId="1198" fillId="5" borderId="3" xfId="0" applyFont="1" applyFill="1" applyBorder="1" applyAlignment="1">
      <alignment horizontal="left" vertical="top" wrapText="1"/>
    </xf>
    <xf numFmtId="0" fontId="1199" fillId="5" borderId="3" xfId="0" applyFont="1" applyFill="1" applyBorder="1" applyAlignment="1">
      <alignment horizontal="left" vertical="top" wrapText="1"/>
    </xf>
    <xf numFmtId="0" fontId="1200" fillId="5" borderId="3" xfId="0" applyFont="1" applyFill="1" applyBorder="1" applyAlignment="1">
      <alignment horizontal="left" vertical="top" wrapText="1"/>
    </xf>
    <xf numFmtId="0" fontId="1201" fillId="5" borderId="3" xfId="0" applyFont="1" applyFill="1" applyBorder="1" applyAlignment="1">
      <alignment horizontal="left" vertical="top" wrapText="1"/>
    </xf>
    <xf numFmtId="0" fontId="1202" fillId="5" borderId="3" xfId="0" applyFont="1" applyFill="1" applyBorder="1" applyAlignment="1">
      <alignment horizontal="left" vertical="top" wrapText="1"/>
    </xf>
    <xf numFmtId="0" fontId="1203" fillId="5" borderId="3" xfId="0" applyFont="1" applyFill="1" applyBorder="1" applyAlignment="1">
      <alignment horizontal="center" vertical="top"/>
    </xf>
    <xf numFmtId="0" fontId="1204" fillId="5" borderId="3" xfId="0" applyFont="1" applyFill="1" applyBorder="1" applyAlignment="1">
      <alignment horizontal="center" vertical="top"/>
    </xf>
    <xf numFmtId="0" fontId="1205" fillId="5" borderId="3" xfId="0" applyFont="1" applyFill="1" applyBorder="1" applyAlignment="1">
      <alignment horizontal="center" vertical="top"/>
    </xf>
    <xf numFmtId="0" fontId="1206" fillId="5" borderId="3" xfId="0" applyFont="1" applyFill="1" applyBorder="1" applyAlignment="1">
      <alignment horizontal="center" vertical="top"/>
    </xf>
    <xf numFmtId="0" fontId="1207" fillId="5" borderId="3" xfId="0" applyFont="1" applyFill="1" applyBorder="1" applyAlignment="1">
      <alignment horizontal="center" vertical="top"/>
    </xf>
    <xf numFmtId="0" fontId="1208" fillId="5" borderId="3" xfId="0" applyFont="1" applyFill="1" applyBorder="1" applyAlignment="1">
      <alignment horizontal="center" vertical="top"/>
    </xf>
    <xf numFmtId="0" fontId="1209" fillId="5" borderId="3" xfId="0" applyFont="1" applyFill="1" applyBorder="1" applyAlignment="1">
      <alignment horizontal="center" vertical="top"/>
    </xf>
    <xf numFmtId="0" fontId="1210" fillId="5" borderId="3" xfId="0" applyFont="1" applyFill="1" applyBorder="1" applyAlignment="1">
      <alignment horizontal="left" vertical="top" wrapText="1"/>
    </xf>
    <xf numFmtId="0" fontId="1211" fillId="5" borderId="3" xfId="0" applyFont="1" applyFill="1" applyBorder="1" applyAlignment="1">
      <alignment horizontal="left" vertical="top" wrapText="1"/>
    </xf>
    <xf numFmtId="0" fontId="1212" fillId="5" borderId="3" xfId="0" applyFont="1" applyFill="1" applyBorder="1" applyAlignment="1">
      <alignment horizontal="left" vertical="top" wrapText="1"/>
    </xf>
    <xf numFmtId="0" fontId="1213" fillId="5" borderId="3" xfId="0" applyFont="1" applyFill="1" applyBorder="1" applyAlignment="1">
      <alignment horizontal="left" vertical="top" wrapText="1"/>
    </xf>
    <xf numFmtId="0" fontId="1214" fillId="5" borderId="3" xfId="0" applyFont="1" applyFill="1" applyBorder="1" applyAlignment="1">
      <alignment horizontal="left" vertical="top" wrapText="1"/>
    </xf>
    <xf numFmtId="0" fontId="1215" fillId="5" borderId="3" xfId="0" applyFont="1" applyFill="1" applyBorder="1" applyAlignment="1">
      <alignment horizontal="left" vertical="top" wrapText="1"/>
    </xf>
    <xf numFmtId="0" fontId="1216" fillId="5" borderId="3" xfId="0" applyFont="1" applyFill="1" applyBorder="1" applyAlignment="1">
      <alignment horizontal="left" vertical="top" wrapText="1"/>
    </xf>
    <xf numFmtId="0" fontId="1217" fillId="5" borderId="3" xfId="0" applyFont="1" applyFill="1" applyBorder="1" applyAlignment="1">
      <alignment horizontal="left" vertical="top" wrapText="1"/>
    </xf>
    <xf numFmtId="0" fontId="1218" fillId="5" borderId="3" xfId="0" applyFont="1" applyFill="1" applyBorder="1" applyAlignment="1">
      <alignment horizontal="left" vertical="top" wrapText="1"/>
    </xf>
    <xf numFmtId="0" fontId="1219" fillId="5" borderId="3" xfId="0" applyFont="1" applyFill="1" applyBorder="1" applyAlignment="1">
      <alignment horizontal="left" vertical="top" wrapText="1"/>
    </xf>
    <xf numFmtId="0" fontId="1220" fillId="5" borderId="3" xfId="0" applyFont="1" applyFill="1" applyBorder="1" applyAlignment="1">
      <alignment horizontal="left" vertical="top" wrapText="1"/>
    </xf>
    <xf numFmtId="0" fontId="1221" fillId="5" borderId="3" xfId="0" applyFont="1" applyFill="1" applyBorder="1" applyAlignment="1">
      <alignment horizontal="left" vertical="top" wrapText="1"/>
    </xf>
    <xf numFmtId="0" fontId="1222" fillId="5" borderId="3" xfId="0" applyFont="1" applyFill="1" applyBorder="1" applyAlignment="1">
      <alignment horizontal="left" vertical="top" wrapText="1"/>
    </xf>
    <xf numFmtId="0" fontId="1223" fillId="5" borderId="3" xfId="0" applyFont="1" applyFill="1" applyBorder="1" applyAlignment="1">
      <alignment horizontal="left" vertical="top" wrapText="1"/>
    </xf>
    <xf numFmtId="0" fontId="1224" fillId="5" borderId="3" xfId="0" applyFont="1" applyFill="1" applyBorder="1" applyAlignment="1">
      <alignment horizontal="left" vertical="top" wrapText="1"/>
    </xf>
    <xf numFmtId="0" fontId="1225" fillId="5" borderId="3" xfId="0" applyFont="1" applyFill="1" applyBorder="1" applyAlignment="1">
      <alignment horizontal="left" vertical="top" wrapText="1"/>
    </xf>
    <xf numFmtId="0" fontId="1226" fillId="5" borderId="3" xfId="0" applyFont="1" applyFill="1" applyBorder="1" applyAlignment="1">
      <alignment horizontal="left" vertical="top" wrapText="1"/>
    </xf>
    <xf numFmtId="0" fontId="1227" fillId="5" borderId="3" xfId="0" applyFont="1" applyFill="1" applyBorder="1" applyAlignment="1">
      <alignment horizontal="left" vertical="top" wrapText="1"/>
    </xf>
    <xf numFmtId="0" fontId="1228" fillId="5" borderId="3" xfId="0" applyFont="1" applyFill="1" applyBorder="1" applyAlignment="1">
      <alignment horizontal="left" vertical="top" wrapText="1"/>
    </xf>
    <xf numFmtId="0" fontId="1229" fillId="5" borderId="3" xfId="0" applyFont="1" applyFill="1" applyBorder="1" applyAlignment="1">
      <alignment horizontal="left" vertical="top" wrapText="1"/>
    </xf>
    <xf numFmtId="0" fontId="1230" fillId="5" borderId="3" xfId="0" applyFont="1" applyFill="1" applyBorder="1" applyAlignment="1">
      <alignment horizontal="left" vertical="top" wrapText="1"/>
    </xf>
    <xf numFmtId="0" fontId="1231" fillId="5" borderId="3" xfId="0" applyFont="1" applyFill="1" applyBorder="1" applyAlignment="1">
      <alignment horizontal="left" vertical="top" wrapText="1"/>
    </xf>
    <xf numFmtId="0" fontId="1232" fillId="5" borderId="3" xfId="0" applyFont="1" applyFill="1" applyBorder="1" applyAlignment="1">
      <alignment horizontal="left" vertical="top" wrapText="1"/>
    </xf>
    <xf numFmtId="0" fontId="1233" fillId="5" borderId="3" xfId="0" applyFont="1" applyFill="1" applyBorder="1" applyAlignment="1">
      <alignment horizontal="left" vertical="top" wrapText="1"/>
    </xf>
    <xf numFmtId="0" fontId="1234" fillId="5" borderId="3" xfId="0" applyFont="1" applyFill="1" applyBorder="1" applyAlignment="1">
      <alignment horizontal="left" vertical="top" wrapText="1"/>
    </xf>
    <xf numFmtId="0" fontId="1235" fillId="5" borderId="3" xfId="0" applyFont="1" applyFill="1" applyBorder="1" applyAlignment="1">
      <alignment horizontal="left" vertical="top" wrapText="1"/>
    </xf>
    <xf numFmtId="0" fontId="1236" fillId="5" borderId="3" xfId="0" applyFont="1" applyFill="1" applyBorder="1" applyAlignment="1">
      <alignment horizontal="left" vertical="top" wrapText="1"/>
    </xf>
    <xf numFmtId="0" fontId="1237" fillId="5" borderId="3" xfId="0" applyFont="1" applyFill="1" applyBorder="1" applyAlignment="1">
      <alignment horizontal="left" vertical="top" wrapText="1"/>
    </xf>
    <xf numFmtId="0" fontId="1238" fillId="5" borderId="3" xfId="0" applyFont="1" applyFill="1" applyBorder="1" applyAlignment="1">
      <alignment horizontal="left" vertical="top" wrapText="1"/>
    </xf>
    <xf numFmtId="0" fontId="1239" fillId="5" borderId="3" xfId="0" applyFont="1" applyFill="1" applyBorder="1" applyAlignment="1">
      <alignment horizontal="left" vertical="top" wrapText="1"/>
    </xf>
    <xf numFmtId="0" fontId="1240" fillId="5" borderId="3" xfId="0" applyFont="1" applyFill="1" applyBorder="1" applyAlignment="1">
      <alignment horizontal="left" vertical="top" wrapText="1"/>
    </xf>
    <xf numFmtId="0" fontId="1241" fillId="5" borderId="3" xfId="0" applyFont="1" applyFill="1" applyBorder="1" applyAlignment="1">
      <alignment horizontal="center" vertical="top"/>
    </xf>
    <xf numFmtId="0" fontId="1242" fillId="5" borderId="3" xfId="0" applyFont="1" applyFill="1" applyBorder="1" applyAlignment="1">
      <alignment horizontal="center" vertical="top"/>
    </xf>
    <xf numFmtId="0" fontId="1243" fillId="5" borderId="3" xfId="0" applyFont="1" applyFill="1" applyBorder="1" applyAlignment="1">
      <alignment horizontal="center" vertical="top"/>
    </xf>
    <xf numFmtId="0" fontId="1244" fillId="5" borderId="3" xfId="0" applyFont="1" applyFill="1" applyBorder="1" applyAlignment="1">
      <alignment horizontal="center" vertical="top"/>
    </xf>
    <xf numFmtId="0" fontId="1245" fillId="5" borderId="3" xfId="0" applyFont="1" applyFill="1" applyBorder="1" applyAlignment="1">
      <alignment horizontal="center" vertical="top"/>
    </xf>
    <xf numFmtId="0" fontId="1246" fillId="5" borderId="3" xfId="0" applyFont="1" applyFill="1" applyBorder="1" applyAlignment="1">
      <alignment horizontal="center" vertical="top"/>
    </xf>
    <xf numFmtId="0" fontId="1247" fillId="5" borderId="3" xfId="0" applyFont="1" applyFill="1" applyBorder="1" applyAlignment="1">
      <alignment horizontal="center" vertical="top"/>
    </xf>
    <xf numFmtId="0" fontId="1248" fillId="5" borderId="3" xfId="0" applyFont="1" applyFill="1" applyBorder="1" applyAlignment="1">
      <alignment horizontal="center" vertical="top"/>
    </xf>
    <xf numFmtId="0" fontId="1249" fillId="5" borderId="3" xfId="0" applyFont="1" applyFill="1" applyBorder="1" applyAlignment="1">
      <alignment horizontal="left" vertical="top" wrapText="1"/>
    </xf>
    <xf numFmtId="0" fontId="1250" fillId="5" borderId="3" xfId="0" applyFont="1" applyFill="1" applyBorder="1" applyAlignment="1">
      <alignment horizontal="left" vertical="top" wrapText="1"/>
    </xf>
    <xf numFmtId="0" fontId="1251" fillId="5" borderId="3" xfId="0" applyFont="1" applyFill="1" applyBorder="1" applyAlignment="1">
      <alignment horizontal="left" vertical="top" wrapText="1"/>
    </xf>
    <xf numFmtId="0" fontId="1252" fillId="5" borderId="3" xfId="0" applyFont="1" applyFill="1" applyBorder="1" applyAlignment="1">
      <alignment horizontal="left" vertical="top" wrapText="1"/>
    </xf>
    <xf numFmtId="0" fontId="1253" fillId="5" borderId="3" xfId="0" applyFont="1" applyFill="1" applyBorder="1" applyAlignment="1">
      <alignment horizontal="left" vertical="top" wrapText="1"/>
    </xf>
    <xf numFmtId="0" fontId="1254" fillId="5" borderId="3" xfId="0" applyFont="1" applyFill="1" applyBorder="1" applyAlignment="1">
      <alignment horizontal="left" vertical="top" wrapText="1"/>
    </xf>
    <xf numFmtId="0" fontId="1255" fillId="5" borderId="3" xfId="0" applyFont="1" applyFill="1" applyBorder="1" applyAlignment="1">
      <alignment horizontal="left" vertical="top" wrapText="1"/>
    </xf>
    <xf numFmtId="0" fontId="1256" fillId="5" borderId="3" xfId="0" applyFont="1" applyFill="1" applyBorder="1" applyAlignment="1">
      <alignment horizontal="left" vertical="top" wrapText="1"/>
    </xf>
    <xf numFmtId="0" fontId="1257" fillId="5" borderId="3" xfId="0" applyFont="1" applyFill="1" applyBorder="1" applyAlignment="1">
      <alignment horizontal="left" vertical="top" wrapText="1"/>
    </xf>
    <xf numFmtId="0" fontId="1258" fillId="5" borderId="3" xfId="0" applyFont="1" applyFill="1" applyBorder="1" applyAlignment="1">
      <alignment horizontal="left" vertical="top" wrapText="1"/>
    </xf>
    <xf numFmtId="0" fontId="1259" fillId="5" borderId="3" xfId="0" applyFont="1" applyFill="1" applyBorder="1" applyAlignment="1">
      <alignment horizontal="left" vertical="top" wrapText="1"/>
    </xf>
    <xf numFmtId="0" fontId="1260" fillId="5" borderId="3" xfId="0" applyFont="1" applyFill="1" applyBorder="1" applyAlignment="1">
      <alignment horizontal="left" vertical="top" wrapText="1"/>
    </xf>
    <xf numFmtId="0" fontId="1261" fillId="5" borderId="3" xfId="0" applyFont="1" applyFill="1" applyBorder="1" applyAlignment="1">
      <alignment horizontal="left" vertical="top" wrapText="1"/>
    </xf>
    <xf numFmtId="0" fontId="1262" fillId="5" borderId="3" xfId="0" applyFont="1" applyFill="1" applyBorder="1" applyAlignment="1">
      <alignment horizontal="left" vertical="top" wrapText="1"/>
    </xf>
    <xf numFmtId="0" fontId="1263" fillId="5" borderId="3" xfId="0" applyFont="1" applyFill="1" applyBorder="1" applyAlignment="1">
      <alignment horizontal="left" vertical="top" wrapText="1"/>
    </xf>
    <xf numFmtId="0" fontId="1264" fillId="5" borderId="3" xfId="0" applyFont="1" applyFill="1" applyBorder="1" applyAlignment="1">
      <alignment horizontal="left" vertical="top" wrapText="1"/>
    </xf>
    <xf numFmtId="0" fontId="1265" fillId="5" borderId="3" xfId="0" applyFont="1" applyFill="1" applyBorder="1" applyAlignment="1">
      <alignment horizontal="left" vertical="top" wrapText="1"/>
    </xf>
    <xf numFmtId="0" fontId="1266" fillId="5" borderId="3" xfId="0" applyFont="1" applyFill="1" applyBorder="1" applyAlignment="1">
      <alignment horizontal="left" vertical="top" wrapText="1"/>
    </xf>
    <xf numFmtId="0" fontId="1267" fillId="5" borderId="3" xfId="0" applyFont="1" applyFill="1" applyBorder="1" applyAlignment="1">
      <alignment horizontal="left" vertical="top" wrapText="1"/>
    </xf>
    <xf numFmtId="0" fontId="1268" fillId="5" borderId="3" xfId="0" applyFont="1" applyFill="1" applyBorder="1" applyAlignment="1">
      <alignment horizontal="left" vertical="top" wrapText="1"/>
    </xf>
    <xf numFmtId="0" fontId="1269" fillId="5" borderId="3" xfId="0" applyFont="1" applyFill="1" applyBorder="1" applyAlignment="1">
      <alignment horizontal="left" vertical="top" wrapText="1"/>
    </xf>
    <xf numFmtId="0" fontId="1270" fillId="5" borderId="3" xfId="0" applyFont="1" applyFill="1" applyBorder="1" applyAlignment="1">
      <alignment horizontal="left" vertical="top" wrapText="1"/>
    </xf>
    <xf numFmtId="0" fontId="1271" fillId="5" borderId="3" xfId="0" applyFont="1" applyFill="1" applyBorder="1" applyAlignment="1">
      <alignment horizontal="left" vertical="top" wrapText="1"/>
    </xf>
    <xf numFmtId="0" fontId="1272" fillId="5" borderId="3" xfId="0" applyFont="1" applyFill="1" applyBorder="1" applyAlignment="1">
      <alignment horizontal="left" vertical="top" wrapText="1"/>
    </xf>
    <xf numFmtId="0" fontId="1273" fillId="5" borderId="3" xfId="0" applyFont="1" applyFill="1" applyBorder="1" applyAlignment="1">
      <alignment horizontal="left" vertical="top" wrapText="1"/>
    </xf>
    <xf numFmtId="0" fontId="1274" fillId="5" borderId="3" xfId="0" applyFont="1" applyFill="1" applyBorder="1" applyAlignment="1">
      <alignment horizontal="left" vertical="top" wrapText="1"/>
    </xf>
    <xf numFmtId="0" fontId="1275" fillId="5" borderId="3" xfId="0" applyFont="1" applyFill="1" applyBorder="1" applyAlignment="1">
      <alignment horizontal="left" vertical="top" wrapText="1"/>
    </xf>
    <xf numFmtId="0" fontId="1276" fillId="5" borderId="3" xfId="0" applyFont="1" applyFill="1" applyBorder="1" applyAlignment="1">
      <alignment horizontal="left" vertical="top" wrapText="1"/>
    </xf>
    <xf numFmtId="0" fontId="1277" fillId="5" borderId="3" xfId="0" applyFont="1" applyFill="1" applyBorder="1" applyAlignment="1">
      <alignment horizontal="left" vertical="top" wrapText="1"/>
    </xf>
    <xf numFmtId="0" fontId="1278" fillId="5" borderId="3" xfId="0" applyFont="1" applyFill="1" applyBorder="1" applyAlignment="1">
      <alignment horizontal="left" vertical="top" wrapText="1"/>
    </xf>
    <xf numFmtId="0" fontId="1279" fillId="5" borderId="3" xfId="0" applyFont="1" applyFill="1" applyBorder="1" applyAlignment="1">
      <alignment horizontal="left" vertical="top" wrapText="1"/>
    </xf>
    <xf numFmtId="0" fontId="1280" fillId="5" borderId="3" xfId="0" applyFont="1" applyFill="1" applyBorder="1" applyAlignment="1">
      <alignment horizontal="left" vertical="top" wrapText="1"/>
    </xf>
    <xf numFmtId="0" fontId="1281" fillId="5" borderId="3" xfId="0" applyFont="1" applyFill="1" applyBorder="1" applyAlignment="1">
      <alignment horizontal="left" vertical="top" wrapText="1"/>
    </xf>
    <xf numFmtId="0" fontId="1282" fillId="5" borderId="3" xfId="0" applyFont="1" applyFill="1" applyBorder="1" applyAlignment="1">
      <alignment horizontal="left" vertical="top" wrapText="1"/>
    </xf>
    <xf numFmtId="0" fontId="1283" fillId="5" borderId="3" xfId="0" applyFont="1" applyFill="1" applyBorder="1" applyAlignment="1">
      <alignment horizontal="left" vertical="top" wrapText="1"/>
    </xf>
    <xf numFmtId="0" fontId="1284" fillId="5" borderId="3" xfId="0" applyFont="1" applyFill="1" applyBorder="1" applyAlignment="1">
      <alignment horizontal="left" vertical="top" wrapText="1"/>
    </xf>
    <xf numFmtId="0" fontId="1285" fillId="5" borderId="3" xfId="0" applyFont="1" applyFill="1" applyBorder="1" applyAlignment="1">
      <alignment horizontal="left" vertical="top" wrapText="1"/>
    </xf>
    <xf numFmtId="0" fontId="1286" fillId="5" borderId="3" xfId="0" applyFont="1" applyFill="1" applyBorder="1" applyAlignment="1">
      <alignment horizontal="left" vertical="top" wrapText="1"/>
    </xf>
    <xf numFmtId="0" fontId="1287" fillId="5" borderId="3" xfId="0" applyFont="1" applyFill="1" applyBorder="1" applyAlignment="1">
      <alignment horizontal="left" vertical="top" wrapText="1"/>
    </xf>
    <xf numFmtId="0" fontId="1288" fillId="5" borderId="3" xfId="0" applyFont="1" applyFill="1" applyBorder="1" applyAlignment="1">
      <alignment horizontal="left" vertical="top" wrapText="1"/>
    </xf>
    <xf numFmtId="0" fontId="1289" fillId="5" borderId="3" xfId="0" applyFont="1" applyFill="1" applyBorder="1" applyAlignment="1">
      <alignment horizontal="left" vertical="top" wrapText="1"/>
    </xf>
    <xf numFmtId="0" fontId="1290" fillId="5" borderId="3" xfId="0" applyFont="1" applyFill="1" applyBorder="1" applyAlignment="1">
      <alignment horizontal="left" vertical="top" wrapText="1"/>
    </xf>
    <xf numFmtId="0" fontId="1291" fillId="5" borderId="3" xfId="0" applyFont="1" applyFill="1" applyBorder="1" applyAlignment="1">
      <alignment horizontal="left" vertical="top" wrapText="1"/>
    </xf>
    <xf numFmtId="0" fontId="1292" fillId="5" borderId="3" xfId="0" applyFont="1" applyFill="1" applyBorder="1" applyAlignment="1">
      <alignment horizontal="left" vertical="top" wrapText="1"/>
    </xf>
    <xf numFmtId="0" fontId="1293" fillId="5" borderId="3" xfId="0" applyFont="1" applyFill="1" applyBorder="1" applyAlignment="1">
      <alignment horizontal="left" vertical="top" wrapText="1"/>
    </xf>
    <xf numFmtId="0" fontId="1294" fillId="5" borderId="3" xfId="0" applyFont="1" applyFill="1" applyBorder="1" applyAlignment="1">
      <alignment horizontal="left" vertical="top" wrapText="1"/>
    </xf>
    <xf numFmtId="0" fontId="1295" fillId="5" borderId="3" xfId="0" applyFont="1" applyFill="1" applyBorder="1" applyAlignment="1">
      <alignment horizontal="left" vertical="top" wrapText="1"/>
    </xf>
    <xf numFmtId="49" fontId="0" fillId="0" borderId="0" xfId="0" applyNumberFormat="1"/>
    <xf numFmtId="0" fontId="1296" fillId="3" borderId="3" xfId="0" applyFont="1" applyFill="1" applyBorder="1" applyAlignment="1">
      <alignment horizontal="left" vertical="top" wrapText="1"/>
    </xf>
    <xf numFmtId="0" fontId="1299" fillId="4" borderId="3" xfId="0" applyFont="1" applyFill="1" applyBorder="1" applyAlignment="1">
      <alignment horizontal="center" vertical="top" wrapText="1"/>
    </xf>
    <xf numFmtId="0" fontId="1300" fillId="5" borderId="3" xfId="0" applyFont="1" applyFill="1" applyBorder="1" applyAlignment="1">
      <alignment horizontal="left" vertical="top" wrapText="1"/>
    </xf>
    <xf numFmtId="0" fontId="1301" fillId="5" borderId="3" xfId="0" applyFont="1" applyFill="1" applyBorder="1" applyAlignment="1">
      <alignment horizontal="left" vertical="top" wrapText="1"/>
    </xf>
    <xf numFmtId="0" fontId="1302" fillId="5" borderId="3" xfId="0" applyFont="1" applyFill="1" applyBorder="1" applyAlignment="1">
      <alignment horizontal="left" vertical="top" wrapText="1"/>
    </xf>
    <xf numFmtId="0" fontId="1303" fillId="5" borderId="3" xfId="0" applyFont="1" applyFill="1" applyBorder="1" applyAlignment="1">
      <alignment horizontal="left" vertical="top" wrapText="1"/>
    </xf>
    <xf numFmtId="0" fontId="1304" fillId="5" borderId="3" xfId="0" applyFont="1" applyFill="1" applyBorder="1" applyAlignment="1">
      <alignment horizontal="left" vertical="top" wrapText="1"/>
    </xf>
    <xf numFmtId="0" fontId="1305" fillId="5" borderId="3" xfId="0" applyFont="1" applyFill="1" applyBorder="1" applyAlignment="1">
      <alignment horizontal="left" vertical="top" wrapText="1"/>
    </xf>
    <xf numFmtId="0" fontId="1306" fillId="5" borderId="3" xfId="0" applyFont="1" applyFill="1" applyBorder="1" applyAlignment="1">
      <alignment horizontal="left" vertical="top" wrapText="1"/>
    </xf>
    <xf numFmtId="0" fontId="1307" fillId="5" borderId="3" xfId="0" applyFont="1" applyFill="1" applyBorder="1" applyAlignment="1">
      <alignment horizontal="left" vertical="top" wrapText="1"/>
    </xf>
    <xf numFmtId="0" fontId="1308" fillId="5" borderId="3" xfId="0" applyFont="1" applyFill="1" applyBorder="1" applyAlignment="1">
      <alignment horizontal="left" vertical="top" wrapText="1"/>
    </xf>
    <xf numFmtId="0" fontId="1309" fillId="5" borderId="3" xfId="0" applyFont="1" applyFill="1" applyBorder="1" applyAlignment="1">
      <alignment horizontal="left" vertical="top" wrapText="1"/>
    </xf>
    <xf numFmtId="0" fontId="1310" fillId="5" borderId="3" xfId="0" applyFont="1" applyFill="1" applyBorder="1" applyAlignment="1">
      <alignment horizontal="left" vertical="top" wrapText="1"/>
    </xf>
    <xf numFmtId="0" fontId="1311" fillId="5" borderId="3" xfId="0" applyFont="1" applyFill="1" applyBorder="1" applyAlignment="1">
      <alignment horizontal="left" vertical="top" wrapText="1"/>
    </xf>
    <xf numFmtId="0" fontId="1312" fillId="5" borderId="3" xfId="0" applyFont="1" applyFill="1" applyBorder="1" applyAlignment="1">
      <alignment horizontal="left" vertical="top" wrapText="1"/>
    </xf>
    <xf numFmtId="0" fontId="1313" fillId="5" borderId="3" xfId="0" applyFont="1" applyFill="1" applyBorder="1" applyAlignment="1">
      <alignment horizontal="left" vertical="top" wrapText="1"/>
    </xf>
    <xf numFmtId="0" fontId="1314" fillId="5" borderId="3" xfId="0" applyFont="1" applyFill="1" applyBorder="1" applyAlignment="1">
      <alignment horizontal="left" vertical="top" wrapText="1"/>
    </xf>
    <xf numFmtId="0" fontId="1315" fillId="5" borderId="3" xfId="0" applyFont="1" applyFill="1" applyBorder="1" applyAlignment="1">
      <alignment horizontal="left" vertical="top" wrapText="1"/>
    </xf>
    <xf numFmtId="0" fontId="1316" fillId="5" borderId="3" xfId="0" applyFont="1" applyFill="1" applyBorder="1" applyAlignment="1">
      <alignment horizontal="left" vertical="top" wrapText="1"/>
    </xf>
    <xf numFmtId="0" fontId="1317" fillId="5" borderId="3" xfId="0" applyFont="1" applyFill="1" applyBorder="1" applyAlignment="1">
      <alignment horizontal="left" vertical="top" wrapText="1"/>
    </xf>
    <xf numFmtId="0" fontId="1318" fillId="5" borderId="3" xfId="0" applyFont="1" applyFill="1" applyBorder="1" applyAlignment="1">
      <alignment horizontal="left" vertical="top" wrapText="1"/>
    </xf>
    <xf numFmtId="0" fontId="1319" fillId="5" borderId="3" xfId="0" applyFont="1" applyFill="1" applyBorder="1" applyAlignment="1">
      <alignment horizontal="left" vertical="top" wrapText="1"/>
    </xf>
    <xf numFmtId="0" fontId="1320" fillId="5" borderId="3" xfId="0" applyFont="1" applyFill="1" applyBorder="1" applyAlignment="1">
      <alignment horizontal="left" vertical="top" wrapText="1"/>
    </xf>
    <xf numFmtId="0" fontId="1321" fillId="5" borderId="3" xfId="0" applyFont="1" applyFill="1" applyBorder="1" applyAlignment="1">
      <alignment horizontal="left" vertical="top" wrapText="1"/>
    </xf>
    <xf numFmtId="0" fontId="1322" fillId="5" borderId="3" xfId="0" applyFont="1" applyFill="1" applyBorder="1" applyAlignment="1">
      <alignment horizontal="left" vertical="top" wrapText="1"/>
    </xf>
    <xf numFmtId="0" fontId="1323" fillId="5" borderId="3" xfId="0" applyFont="1" applyFill="1" applyBorder="1" applyAlignment="1">
      <alignment horizontal="left" vertical="top" wrapText="1"/>
    </xf>
    <xf numFmtId="0" fontId="1324" fillId="5" borderId="3" xfId="0" applyFont="1" applyFill="1" applyBorder="1" applyAlignment="1">
      <alignment horizontal="left" vertical="top" wrapText="1"/>
    </xf>
    <xf numFmtId="0" fontId="1325" fillId="5" borderId="3" xfId="0" applyFont="1" applyFill="1" applyBorder="1" applyAlignment="1">
      <alignment horizontal="left" vertical="top" wrapText="1"/>
    </xf>
    <xf numFmtId="0" fontId="1326" fillId="5" borderId="3" xfId="0" applyFont="1" applyFill="1" applyBorder="1" applyAlignment="1">
      <alignment horizontal="left" vertical="top" wrapText="1"/>
    </xf>
    <xf numFmtId="0" fontId="1327" fillId="5" borderId="3" xfId="0" applyFont="1" applyFill="1" applyBorder="1" applyAlignment="1">
      <alignment horizontal="left" vertical="top" wrapText="1"/>
    </xf>
    <xf numFmtId="0" fontId="1328" fillId="5" borderId="3" xfId="0" applyFont="1" applyFill="1" applyBorder="1" applyAlignment="1">
      <alignment horizontal="left" vertical="top" wrapText="1"/>
    </xf>
    <xf numFmtId="0" fontId="1329" fillId="5" borderId="3" xfId="0" applyFont="1" applyFill="1" applyBorder="1" applyAlignment="1">
      <alignment horizontal="left" vertical="top" wrapText="1"/>
    </xf>
    <xf numFmtId="0" fontId="1330" fillId="5" borderId="3" xfId="0" applyFont="1" applyFill="1" applyBorder="1" applyAlignment="1">
      <alignment horizontal="left" vertical="top" wrapText="1"/>
    </xf>
    <xf numFmtId="0" fontId="1331" fillId="5" borderId="3" xfId="0" applyFont="1" applyFill="1" applyBorder="1" applyAlignment="1">
      <alignment horizontal="left" vertical="top" wrapText="1"/>
    </xf>
    <xf numFmtId="0" fontId="1332" fillId="5" borderId="3" xfId="0" applyFont="1" applyFill="1" applyBorder="1" applyAlignment="1">
      <alignment horizontal="left" vertical="top" wrapText="1"/>
    </xf>
    <xf numFmtId="0" fontId="1333" fillId="5" borderId="3" xfId="0" applyFont="1" applyFill="1" applyBorder="1" applyAlignment="1">
      <alignment horizontal="left" vertical="top" wrapText="1"/>
    </xf>
    <xf numFmtId="0" fontId="1334" fillId="5" borderId="3" xfId="0" applyFont="1" applyFill="1" applyBorder="1" applyAlignment="1">
      <alignment horizontal="left" vertical="top" wrapText="1"/>
    </xf>
    <xf numFmtId="0" fontId="1335" fillId="5" borderId="3" xfId="0" applyFont="1" applyFill="1" applyBorder="1" applyAlignment="1">
      <alignment horizontal="left" vertical="top" wrapText="1"/>
    </xf>
    <xf numFmtId="0" fontId="1336" fillId="5" borderId="3" xfId="0" applyFont="1" applyFill="1" applyBorder="1" applyAlignment="1">
      <alignment horizontal="left" vertical="top" wrapText="1"/>
    </xf>
    <xf numFmtId="0" fontId="1337" fillId="5" borderId="3" xfId="0" applyFont="1" applyFill="1" applyBorder="1" applyAlignment="1">
      <alignment horizontal="left" vertical="top" wrapText="1"/>
    </xf>
    <xf numFmtId="0" fontId="1338" fillId="5" borderId="3" xfId="0" applyFont="1" applyFill="1" applyBorder="1" applyAlignment="1">
      <alignment horizontal="left" vertical="top" wrapText="1"/>
    </xf>
    <xf numFmtId="0" fontId="1339" fillId="5" borderId="3" xfId="0" applyFont="1" applyFill="1" applyBorder="1" applyAlignment="1">
      <alignment horizontal="left" vertical="top" wrapText="1"/>
    </xf>
    <xf numFmtId="0" fontId="1340" fillId="5" borderId="3" xfId="0" applyFont="1" applyFill="1" applyBorder="1" applyAlignment="1">
      <alignment horizontal="left" vertical="top" wrapText="1"/>
    </xf>
    <xf numFmtId="0" fontId="1341" fillId="5" borderId="3" xfId="0" applyFont="1" applyFill="1" applyBorder="1" applyAlignment="1">
      <alignment horizontal="center" vertical="top"/>
    </xf>
    <xf numFmtId="0" fontId="1342" fillId="5" borderId="3" xfId="0" applyFont="1" applyFill="1" applyBorder="1" applyAlignment="1">
      <alignment horizontal="center" vertical="top"/>
    </xf>
    <xf numFmtId="0" fontId="1343" fillId="5" borderId="3" xfId="0" applyFont="1" applyFill="1" applyBorder="1" applyAlignment="1">
      <alignment horizontal="center" vertical="top"/>
    </xf>
    <xf numFmtId="0" fontId="1344" fillId="5" borderId="3" xfId="0" applyFont="1" applyFill="1" applyBorder="1" applyAlignment="1">
      <alignment horizontal="center" vertical="top"/>
    </xf>
    <xf numFmtId="0" fontId="1345" fillId="5" borderId="3" xfId="0" applyFont="1" applyFill="1" applyBorder="1" applyAlignment="1">
      <alignment horizontal="center" vertical="top"/>
    </xf>
    <xf numFmtId="0" fontId="1346" fillId="5" borderId="3" xfId="0" applyFont="1" applyFill="1" applyBorder="1" applyAlignment="1">
      <alignment horizontal="left" vertical="top" wrapText="1"/>
    </xf>
    <xf numFmtId="0" fontId="1347" fillId="5" borderId="3" xfId="0" applyFont="1" applyFill="1" applyBorder="1" applyAlignment="1">
      <alignment horizontal="center" vertical="top"/>
    </xf>
    <xf numFmtId="0" fontId="1348" fillId="5" borderId="3" xfId="0" applyFont="1" applyFill="1" applyBorder="1" applyAlignment="1">
      <alignment horizontal="center" vertical="top"/>
    </xf>
    <xf numFmtId="0" fontId="1349" fillId="5" borderId="3" xfId="0" applyFont="1" applyFill="1" applyBorder="1" applyAlignment="1">
      <alignment horizontal="left" vertical="top" wrapText="1"/>
    </xf>
    <xf numFmtId="0" fontId="1350" fillId="5" borderId="3" xfId="0" applyFont="1" applyFill="1" applyBorder="1" applyAlignment="1">
      <alignment horizontal="left" vertical="top" wrapText="1"/>
    </xf>
    <xf numFmtId="0" fontId="1351" fillId="5" borderId="3" xfId="0" applyFont="1" applyFill="1" applyBorder="1" applyAlignment="1">
      <alignment horizontal="left" vertical="top" wrapText="1"/>
    </xf>
    <xf numFmtId="0" fontId="1352" fillId="5" borderId="3" xfId="0" applyFont="1" applyFill="1" applyBorder="1" applyAlignment="1">
      <alignment horizontal="left" vertical="top" wrapText="1"/>
    </xf>
    <xf numFmtId="0" fontId="1353" fillId="5" borderId="3" xfId="0" applyFont="1" applyFill="1" applyBorder="1" applyAlignment="1">
      <alignment horizontal="left" vertical="top" wrapText="1"/>
    </xf>
    <xf numFmtId="0" fontId="1354" fillId="5" borderId="3" xfId="0" applyFont="1" applyFill="1" applyBorder="1" applyAlignment="1">
      <alignment horizontal="left" vertical="top" wrapText="1"/>
    </xf>
    <xf numFmtId="0" fontId="1355" fillId="5" borderId="3" xfId="0" applyFont="1" applyFill="1" applyBorder="1" applyAlignment="1">
      <alignment horizontal="left" vertical="top" wrapText="1"/>
    </xf>
    <xf numFmtId="0" fontId="1356" fillId="5" borderId="3" xfId="0" applyFont="1" applyFill="1" applyBorder="1" applyAlignment="1">
      <alignment horizontal="left" vertical="top" wrapText="1"/>
    </xf>
    <xf numFmtId="0" fontId="1357" fillId="5" borderId="3" xfId="0" applyFont="1" applyFill="1" applyBorder="1" applyAlignment="1">
      <alignment horizontal="left" vertical="top" wrapText="1"/>
    </xf>
    <xf numFmtId="0" fontId="1358" fillId="5" borderId="3" xfId="0" applyFont="1" applyFill="1" applyBorder="1" applyAlignment="1">
      <alignment horizontal="left" vertical="top" wrapText="1"/>
    </xf>
    <xf numFmtId="0" fontId="1359" fillId="5" borderId="3" xfId="0" applyFont="1" applyFill="1" applyBorder="1" applyAlignment="1">
      <alignment horizontal="left" vertical="top" wrapText="1"/>
    </xf>
    <xf numFmtId="0" fontId="1360" fillId="5" borderId="3" xfId="0" applyFont="1" applyFill="1" applyBorder="1" applyAlignment="1">
      <alignment horizontal="left" vertical="top" wrapText="1"/>
    </xf>
    <xf numFmtId="0" fontId="1361" fillId="5" borderId="3" xfId="0" applyFont="1" applyFill="1" applyBorder="1" applyAlignment="1">
      <alignment horizontal="left" vertical="top" wrapText="1"/>
    </xf>
    <xf numFmtId="0" fontId="1362" fillId="5" borderId="3" xfId="0" applyFont="1" applyFill="1" applyBorder="1" applyAlignment="1">
      <alignment horizontal="left" vertical="top" wrapText="1"/>
    </xf>
    <xf numFmtId="0" fontId="1363" fillId="5" borderId="3" xfId="0" applyFont="1" applyFill="1" applyBorder="1" applyAlignment="1">
      <alignment horizontal="left" vertical="top" wrapText="1"/>
    </xf>
    <xf numFmtId="0" fontId="1364" fillId="5" borderId="3" xfId="0" applyFont="1" applyFill="1" applyBorder="1" applyAlignment="1">
      <alignment horizontal="left" vertical="top" wrapText="1"/>
    </xf>
    <xf numFmtId="0" fontId="1365" fillId="5" borderId="3" xfId="0" applyFont="1" applyFill="1" applyBorder="1" applyAlignment="1">
      <alignment horizontal="left" vertical="top" wrapText="1"/>
    </xf>
    <xf numFmtId="0" fontId="1366" fillId="5" borderId="3" xfId="0" applyFont="1" applyFill="1" applyBorder="1" applyAlignment="1">
      <alignment horizontal="left" vertical="top" wrapText="1"/>
    </xf>
    <xf numFmtId="0" fontId="1367" fillId="5" borderId="3" xfId="0" applyFont="1" applyFill="1" applyBorder="1" applyAlignment="1">
      <alignment horizontal="left" vertical="top" wrapText="1"/>
    </xf>
    <xf numFmtId="0" fontId="1368" fillId="5" borderId="3" xfId="0" applyFont="1" applyFill="1" applyBorder="1" applyAlignment="1">
      <alignment horizontal="left" vertical="top" wrapText="1"/>
    </xf>
    <xf numFmtId="0" fontId="1369" fillId="5" borderId="3" xfId="0" applyFont="1" applyFill="1" applyBorder="1" applyAlignment="1">
      <alignment horizontal="left" vertical="top" wrapText="1"/>
    </xf>
    <xf numFmtId="0" fontId="1370" fillId="5" borderId="3" xfId="0" applyFont="1" applyFill="1" applyBorder="1" applyAlignment="1">
      <alignment horizontal="left" vertical="top" wrapText="1"/>
    </xf>
    <xf numFmtId="0" fontId="1371" fillId="5" borderId="3" xfId="0" applyFont="1" applyFill="1" applyBorder="1" applyAlignment="1">
      <alignment horizontal="left" vertical="top" wrapText="1"/>
    </xf>
    <xf numFmtId="0" fontId="1372" fillId="5" borderId="3" xfId="0" applyFont="1" applyFill="1" applyBorder="1" applyAlignment="1">
      <alignment horizontal="left" vertical="top" wrapText="1"/>
    </xf>
    <xf numFmtId="0" fontId="1373" fillId="5" borderId="3" xfId="0" applyFont="1" applyFill="1" applyBorder="1" applyAlignment="1">
      <alignment horizontal="left" vertical="top" wrapText="1"/>
    </xf>
    <xf numFmtId="0" fontId="1374" fillId="5" borderId="3" xfId="0" applyFont="1" applyFill="1" applyBorder="1" applyAlignment="1">
      <alignment horizontal="center" vertical="top"/>
    </xf>
    <xf numFmtId="0" fontId="1375" fillId="5" borderId="3" xfId="0" applyFont="1" applyFill="1" applyBorder="1" applyAlignment="1">
      <alignment horizontal="center" vertical="top"/>
    </xf>
    <xf numFmtId="0" fontId="1376" fillId="5" borderId="3" xfId="0" applyFont="1" applyFill="1" applyBorder="1" applyAlignment="1">
      <alignment horizontal="center" vertical="top"/>
    </xf>
    <xf numFmtId="0" fontId="1377" fillId="5" borderId="3" xfId="0" applyFont="1" applyFill="1" applyBorder="1" applyAlignment="1">
      <alignment horizontal="center" vertical="top"/>
    </xf>
    <xf numFmtId="0" fontId="1378" fillId="5" borderId="3" xfId="0" applyFont="1" applyFill="1" applyBorder="1" applyAlignment="1">
      <alignment horizontal="center" vertical="top"/>
    </xf>
    <xf numFmtId="0" fontId="1379" fillId="5" borderId="3" xfId="0" applyFont="1" applyFill="1" applyBorder="1" applyAlignment="1">
      <alignment horizontal="left" vertical="top" wrapText="1"/>
    </xf>
    <xf numFmtId="0" fontId="1380" fillId="5" borderId="3" xfId="0" applyFont="1" applyFill="1" applyBorder="1" applyAlignment="1">
      <alignment horizontal="left" vertical="top" wrapText="1"/>
    </xf>
    <xf numFmtId="0" fontId="1381" fillId="5" borderId="3" xfId="0" applyFont="1" applyFill="1" applyBorder="1" applyAlignment="1">
      <alignment horizontal="left" vertical="top" wrapText="1"/>
    </xf>
    <xf numFmtId="0" fontId="1382" fillId="5" borderId="3" xfId="0" applyFont="1" applyFill="1" applyBorder="1" applyAlignment="1">
      <alignment horizontal="left" vertical="top" wrapText="1"/>
    </xf>
    <xf numFmtId="0" fontId="1383" fillId="5" borderId="3" xfId="0" applyFont="1" applyFill="1" applyBorder="1" applyAlignment="1">
      <alignment horizontal="left" vertical="top" wrapText="1"/>
    </xf>
    <xf numFmtId="0" fontId="1384" fillId="5" borderId="3" xfId="0" applyFont="1" applyFill="1" applyBorder="1" applyAlignment="1">
      <alignment horizontal="left" vertical="top" wrapText="1"/>
    </xf>
    <xf numFmtId="0" fontId="1385" fillId="5" borderId="3" xfId="0" applyFont="1" applyFill="1" applyBorder="1" applyAlignment="1">
      <alignment horizontal="left" vertical="top" wrapText="1"/>
    </xf>
    <xf numFmtId="0" fontId="1386" fillId="5" borderId="3" xfId="0" applyFont="1" applyFill="1" applyBorder="1" applyAlignment="1">
      <alignment horizontal="left" vertical="top" wrapText="1"/>
    </xf>
    <xf numFmtId="0" fontId="1387" fillId="5" borderId="3" xfId="0" applyFont="1" applyFill="1" applyBorder="1" applyAlignment="1">
      <alignment horizontal="left" vertical="top" wrapText="1"/>
    </xf>
    <xf numFmtId="0" fontId="1388" fillId="5" borderId="3" xfId="0" applyFont="1" applyFill="1" applyBorder="1" applyAlignment="1">
      <alignment horizontal="left" vertical="top" wrapText="1"/>
    </xf>
    <xf numFmtId="0" fontId="1389" fillId="5" borderId="3" xfId="0" applyFont="1" applyFill="1" applyBorder="1" applyAlignment="1">
      <alignment horizontal="center" vertical="top"/>
    </xf>
    <xf numFmtId="0" fontId="1390" fillId="5" borderId="3" xfId="0" applyFont="1" applyFill="1" applyBorder="1" applyAlignment="1">
      <alignment horizontal="center" vertical="top"/>
    </xf>
    <xf numFmtId="0" fontId="1391" fillId="5" borderId="3" xfId="0" applyFont="1" applyFill="1" applyBorder="1" applyAlignment="1">
      <alignment horizontal="left" vertical="top" wrapText="1"/>
    </xf>
    <xf numFmtId="0" fontId="1392" fillId="5" borderId="3" xfId="0" applyFont="1" applyFill="1" applyBorder="1" applyAlignment="1">
      <alignment horizontal="left" vertical="top" wrapText="1"/>
    </xf>
    <xf numFmtId="0" fontId="1393" fillId="5" borderId="3" xfId="0" applyFont="1" applyFill="1" applyBorder="1" applyAlignment="1">
      <alignment horizontal="left" vertical="top" wrapText="1"/>
    </xf>
    <xf numFmtId="0" fontId="1394" fillId="5" borderId="3" xfId="0" applyFont="1" applyFill="1" applyBorder="1" applyAlignment="1">
      <alignment horizontal="left" vertical="top" wrapText="1"/>
    </xf>
    <xf numFmtId="0" fontId="1395" fillId="5" borderId="3" xfId="0" applyFont="1" applyFill="1" applyBorder="1" applyAlignment="1">
      <alignment horizontal="center" vertical="top"/>
    </xf>
    <xf numFmtId="0" fontId="1396" fillId="5" borderId="3" xfId="0" applyFont="1" applyFill="1" applyBorder="1" applyAlignment="1">
      <alignment horizontal="left" vertical="top" wrapText="1"/>
    </xf>
    <xf numFmtId="0" fontId="1397" fillId="5" borderId="3" xfId="0" applyFont="1" applyFill="1" applyBorder="1" applyAlignment="1">
      <alignment horizontal="left" vertical="top" wrapText="1"/>
    </xf>
    <xf numFmtId="0" fontId="1398" fillId="5" borderId="3" xfId="0" applyFont="1" applyFill="1" applyBorder="1" applyAlignment="1">
      <alignment horizontal="left" vertical="top" wrapText="1"/>
    </xf>
    <xf numFmtId="0" fontId="1399" fillId="5" borderId="3" xfId="0" applyFont="1" applyFill="1" applyBorder="1" applyAlignment="1">
      <alignment horizontal="left" vertical="top" wrapText="1"/>
    </xf>
    <xf numFmtId="0" fontId="1400" fillId="5" borderId="3" xfId="0" applyFont="1" applyFill="1" applyBorder="1" applyAlignment="1">
      <alignment horizontal="left" vertical="top" wrapText="1"/>
    </xf>
    <xf numFmtId="0" fontId="1401" fillId="5" borderId="3" xfId="0" applyFont="1" applyFill="1" applyBorder="1" applyAlignment="1">
      <alignment horizontal="left" vertical="top" wrapText="1"/>
    </xf>
    <xf numFmtId="0" fontId="1402" fillId="5" borderId="3" xfId="0" applyFont="1" applyFill="1" applyBorder="1" applyAlignment="1">
      <alignment horizontal="center" vertical="top"/>
    </xf>
    <xf numFmtId="0" fontId="1403" fillId="5" borderId="3" xfId="0" applyFont="1" applyFill="1" applyBorder="1" applyAlignment="1">
      <alignment horizontal="left" vertical="top" wrapText="1"/>
    </xf>
    <xf numFmtId="0" fontId="1404" fillId="5" borderId="3" xfId="0" applyFont="1" applyFill="1" applyBorder="1" applyAlignment="1">
      <alignment horizontal="center" vertical="top"/>
    </xf>
    <xf numFmtId="0" fontId="1405" fillId="5" borderId="3" xfId="0" applyFont="1" applyFill="1" applyBorder="1" applyAlignment="1">
      <alignment horizontal="left" vertical="top" wrapText="1"/>
    </xf>
    <xf numFmtId="0" fontId="1406" fillId="5" borderId="3" xfId="0" applyFont="1" applyFill="1" applyBorder="1" applyAlignment="1">
      <alignment horizontal="left" vertical="top" wrapText="1"/>
    </xf>
    <xf numFmtId="0" fontId="1407" fillId="5" borderId="3" xfId="0" applyFont="1" applyFill="1" applyBorder="1" applyAlignment="1">
      <alignment horizontal="left" vertical="top" wrapText="1"/>
    </xf>
    <xf numFmtId="0" fontId="1408" fillId="5" borderId="3" xfId="0" applyFont="1" applyFill="1" applyBorder="1" applyAlignment="1">
      <alignment horizontal="left" vertical="top" wrapText="1"/>
    </xf>
    <xf numFmtId="0" fontId="1409" fillId="5" borderId="3" xfId="0" applyFont="1" applyFill="1" applyBorder="1" applyAlignment="1">
      <alignment horizontal="left" vertical="top" wrapText="1"/>
    </xf>
    <xf numFmtId="0" fontId="1410" fillId="5" borderId="3" xfId="0" applyFont="1" applyFill="1" applyBorder="1" applyAlignment="1">
      <alignment horizontal="left" vertical="top" wrapText="1"/>
    </xf>
    <xf numFmtId="0" fontId="1411" fillId="5" borderId="3" xfId="0" applyFont="1" applyFill="1" applyBorder="1" applyAlignment="1">
      <alignment horizontal="left" vertical="top" wrapText="1"/>
    </xf>
    <xf numFmtId="0" fontId="1412" fillId="5" borderId="3" xfId="0" applyFont="1" applyFill="1" applyBorder="1" applyAlignment="1">
      <alignment horizontal="left" vertical="top" wrapText="1"/>
    </xf>
    <xf numFmtId="0" fontId="1413" fillId="5" borderId="3" xfId="0" applyFont="1" applyFill="1" applyBorder="1" applyAlignment="1">
      <alignment horizontal="left" vertical="top" wrapText="1"/>
    </xf>
    <xf numFmtId="0" fontId="1414" fillId="5" borderId="3" xfId="0" applyFont="1" applyFill="1" applyBorder="1" applyAlignment="1">
      <alignment horizontal="left" vertical="top" wrapText="1"/>
    </xf>
    <xf numFmtId="0" fontId="1415" fillId="5" borderId="3" xfId="0" applyFont="1" applyFill="1" applyBorder="1" applyAlignment="1">
      <alignment horizontal="left" vertical="top" wrapText="1"/>
    </xf>
    <xf numFmtId="0" fontId="1416" fillId="5" borderId="3" xfId="0" applyFont="1" applyFill="1" applyBorder="1" applyAlignment="1">
      <alignment horizontal="left" vertical="top" wrapText="1"/>
    </xf>
    <xf numFmtId="0" fontId="1417" fillId="5" borderId="3" xfId="0" applyFont="1" applyFill="1" applyBorder="1" applyAlignment="1">
      <alignment horizontal="left" vertical="top" wrapText="1"/>
    </xf>
    <xf numFmtId="0" fontId="1418" fillId="5" borderId="3" xfId="0" applyFont="1" applyFill="1" applyBorder="1" applyAlignment="1">
      <alignment horizontal="left" vertical="top" wrapText="1"/>
    </xf>
    <xf numFmtId="0" fontId="1419" fillId="5" borderId="3" xfId="0" applyFont="1" applyFill="1" applyBorder="1" applyAlignment="1">
      <alignment horizontal="left" vertical="top" wrapText="1"/>
    </xf>
    <xf numFmtId="0" fontId="1420" fillId="5" borderId="3" xfId="0" applyFont="1" applyFill="1" applyBorder="1" applyAlignment="1">
      <alignment horizontal="left" vertical="top" wrapText="1"/>
    </xf>
    <xf numFmtId="0" fontId="1421" fillId="5" borderId="3" xfId="0" applyFont="1" applyFill="1" applyBorder="1" applyAlignment="1">
      <alignment horizontal="left" vertical="top" wrapText="1"/>
    </xf>
    <xf numFmtId="0" fontId="1422" fillId="5" borderId="3" xfId="0" applyFont="1" applyFill="1" applyBorder="1" applyAlignment="1">
      <alignment horizontal="left" vertical="top" wrapText="1"/>
    </xf>
    <xf numFmtId="0" fontId="1423" fillId="5" borderId="3" xfId="0" applyFont="1" applyFill="1" applyBorder="1" applyAlignment="1">
      <alignment horizontal="center" vertical="top"/>
    </xf>
    <xf numFmtId="0" fontId="1424" fillId="5" borderId="3" xfId="0" applyFont="1" applyFill="1" applyBorder="1" applyAlignment="1">
      <alignment horizontal="left" vertical="top" wrapText="1"/>
    </xf>
    <xf numFmtId="0" fontId="1425" fillId="5" borderId="3" xfId="0" applyFont="1" applyFill="1" applyBorder="1" applyAlignment="1">
      <alignment horizontal="left" vertical="top" wrapText="1"/>
    </xf>
    <xf numFmtId="0" fontId="1426" fillId="5" borderId="3" xfId="0" applyFont="1" applyFill="1" applyBorder="1" applyAlignment="1">
      <alignment horizontal="left" vertical="top" wrapText="1"/>
    </xf>
    <xf numFmtId="0" fontId="1427" fillId="5" borderId="3" xfId="0" applyFont="1" applyFill="1" applyBorder="1" applyAlignment="1">
      <alignment horizontal="left" vertical="top" wrapText="1"/>
    </xf>
    <xf numFmtId="0" fontId="1428" fillId="5" borderId="3" xfId="0" applyFont="1" applyFill="1" applyBorder="1" applyAlignment="1">
      <alignment horizontal="left" vertical="top" wrapText="1"/>
    </xf>
    <xf numFmtId="0" fontId="1429" fillId="5" borderId="3" xfId="0" applyFont="1" applyFill="1" applyBorder="1" applyAlignment="1">
      <alignment horizontal="left" vertical="top" wrapText="1"/>
    </xf>
    <xf numFmtId="0" fontId="1430" fillId="5" borderId="3" xfId="0" applyFont="1" applyFill="1" applyBorder="1" applyAlignment="1">
      <alignment horizontal="left" vertical="top" wrapText="1"/>
    </xf>
    <xf numFmtId="0" fontId="1431" fillId="5" borderId="3" xfId="0" applyFont="1" applyFill="1" applyBorder="1" applyAlignment="1">
      <alignment horizontal="left" vertical="top" wrapText="1"/>
    </xf>
    <xf numFmtId="0" fontId="1432" fillId="5" borderId="3" xfId="0" applyFont="1" applyFill="1" applyBorder="1" applyAlignment="1">
      <alignment horizontal="left" vertical="top" wrapText="1"/>
    </xf>
    <xf numFmtId="0" fontId="1433" fillId="5" borderId="3" xfId="0" applyFont="1" applyFill="1" applyBorder="1" applyAlignment="1">
      <alignment horizontal="left" vertical="top" wrapText="1"/>
    </xf>
    <xf numFmtId="0" fontId="1434" fillId="5" borderId="3" xfId="0" applyFont="1" applyFill="1" applyBorder="1" applyAlignment="1">
      <alignment horizontal="left" vertical="top" wrapText="1"/>
    </xf>
    <xf numFmtId="0" fontId="1435" fillId="5" borderId="3" xfId="0" applyFont="1" applyFill="1" applyBorder="1" applyAlignment="1">
      <alignment horizontal="left" vertical="top" wrapText="1"/>
    </xf>
    <xf numFmtId="0" fontId="1436" fillId="5" borderId="3" xfId="0" applyFont="1" applyFill="1" applyBorder="1" applyAlignment="1">
      <alignment horizontal="left" vertical="top" wrapText="1"/>
    </xf>
    <xf numFmtId="0" fontId="1437" fillId="5" borderId="3" xfId="0" applyFont="1" applyFill="1" applyBorder="1" applyAlignment="1">
      <alignment horizontal="left" vertical="top" wrapText="1"/>
    </xf>
    <xf numFmtId="0" fontId="1438" fillId="5" borderId="3" xfId="0" applyFont="1" applyFill="1" applyBorder="1" applyAlignment="1">
      <alignment horizontal="left" vertical="top" wrapText="1"/>
    </xf>
    <xf numFmtId="0" fontId="1439" fillId="5" borderId="3" xfId="0" applyFont="1" applyFill="1" applyBorder="1" applyAlignment="1">
      <alignment horizontal="left" vertical="top" wrapText="1"/>
    </xf>
    <xf numFmtId="0" fontId="1440" fillId="5" borderId="3" xfId="0" applyFont="1" applyFill="1" applyBorder="1" applyAlignment="1">
      <alignment horizontal="left" vertical="top" wrapText="1"/>
    </xf>
    <xf numFmtId="0" fontId="1441" fillId="5" borderId="3" xfId="0" applyFont="1" applyFill="1" applyBorder="1" applyAlignment="1">
      <alignment horizontal="left" vertical="top" wrapText="1"/>
    </xf>
    <xf numFmtId="0" fontId="1442" fillId="5" borderId="3" xfId="0" applyFont="1" applyFill="1" applyBorder="1" applyAlignment="1">
      <alignment horizontal="center" vertical="top"/>
    </xf>
    <xf numFmtId="0" fontId="1443" fillId="5" borderId="3" xfId="0" applyFont="1" applyFill="1" applyBorder="1" applyAlignment="1">
      <alignment horizontal="left" vertical="top" wrapText="1"/>
    </xf>
    <xf numFmtId="0" fontId="1444" fillId="5" borderId="3" xfId="0" applyFont="1" applyFill="1" applyBorder="1" applyAlignment="1">
      <alignment horizontal="left" vertical="top" wrapText="1"/>
    </xf>
    <xf numFmtId="0" fontId="1445" fillId="5" borderId="3" xfId="0" applyFont="1" applyFill="1" applyBorder="1" applyAlignment="1">
      <alignment horizontal="left" vertical="top" wrapText="1"/>
    </xf>
    <xf numFmtId="0" fontId="1446" fillId="5" borderId="3" xfId="0" applyFont="1" applyFill="1" applyBorder="1" applyAlignment="1">
      <alignment horizontal="left" vertical="top" wrapText="1"/>
    </xf>
    <xf numFmtId="0" fontId="1447" fillId="5" borderId="3" xfId="0" applyFont="1" applyFill="1" applyBorder="1" applyAlignment="1">
      <alignment horizontal="left" vertical="top" wrapText="1"/>
    </xf>
    <xf numFmtId="0" fontId="1448" fillId="5" borderId="3" xfId="0" applyFont="1" applyFill="1" applyBorder="1" applyAlignment="1">
      <alignment horizontal="left" vertical="top" wrapText="1"/>
    </xf>
    <xf numFmtId="0" fontId="1449" fillId="5" borderId="3" xfId="0" applyFont="1" applyFill="1" applyBorder="1" applyAlignment="1">
      <alignment horizontal="left" vertical="top" wrapText="1"/>
    </xf>
    <xf numFmtId="0" fontId="1450" fillId="5" borderId="3" xfId="0" applyFont="1" applyFill="1" applyBorder="1" applyAlignment="1">
      <alignment horizontal="left" vertical="top" wrapText="1"/>
    </xf>
    <xf numFmtId="0" fontId="1451" fillId="5" borderId="3" xfId="0" applyFont="1" applyFill="1" applyBorder="1" applyAlignment="1">
      <alignment horizontal="left" vertical="top" wrapText="1"/>
    </xf>
    <xf numFmtId="0" fontId="1452" fillId="5" borderId="3" xfId="0" applyFont="1" applyFill="1" applyBorder="1" applyAlignment="1">
      <alignment horizontal="left" vertical="top" wrapText="1"/>
    </xf>
    <xf numFmtId="0" fontId="1453" fillId="5" borderId="3" xfId="0" applyFont="1" applyFill="1" applyBorder="1" applyAlignment="1">
      <alignment horizontal="left" vertical="top" wrapText="1"/>
    </xf>
    <xf numFmtId="0" fontId="1454" fillId="5" borderId="3" xfId="0" applyFont="1" applyFill="1" applyBorder="1" applyAlignment="1">
      <alignment horizontal="left" vertical="top" wrapText="1"/>
    </xf>
    <xf numFmtId="0" fontId="1455" fillId="5" borderId="3" xfId="0" applyFont="1" applyFill="1" applyBorder="1" applyAlignment="1">
      <alignment horizontal="left" vertical="top" wrapText="1"/>
    </xf>
    <xf numFmtId="0" fontId="1456" fillId="5" borderId="3" xfId="0" applyFont="1" applyFill="1" applyBorder="1" applyAlignment="1">
      <alignment horizontal="left" vertical="top" wrapText="1"/>
    </xf>
    <xf numFmtId="0" fontId="1457" fillId="5" borderId="3" xfId="0" applyFont="1" applyFill="1" applyBorder="1" applyAlignment="1">
      <alignment horizontal="left" vertical="top" wrapText="1"/>
    </xf>
    <xf numFmtId="0" fontId="1458" fillId="5" borderId="3" xfId="0" applyFont="1" applyFill="1" applyBorder="1" applyAlignment="1">
      <alignment horizontal="left" vertical="top" wrapText="1"/>
    </xf>
    <xf numFmtId="0" fontId="1459" fillId="5" borderId="3" xfId="0" applyFont="1" applyFill="1" applyBorder="1" applyAlignment="1">
      <alignment horizontal="left" vertical="top" wrapText="1"/>
    </xf>
    <xf numFmtId="0" fontId="1460" fillId="5" borderId="3" xfId="0" applyFont="1" applyFill="1" applyBorder="1" applyAlignment="1">
      <alignment horizontal="left" vertical="top" wrapText="1"/>
    </xf>
    <xf numFmtId="0" fontId="1461" fillId="5" borderId="3" xfId="0" applyFont="1" applyFill="1" applyBorder="1" applyAlignment="1">
      <alignment horizontal="left" vertical="top" wrapText="1"/>
    </xf>
    <xf numFmtId="0" fontId="1462" fillId="5" borderId="3" xfId="0" applyFont="1" applyFill="1" applyBorder="1" applyAlignment="1">
      <alignment horizontal="left" vertical="top" wrapText="1"/>
    </xf>
    <xf numFmtId="0" fontId="1463" fillId="5" borderId="3" xfId="0" applyFont="1" applyFill="1" applyBorder="1" applyAlignment="1">
      <alignment horizontal="left" vertical="top" wrapText="1"/>
    </xf>
    <xf numFmtId="0" fontId="1464" fillId="5" borderId="3" xfId="0" applyFont="1" applyFill="1" applyBorder="1" applyAlignment="1">
      <alignment horizontal="left" vertical="top" wrapText="1"/>
    </xf>
    <xf numFmtId="0" fontId="1465" fillId="5" borderId="3" xfId="0" applyFont="1" applyFill="1" applyBorder="1" applyAlignment="1">
      <alignment horizontal="left" vertical="top" wrapText="1"/>
    </xf>
    <xf numFmtId="0" fontId="1466" fillId="5" borderId="3" xfId="0" applyFont="1" applyFill="1" applyBorder="1" applyAlignment="1">
      <alignment horizontal="left" vertical="top" wrapText="1"/>
    </xf>
    <xf numFmtId="0" fontId="1467" fillId="5" borderId="3" xfId="0" applyFont="1" applyFill="1" applyBorder="1" applyAlignment="1">
      <alignment horizontal="left" vertical="top" wrapText="1"/>
    </xf>
    <xf numFmtId="0" fontId="1468" fillId="5" borderId="3" xfId="0" applyFont="1" applyFill="1" applyBorder="1" applyAlignment="1">
      <alignment horizontal="left" vertical="top" wrapText="1"/>
    </xf>
    <xf numFmtId="0" fontId="1469" fillId="5" borderId="3" xfId="0" applyFont="1" applyFill="1" applyBorder="1" applyAlignment="1">
      <alignment horizontal="center" vertical="top"/>
    </xf>
    <xf numFmtId="0" fontId="1470" fillId="5" borderId="3" xfId="0" applyFont="1" applyFill="1" applyBorder="1" applyAlignment="1">
      <alignment horizontal="center" vertical="top"/>
    </xf>
    <xf numFmtId="0" fontId="1471" fillId="5" borderId="3" xfId="0" applyFont="1" applyFill="1" applyBorder="1" applyAlignment="1">
      <alignment horizontal="center" vertical="top"/>
    </xf>
    <xf numFmtId="0" fontId="1472" fillId="5" borderId="3" xfId="0" applyFont="1" applyFill="1" applyBorder="1" applyAlignment="1">
      <alignment horizontal="center" vertical="top"/>
    </xf>
    <xf numFmtId="0" fontId="1473" fillId="5" borderId="3" xfId="0" applyFont="1" applyFill="1" applyBorder="1" applyAlignment="1">
      <alignment horizontal="center" vertical="top"/>
    </xf>
    <xf numFmtId="0" fontId="1474" fillId="5" borderId="3" xfId="0" applyFont="1" applyFill="1" applyBorder="1" applyAlignment="1">
      <alignment horizontal="center" vertical="top"/>
    </xf>
    <xf numFmtId="0" fontId="1475" fillId="5" borderId="3" xfId="0" applyFont="1" applyFill="1" applyBorder="1" applyAlignment="1">
      <alignment horizontal="center" vertical="top"/>
    </xf>
    <xf numFmtId="0" fontId="1476" fillId="5" borderId="3" xfId="0" applyFont="1" applyFill="1" applyBorder="1" applyAlignment="1">
      <alignment horizontal="left" vertical="top" wrapText="1"/>
    </xf>
    <xf numFmtId="0" fontId="1477" fillId="5" borderId="3" xfId="0" applyFont="1" applyFill="1" applyBorder="1" applyAlignment="1">
      <alignment horizontal="left" vertical="top" wrapText="1"/>
    </xf>
    <xf numFmtId="0" fontId="1478" fillId="5" borderId="3" xfId="0" applyFont="1" applyFill="1" applyBorder="1" applyAlignment="1">
      <alignment horizontal="left" vertical="top" wrapText="1"/>
    </xf>
    <xf numFmtId="0" fontId="1479" fillId="5" borderId="3" xfId="0" applyFont="1" applyFill="1" applyBorder="1" applyAlignment="1">
      <alignment horizontal="left" vertical="top" wrapText="1"/>
    </xf>
    <xf numFmtId="0" fontId="1480" fillId="5" borderId="3" xfId="0" applyFont="1" applyFill="1" applyBorder="1" applyAlignment="1">
      <alignment horizontal="left" vertical="top" wrapText="1"/>
    </xf>
    <xf numFmtId="0" fontId="1481" fillId="5" borderId="3" xfId="0" applyFont="1" applyFill="1" applyBorder="1" applyAlignment="1">
      <alignment horizontal="left" vertical="top" wrapText="1"/>
    </xf>
    <xf numFmtId="0" fontId="1482" fillId="5" borderId="3" xfId="0" applyFont="1" applyFill="1" applyBorder="1" applyAlignment="1">
      <alignment horizontal="left" vertical="top" wrapText="1"/>
    </xf>
    <xf numFmtId="0" fontId="1483" fillId="5" borderId="3" xfId="0" applyFont="1" applyFill="1" applyBorder="1" applyAlignment="1">
      <alignment horizontal="left" vertical="top" wrapText="1"/>
    </xf>
    <xf numFmtId="0" fontId="1484" fillId="5" borderId="3" xfId="0" applyFont="1" applyFill="1" applyBorder="1" applyAlignment="1">
      <alignment horizontal="left" vertical="top" wrapText="1"/>
    </xf>
    <xf numFmtId="0" fontId="1485" fillId="5" borderId="3" xfId="0" applyFont="1" applyFill="1" applyBorder="1" applyAlignment="1">
      <alignment horizontal="center" vertical="top"/>
    </xf>
    <xf numFmtId="0" fontId="1486" fillId="5" borderId="3" xfId="0" applyFont="1" applyFill="1" applyBorder="1" applyAlignment="1">
      <alignment horizontal="center" vertical="top"/>
    </xf>
    <xf numFmtId="0" fontId="1487" fillId="5" borderId="3" xfId="0" applyFont="1" applyFill="1" applyBorder="1" applyAlignment="1">
      <alignment horizontal="center" vertical="top"/>
    </xf>
    <xf numFmtId="0" fontId="1488" fillId="5" borderId="3" xfId="0" applyFont="1" applyFill="1" applyBorder="1" applyAlignment="1">
      <alignment horizontal="center" vertical="top"/>
    </xf>
    <xf numFmtId="0" fontId="1489" fillId="5" borderId="3" xfId="0" applyFont="1" applyFill="1" applyBorder="1" applyAlignment="1">
      <alignment horizontal="center" vertical="top"/>
    </xf>
    <xf numFmtId="0" fontId="1490" fillId="5" borderId="3" xfId="0" applyFont="1" applyFill="1" applyBorder="1" applyAlignment="1">
      <alignment horizontal="center" vertical="top"/>
    </xf>
    <xf numFmtId="0" fontId="1491" fillId="5" borderId="3" xfId="0" applyFont="1" applyFill="1" applyBorder="1" applyAlignment="1">
      <alignment horizontal="center" vertical="top"/>
    </xf>
    <xf numFmtId="0" fontId="1492" fillId="5" borderId="3" xfId="0" applyFont="1" applyFill="1" applyBorder="1" applyAlignment="1">
      <alignment horizontal="left" vertical="top" wrapText="1"/>
    </xf>
    <xf numFmtId="0" fontId="1493" fillId="5" borderId="3" xfId="0" applyFont="1" applyFill="1" applyBorder="1" applyAlignment="1">
      <alignment horizontal="left" vertical="top" wrapText="1"/>
    </xf>
    <xf numFmtId="0" fontId="1494" fillId="5" borderId="3" xfId="0" applyFont="1" applyFill="1" applyBorder="1" applyAlignment="1">
      <alignment horizontal="left" vertical="top" wrapText="1"/>
    </xf>
    <xf numFmtId="0" fontId="1495" fillId="5" borderId="3" xfId="0" applyFont="1" applyFill="1" applyBorder="1" applyAlignment="1">
      <alignment horizontal="left" vertical="top" wrapText="1"/>
    </xf>
    <xf numFmtId="0" fontId="1496" fillId="5" borderId="3" xfId="0" applyFont="1" applyFill="1" applyBorder="1" applyAlignment="1">
      <alignment horizontal="left" vertical="top" wrapText="1"/>
    </xf>
    <xf numFmtId="0" fontId="1497" fillId="5" borderId="3" xfId="0" applyFont="1" applyFill="1" applyBorder="1" applyAlignment="1">
      <alignment horizontal="left" vertical="top" wrapText="1"/>
    </xf>
    <xf numFmtId="0" fontId="1498" fillId="5" borderId="3" xfId="0" applyFont="1" applyFill="1" applyBorder="1" applyAlignment="1">
      <alignment horizontal="left" vertical="top" wrapText="1"/>
    </xf>
    <xf numFmtId="0" fontId="1499" fillId="5" borderId="3" xfId="0" applyFont="1" applyFill="1" applyBorder="1" applyAlignment="1">
      <alignment horizontal="left" vertical="top" wrapText="1"/>
    </xf>
    <xf numFmtId="0" fontId="1500" fillId="5" borderId="3" xfId="0" applyFont="1" applyFill="1" applyBorder="1" applyAlignment="1">
      <alignment horizontal="left" vertical="top" wrapText="1"/>
    </xf>
    <xf numFmtId="0" fontId="1501" fillId="5" borderId="3" xfId="0" applyFont="1" applyFill="1" applyBorder="1" applyAlignment="1">
      <alignment horizontal="left" vertical="top" wrapText="1"/>
    </xf>
    <xf numFmtId="0" fontId="1502" fillId="5" borderId="3" xfId="0" applyFont="1" applyFill="1" applyBorder="1" applyAlignment="1">
      <alignment horizontal="center" vertical="top"/>
    </xf>
    <xf numFmtId="0" fontId="1503" fillId="5" borderId="3" xfId="0" applyFont="1" applyFill="1" applyBorder="1" applyAlignment="1">
      <alignment horizontal="center" vertical="top"/>
    </xf>
    <xf numFmtId="0" fontId="1504" fillId="5" borderId="3" xfId="0" applyFont="1" applyFill="1" applyBorder="1" applyAlignment="1">
      <alignment horizontal="center" vertical="top"/>
    </xf>
    <xf numFmtId="0" fontId="1505" fillId="5" borderId="3" xfId="0" applyFont="1" applyFill="1" applyBorder="1" applyAlignment="1">
      <alignment horizontal="center" vertical="top"/>
    </xf>
    <xf numFmtId="0" fontId="1506" fillId="5" borderId="3" xfId="0" applyFont="1" applyFill="1" applyBorder="1" applyAlignment="1">
      <alignment horizontal="center" vertical="top"/>
    </xf>
    <xf numFmtId="0" fontId="1507" fillId="5" borderId="3" xfId="0" applyFont="1" applyFill="1" applyBorder="1" applyAlignment="1">
      <alignment horizontal="center" vertical="top"/>
    </xf>
    <xf numFmtId="0" fontId="1508" fillId="5" borderId="3" xfId="0" applyFont="1" applyFill="1" applyBorder="1" applyAlignment="1">
      <alignment horizontal="center" vertical="top"/>
    </xf>
    <xf numFmtId="0" fontId="1509" fillId="5" borderId="3" xfId="0" applyFont="1" applyFill="1" applyBorder="1" applyAlignment="1">
      <alignment horizontal="center" vertical="top"/>
    </xf>
    <xf numFmtId="0" fontId="1510" fillId="5" borderId="3" xfId="0" applyFont="1" applyFill="1" applyBorder="1" applyAlignment="1">
      <alignment horizontal="center" vertical="top"/>
    </xf>
    <xf numFmtId="0" fontId="1511" fillId="5" borderId="3" xfId="0" applyFont="1" applyFill="1" applyBorder="1" applyAlignment="1">
      <alignment horizontal="center" vertical="top"/>
    </xf>
    <xf numFmtId="0" fontId="1512" fillId="5" borderId="3" xfId="0" applyFont="1" applyFill="1" applyBorder="1" applyAlignment="1">
      <alignment horizontal="center" vertical="top"/>
    </xf>
    <xf numFmtId="0" fontId="1513" fillId="5" borderId="3" xfId="0" applyFont="1" applyFill="1" applyBorder="1" applyAlignment="1">
      <alignment horizontal="center" vertical="top"/>
    </xf>
    <xf numFmtId="0" fontId="1514" fillId="5" borderId="3" xfId="0" applyFont="1" applyFill="1" applyBorder="1" applyAlignment="1">
      <alignment horizontal="left" vertical="top" wrapText="1"/>
    </xf>
    <xf numFmtId="0" fontId="1515" fillId="5" borderId="3" xfId="0" applyFont="1" applyFill="1" applyBorder="1" applyAlignment="1">
      <alignment horizontal="left" vertical="top" wrapText="1"/>
    </xf>
    <xf numFmtId="0" fontId="1516" fillId="5" borderId="3" xfId="0" applyFont="1" applyFill="1" applyBorder="1" applyAlignment="1">
      <alignment horizontal="left" vertical="top" wrapText="1"/>
    </xf>
    <xf numFmtId="49" fontId="0" fillId="0" borderId="0" xfId="0" applyNumberFormat="1"/>
    <xf numFmtId="0" fontId="1517" fillId="3" borderId="3" xfId="0" applyFont="1" applyFill="1" applyBorder="1" applyAlignment="1">
      <alignment horizontal="left" vertical="top" wrapText="1"/>
    </xf>
    <xf numFmtId="0" fontId="1520" fillId="4" borderId="3" xfId="0" applyFont="1" applyFill="1" applyBorder="1" applyAlignment="1">
      <alignment horizontal="center" vertical="top" wrapText="1"/>
    </xf>
    <xf numFmtId="0" fontId="1521" fillId="5" borderId="3" xfId="0" applyFont="1" applyFill="1" applyBorder="1" applyAlignment="1">
      <alignment horizontal="left" vertical="top" wrapText="1"/>
    </xf>
    <xf numFmtId="0" fontId="1522" fillId="5" borderId="3" xfId="0" applyFont="1" applyFill="1" applyBorder="1" applyAlignment="1">
      <alignment horizontal="left" vertical="top" wrapText="1"/>
    </xf>
    <xf numFmtId="0" fontId="1523" fillId="5" borderId="3" xfId="0" applyFont="1" applyFill="1" applyBorder="1" applyAlignment="1">
      <alignment horizontal="left" vertical="top" wrapText="1"/>
    </xf>
    <xf numFmtId="0" fontId="1524" fillId="5" borderId="3" xfId="0" applyFont="1" applyFill="1" applyBorder="1" applyAlignment="1">
      <alignment horizontal="left" vertical="top" wrapText="1"/>
    </xf>
    <xf numFmtId="0" fontId="1525" fillId="5" borderId="3" xfId="0" applyFont="1" applyFill="1" applyBorder="1" applyAlignment="1">
      <alignment horizontal="left" vertical="top" wrapText="1"/>
    </xf>
    <xf numFmtId="0" fontId="1526" fillId="5" borderId="3" xfId="0" applyFont="1" applyFill="1" applyBorder="1" applyAlignment="1">
      <alignment horizontal="left" vertical="top" wrapText="1"/>
    </xf>
    <xf numFmtId="0" fontId="1527" fillId="5" borderId="3" xfId="0" applyFont="1" applyFill="1" applyBorder="1" applyAlignment="1">
      <alignment horizontal="left" vertical="top" wrapText="1"/>
    </xf>
    <xf numFmtId="0" fontId="1528" fillId="5" borderId="3" xfId="0" applyFont="1" applyFill="1" applyBorder="1" applyAlignment="1">
      <alignment horizontal="left" vertical="top" wrapText="1"/>
    </xf>
    <xf numFmtId="0" fontId="1529" fillId="5" borderId="3" xfId="0" applyFont="1" applyFill="1" applyBorder="1" applyAlignment="1">
      <alignment horizontal="left" vertical="top" wrapText="1"/>
    </xf>
    <xf numFmtId="0" fontId="1530" fillId="5" borderId="3" xfId="0" applyFont="1" applyFill="1" applyBorder="1" applyAlignment="1">
      <alignment horizontal="left" vertical="top" wrapText="1"/>
    </xf>
    <xf numFmtId="0" fontId="1531" fillId="5" borderId="3" xfId="0" applyFont="1" applyFill="1" applyBorder="1" applyAlignment="1">
      <alignment horizontal="left" vertical="top" wrapText="1"/>
    </xf>
    <xf numFmtId="0" fontId="1532" fillId="5" borderId="3" xfId="0" applyFont="1" applyFill="1" applyBorder="1" applyAlignment="1">
      <alignment horizontal="left" vertical="top" wrapText="1"/>
    </xf>
    <xf numFmtId="0" fontId="1533" fillId="5" borderId="3" xfId="0" applyFont="1" applyFill="1" applyBorder="1" applyAlignment="1">
      <alignment horizontal="left" vertical="top" wrapText="1"/>
    </xf>
    <xf numFmtId="0" fontId="1534" fillId="5" borderId="3" xfId="0" applyFont="1" applyFill="1" applyBorder="1" applyAlignment="1">
      <alignment horizontal="left" vertical="top" wrapText="1"/>
    </xf>
    <xf numFmtId="0" fontId="1535" fillId="5" borderId="3" xfId="0" applyFont="1" applyFill="1" applyBorder="1" applyAlignment="1">
      <alignment horizontal="left" vertical="top" wrapText="1"/>
    </xf>
    <xf numFmtId="0" fontId="1536" fillId="5" borderId="3" xfId="0" applyFont="1" applyFill="1" applyBorder="1" applyAlignment="1">
      <alignment horizontal="left" vertical="top" wrapText="1"/>
    </xf>
    <xf numFmtId="0" fontId="1537" fillId="5" borderId="3" xfId="0" applyFont="1" applyFill="1" applyBorder="1" applyAlignment="1">
      <alignment horizontal="left" vertical="top" wrapText="1"/>
    </xf>
    <xf numFmtId="0" fontId="1538" fillId="5" borderId="3" xfId="0" applyFont="1" applyFill="1" applyBorder="1" applyAlignment="1">
      <alignment horizontal="left" vertical="top" wrapText="1"/>
    </xf>
    <xf numFmtId="0" fontId="1539" fillId="5" borderId="3" xfId="0" applyFont="1" applyFill="1" applyBorder="1" applyAlignment="1">
      <alignment horizontal="left" vertical="top" wrapText="1"/>
    </xf>
    <xf numFmtId="0" fontId="1540" fillId="5" borderId="3" xfId="0" applyFont="1" applyFill="1" applyBorder="1" applyAlignment="1">
      <alignment horizontal="left" vertical="top" wrapText="1"/>
    </xf>
    <xf numFmtId="0" fontId="1541" fillId="5" borderId="3" xfId="0" applyFont="1" applyFill="1" applyBorder="1" applyAlignment="1">
      <alignment horizontal="left" vertical="top" wrapText="1"/>
    </xf>
    <xf numFmtId="0" fontId="1542" fillId="5" borderId="3" xfId="0" applyFont="1" applyFill="1" applyBorder="1" applyAlignment="1">
      <alignment horizontal="left" vertical="top" wrapText="1"/>
    </xf>
    <xf numFmtId="0" fontId="1543" fillId="5" borderId="3" xfId="0" applyFont="1" applyFill="1" applyBorder="1" applyAlignment="1">
      <alignment horizontal="left" vertical="top" wrapText="1"/>
    </xf>
    <xf numFmtId="0" fontId="1544" fillId="5" borderId="3" xfId="0" applyFont="1" applyFill="1" applyBorder="1" applyAlignment="1">
      <alignment horizontal="left" vertical="top" wrapText="1"/>
    </xf>
    <xf numFmtId="0" fontId="1545" fillId="5" borderId="3" xfId="0" applyFont="1" applyFill="1" applyBorder="1" applyAlignment="1">
      <alignment horizontal="left" vertical="top" wrapText="1"/>
    </xf>
    <xf numFmtId="0" fontId="1546" fillId="5" borderId="3" xfId="0" applyFont="1" applyFill="1" applyBorder="1" applyAlignment="1">
      <alignment horizontal="left" vertical="top" wrapText="1"/>
    </xf>
    <xf numFmtId="0" fontId="1547" fillId="5" borderId="3" xfId="0" applyFont="1" applyFill="1" applyBorder="1" applyAlignment="1">
      <alignment horizontal="center" vertical="top"/>
    </xf>
    <xf numFmtId="0" fontId="1548" fillId="5" borderId="3" xfId="0" applyFont="1" applyFill="1" applyBorder="1" applyAlignment="1">
      <alignment horizontal="center" vertical="top"/>
    </xf>
    <xf numFmtId="0" fontId="1549" fillId="5" borderId="3" xfId="0" applyFont="1" applyFill="1" applyBorder="1" applyAlignment="1">
      <alignment horizontal="center" vertical="top"/>
    </xf>
    <xf numFmtId="0" fontId="1550" fillId="5" borderId="3" xfId="0" applyFont="1" applyFill="1" applyBorder="1" applyAlignment="1">
      <alignment horizontal="center" vertical="top"/>
    </xf>
    <xf numFmtId="0" fontId="1551" fillId="5" borderId="3" xfId="0" applyFont="1" applyFill="1" applyBorder="1" applyAlignment="1">
      <alignment vertical="top"/>
    </xf>
    <xf numFmtId="0" fontId="1552" fillId="5" borderId="3" xfId="0" applyFont="1" applyFill="1" applyBorder="1" applyAlignment="1">
      <alignment horizontal="center" vertical="top"/>
    </xf>
    <xf numFmtId="0" fontId="1553" fillId="5" borderId="3" xfId="0" applyFont="1" applyFill="1" applyBorder="1" applyAlignment="1">
      <alignment vertical="top"/>
    </xf>
    <xf numFmtId="0" fontId="1554" fillId="5" borderId="3" xfId="0" applyFont="1" applyFill="1" applyBorder="1" applyAlignment="1">
      <alignment vertical="top"/>
    </xf>
    <xf numFmtId="0" fontId="1555" fillId="5" borderId="3" xfId="0" applyFont="1" applyFill="1" applyBorder="1" applyAlignment="1">
      <alignment vertical="top"/>
    </xf>
    <xf numFmtId="0" fontId="1556" fillId="5" borderId="3" xfId="0" applyFont="1" applyFill="1" applyBorder="1" applyAlignment="1">
      <alignment horizontal="left" vertical="top" wrapText="1"/>
    </xf>
    <xf numFmtId="0" fontId="1557" fillId="5" borderId="3" xfId="0" applyFont="1" applyFill="1" applyBorder="1" applyAlignment="1">
      <alignment horizontal="left" vertical="top" wrapText="1"/>
    </xf>
    <xf numFmtId="0" fontId="1558" fillId="5" borderId="3" xfId="0" applyFont="1" applyFill="1" applyBorder="1" applyAlignment="1">
      <alignment horizontal="left" vertical="top" wrapText="1"/>
    </xf>
    <xf numFmtId="0" fontId="1559" fillId="5" borderId="3" xfId="0" applyFont="1" applyFill="1" applyBorder="1" applyAlignment="1">
      <alignment horizontal="left" vertical="top" wrapText="1"/>
    </xf>
    <xf numFmtId="0" fontId="1560" fillId="5" borderId="3" xfId="0" applyFont="1" applyFill="1" applyBorder="1" applyAlignment="1">
      <alignment horizontal="left" vertical="top" wrapText="1"/>
    </xf>
    <xf numFmtId="0" fontId="1561" fillId="5" borderId="3" xfId="0" applyFont="1" applyFill="1" applyBorder="1" applyAlignment="1">
      <alignment horizontal="center" vertical="top"/>
    </xf>
    <xf numFmtId="0" fontId="1562" fillId="5" borderId="3" xfId="0" applyFont="1" applyFill="1" applyBorder="1" applyAlignment="1">
      <alignment horizontal="center" vertical="top"/>
    </xf>
    <xf numFmtId="0" fontId="1563" fillId="5" borderId="3" xfId="0" applyFont="1" applyFill="1" applyBorder="1" applyAlignment="1">
      <alignment horizontal="center" vertical="top"/>
    </xf>
    <xf numFmtId="0" fontId="1564" fillId="5" borderId="3" xfId="0" applyFont="1" applyFill="1" applyBorder="1" applyAlignment="1">
      <alignment horizontal="center" vertical="top"/>
    </xf>
    <xf numFmtId="0" fontId="1565" fillId="5" borderId="3" xfId="0" applyFont="1" applyFill="1" applyBorder="1" applyAlignment="1">
      <alignment horizontal="center" vertical="top"/>
    </xf>
    <xf numFmtId="0" fontId="1566" fillId="5" borderId="3" xfId="0" applyFont="1" applyFill="1" applyBorder="1" applyAlignment="1">
      <alignment horizontal="center" vertical="top"/>
    </xf>
    <xf numFmtId="0" fontId="1567" fillId="5" borderId="3" xfId="0" applyFont="1" applyFill="1" applyBorder="1" applyAlignment="1">
      <alignment horizontal="center" vertical="top"/>
    </xf>
    <xf numFmtId="0" fontId="1568" fillId="5" borderId="3" xfId="0" applyFont="1" applyFill="1" applyBorder="1" applyAlignment="1">
      <alignment horizontal="center" vertical="top"/>
    </xf>
    <xf numFmtId="0" fontId="1569" fillId="5" borderId="3" xfId="0" applyFont="1" applyFill="1" applyBorder="1" applyAlignment="1">
      <alignment horizontal="left" vertical="top" wrapText="1"/>
    </xf>
    <xf numFmtId="0" fontId="1570" fillId="5" borderId="3" xfId="0" applyFont="1" applyFill="1" applyBorder="1" applyAlignment="1">
      <alignment horizontal="left" vertical="top" wrapText="1"/>
    </xf>
    <xf numFmtId="0" fontId="1571" fillId="5" borderId="3" xfId="0" applyFont="1" applyFill="1" applyBorder="1" applyAlignment="1">
      <alignment horizontal="left" vertical="top" wrapText="1"/>
    </xf>
    <xf numFmtId="0" fontId="1572" fillId="5" borderId="3" xfId="0" applyFont="1" applyFill="1" applyBorder="1" applyAlignment="1">
      <alignment horizontal="left" vertical="top" wrapText="1"/>
    </xf>
    <xf numFmtId="0" fontId="1573" fillId="5" borderId="3" xfId="0" applyFont="1" applyFill="1" applyBorder="1" applyAlignment="1">
      <alignment horizontal="center" vertical="top"/>
    </xf>
    <xf numFmtId="0" fontId="1574" fillId="5" borderId="3" xfId="0" applyFont="1" applyFill="1" applyBorder="1" applyAlignment="1">
      <alignment horizontal="center" vertical="top"/>
    </xf>
    <xf numFmtId="0" fontId="1575" fillId="5" borderId="3" xfId="0" applyFont="1" applyFill="1" applyBorder="1" applyAlignment="1">
      <alignment horizontal="left" vertical="top" wrapText="1"/>
    </xf>
    <xf numFmtId="0" fontId="1576" fillId="5" borderId="3" xfId="0" applyFont="1" applyFill="1" applyBorder="1" applyAlignment="1">
      <alignment horizontal="left" vertical="top" wrapText="1"/>
    </xf>
    <xf numFmtId="0" fontId="1577" fillId="5" borderId="3" xfId="0" applyFont="1" applyFill="1" applyBorder="1" applyAlignment="1">
      <alignment horizontal="left" vertical="top" wrapText="1"/>
    </xf>
    <xf numFmtId="0" fontId="1578" fillId="5" borderId="3" xfId="0" applyFont="1" applyFill="1" applyBorder="1" applyAlignment="1">
      <alignment horizontal="left" vertical="top" wrapText="1"/>
    </xf>
    <xf numFmtId="0" fontId="1579" fillId="5" borderId="3" xfId="0" applyFont="1" applyFill="1" applyBorder="1" applyAlignment="1">
      <alignment horizontal="left" vertical="top" wrapText="1"/>
    </xf>
    <xf numFmtId="0" fontId="1580" fillId="5" borderId="3" xfId="0" applyFont="1" applyFill="1" applyBorder="1" applyAlignment="1">
      <alignment horizontal="left" vertical="top" wrapText="1"/>
    </xf>
    <xf numFmtId="0" fontId="1581" fillId="5" borderId="3" xfId="0" applyFont="1" applyFill="1" applyBorder="1" applyAlignment="1">
      <alignment horizontal="left" vertical="top" wrapText="1"/>
    </xf>
    <xf numFmtId="0" fontId="1582" fillId="5" borderId="3" xfId="0" applyFont="1" applyFill="1" applyBorder="1" applyAlignment="1">
      <alignment horizontal="center" vertical="top"/>
    </xf>
    <xf numFmtId="0" fontId="1583" fillId="5" borderId="3" xfId="0" applyFont="1" applyFill="1" applyBorder="1" applyAlignment="1">
      <alignment horizontal="center" vertical="top"/>
    </xf>
    <xf numFmtId="0" fontId="1584" fillId="5" borderId="3" xfId="0" applyFont="1" applyFill="1" applyBorder="1" applyAlignment="1">
      <alignment horizontal="left" vertical="top" wrapText="1"/>
    </xf>
    <xf numFmtId="0" fontId="1585" fillId="5" borderId="3" xfId="0" applyFont="1" applyFill="1" applyBorder="1" applyAlignment="1">
      <alignment horizontal="left" vertical="top" wrapText="1"/>
    </xf>
    <xf numFmtId="0" fontId="1586" fillId="5" borderId="3" xfId="0" applyFont="1" applyFill="1" applyBorder="1" applyAlignment="1">
      <alignment horizontal="left" vertical="top" wrapText="1"/>
    </xf>
    <xf numFmtId="0" fontId="1587" fillId="5" borderId="3" xfId="0" applyFont="1" applyFill="1" applyBorder="1" applyAlignment="1">
      <alignment horizontal="left" vertical="top" wrapText="1"/>
    </xf>
    <xf numFmtId="0" fontId="1588" fillId="5" borderId="3" xfId="0" applyFont="1" applyFill="1" applyBorder="1" applyAlignment="1">
      <alignment horizontal="left" vertical="top" wrapText="1"/>
    </xf>
    <xf numFmtId="0" fontId="1589" fillId="5" borderId="3" xfId="0" applyFont="1" applyFill="1" applyBorder="1" applyAlignment="1">
      <alignment horizontal="left" vertical="top" wrapText="1"/>
    </xf>
    <xf numFmtId="0" fontId="1590" fillId="5" borderId="3" xfId="0" applyFont="1" applyFill="1" applyBorder="1" applyAlignment="1">
      <alignment horizontal="left" vertical="top" wrapText="1"/>
    </xf>
    <xf numFmtId="0" fontId="1591" fillId="5" borderId="3" xfId="0" applyFont="1" applyFill="1" applyBorder="1" applyAlignment="1">
      <alignment horizontal="left" vertical="top" wrapText="1"/>
    </xf>
    <xf numFmtId="0" fontId="1592" fillId="5" borderId="3" xfId="0" applyFont="1" applyFill="1" applyBorder="1" applyAlignment="1">
      <alignment horizontal="left" vertical="top" wrapText="1"/>
    </xf>
    <xf numFmtId="0" fontId="1593" fillId="5" borderId="3" xfId="0" applyFont="1" applyFill="1" applyBorder="1" applyAlignment="1">
      <alignment horizontal="left" vertical="top" wrapText="1"/>
    </xf>
    <xf numFmtId="0" fontId="1594" fillId="5" borderId="3" xfId="0" applyFont="1" applyFill="1" applyBorder="1" applyAlignment="1">
      <alignment horizontal="left" vertical="top" wrapText="1"/>
    </xf>
    <xf numFmtId="0" fontId="1595" fillId="5" borderId="3" xfId="0" applyFont="1" applyFill="1" applyBorder="1" applyAlignment="1">
      <alignment horizontal="center" vertical="top"/>
    </xf>
    <xf numFmtId="0" fontId="1596" fillId="5" borderId="3" xfId="0" applyFont="1" applyFill="1" applyBorder="1" applyAlignment="1">
      <alignment horizontal="left" vertical="top" wrapText="1"/>
    </xf>
    <xf numFmtId="0" fontId="1597" fillId="5" borderId="3" xfId="0" applyFont="1" applyFill="1" applyBorder="1" applyAlignment="1">
      <alignment horizontal="left" vertical="top" wrapText="1"/>
    </xf>
    <xf numFmtId="0" fontId="1598" fillId="5" borderId="3" xfId="0" applyFont="1" applyFill="1" applyBorder="1" applyAlignment="1">
      <alignment horizontal="left" vertical="top" wrapText="1"/>
    </xf>
    <xf numFmtId="0" fontId="1599" fillId="5" borderId="3" xfId="0" applyFont="1" applyFill="1" applyBorder="1" applyAlignment="1">
      <alignment horizontal="center" vertical="top"/>
    </xf>
    <xf numFmtId="0" fontId="1600" fillId="5" borderId="3" xfId="0" applyFont="1" applyFill="1" applyBorder="1" applyAlignment="1">
      <alignment horizontal="left" vertical="top" wrapText="1"/>
    </xf>
    <xf numFmtId="0" fontId="1601" fillId="5" borderId="3" xfId="0" applyFont="1" applyFill="1" applyBorder="1" applyAlignment="1">
      <alignment horizontal="left" vertical="top" wrapText="1"/>
    </xf>
    <xf numFmtId="0" fontId="1602" fillId="5" borderId="3" xfId="0" applyFont="1" applyFill="1" applyBorder="1" applyAlignment="1">
      <alignment horizontal="left" vertical="top" wrapText="1"/>
    </xf>
    <xf numFmtId="0" fontId="1603" fillId="5" borderId="3" xfId="0" applyFont="1" applyFill="1" applyBorder="1" applyAlignment="1">
      <alignment horizontal="left" vertical="top" wrapText="1"/>
    </xf>
    <xf numFmtId="0" fontId="1604" fillId="5" borderId="3" xfId="0" applyFont="1" applyFill="1" applyBorder="1" applyAlignment="1">
      <alignment horizontal="left" vertical="top" wrapText="1"/>
    </xf>
    <xf numFmtId="0" fontId="1605" fillId="5" borderId="3" xfId="0" applyFont="1" applyFill="1" applyBorder="1" applyAlignment="1">
      <alignment horizontal="left" vertical="top" wrapText="1"/>
    </xf>
    <xf numFmtId="0" fontId="1606" fillId="5" borderId="3" xfId="0" applyFont="1" applyFill="1" applyBorder="1" applyAlignment="1">
      <alignment horizontal="left" vertical="top" wrapText="1"/>
    </xf>
    <xf numFmtId="0" fontId="1607" fillId="5" borderId="3" xfId="0" applyFont="1" applyFill="1" applyBorder="1" applyAlignment="1">
      <alignment horizontal="left" vertical="top" wrapText="1"/>
    </xf>
    <xf numFmtId="0" fontId="1608" fillId="5" borderId="3" xfId="0" applyFont="1" applyFill="1" applyBorder="1" applyAlignment="1">
      <alignment horizontal="left" vertical="top" wrapText="1"/>
    </xf>
    <xf numFmtId="0" fontId="1609" fillId="5" borderId="3" xfId="0" applyFont="1" applyFill="1" applyBorder="1" applyAlignment="1">
      <alignment horizontal="left" vertical="top" wrapText="1"/>
    </xf>
    <xf numFmtId="0" fontId="1610" fillId="5" borderId="3" xfId="0" applyFont="1" applyFill="1" applyBorder="1" applyAlignment="1">
      <alignment horizontal="left" vertical="top" wrapText="1"/>
    </xf>
    <xf numFmtId="0" fontId="1611" fillId="5" borderId="3" xfId="0" applyFont="1" applyFill="1" applyBorder="1" applyAlignment="1">
      <alignment horizontal="left" vertical="top" wrapText="1"/>
    </xf>
    <xf numFmtId="0" fontId="1612" fillId="5" borderId="3" xfId="0" applyFont="1" applyFill="1" applyBorder="1" applyAlignment="1">
      <alignment horizontal="left" vertical="top" wrapText="1"/>
    </xf>
    <xf numFmtId="0" fontId="1613" fillId="5" borderId="3" xfId="0" applyFont="1" applyFill="1" applyBorder="1" applyAlignment="1">
      <alignment horizontal="left" vertical="top" wrapText="1"/>
    </xf>
    <xf numFmtId="0" fontId="1614" fillId="5" borderId="3" xfId="0" applyFont="1" applyFill="1" applyBorder="1" applyAlignment="1">
      <alignment horizontal="left" vertical="top" wrapText="1"/>
    </xf>
    <xf numFmtId="0" fontId="1615" fillId="5" borderId="3" xfId="0" applyFont="1" applyFill="1" applyBorder="1" applyAlignment="1">
      <alignment horizontal="left" vertical="top" wrapText="1"/>
    </xf>
    <xf numFmtId="0" fontId="1616" fillId="5" borderId="3" xfId="0" applyFont="1" applyFill="1" applyBorder="1" applyAlignment="1">
      <alignment horizontal="left" vertical="top" wrapText="1"/>
    </xf>
    <xf numFmtId="0" fontId="1617" fillId="5" borderId="3" xfId="0" applyFont="1" applyFill="1" applyBorder="1" applyAlignment="1">
      <alignment horizontal="left" vertical="top" wrapText="1"/>
    </xf>
    <xf numFmtId="0" fontId="1618" fillId="5" borderId="3" xfId="0" applyFont="1" applyFill="1" applyBorder="1" applyAlignment="1">
      <alignment horizontal="left" vertical="top" wrapText="1"/>
    </xf>
    <xf numFmtId="0" fontId="1619" fillId="5" borderId="3" xfId="0" applyFont="1" applyFill="1" applyBorder="1" applyAlignment="1">
      <alignment horizontal="left" vertical="top" wrapText="1"/>
    </xf>
    <xf numFmtId="0" fontId="1620" fillId="5" borderId="3" xfId="0" applyFont="1" applyFill="1" applyBorder="1" applyAlignment="1">
      <alignment horizontal="left" vertical="top" wrapText="1"/>
    </xf>
    <xf numFmtId="0" fontId="1621" fillId="5" borderId="3" xfId="0" applyFont="1" applyFill="1" applyBorder="1" applyAlignment="1">
      <alignment horizontal="left" vertical="top" wrapText="1"/>
    </xf>
    <xf numFmtId="0" fontId="1622" fillId="5" borderId="3" xfId="0" applyFont="1" applyFill="1" applyBorder="1" applyAlignment="1">
      <alignment horizontal="left" vertical="top" wrapText="1"/>
    </xf>
    <xf numFmtId="0" fontId="1623" fillId="5" borderId="3" xfId="0" applyFont="1" applyFill="1" applyBorder="1" applyAlignment="1">
      <alignment horizontal="left" vertical="top" wrapText="1"/>
    </xf>
    <xf numFmtId="0" fontId="1624" fillId="5" borderId="3" xfId="0" applyFont="1" applyFill="1" applyBorder="1" applyAlignment="1">
      <alignment horizontal="left" vertical="top" wrapText="1"/>
    </xf>
    <xf numFmtId="0" fontId="1625" fillId="5" borderId="3" xfId="0" applyFont="1" applyFill="1" applyBorder="1" applyAlignment="1">
      <alignment horizontal="left" vertical="top" wrapText="1"/>
    </xf>
    <xf numFmtId="0" fontId="1626" fillId="5" borderId="3" xfId="0" applyFont="1" applyFill="1" applyBorder="1" applyAlignment="1">
      <alignment horizontal="left" vertical="top" wrapText="1"/>
    </xf>
    <xf numFmtId="0" fontId="1627" fillId="5" borderId="3" xfId="0" applyFont="1" applyFill="1" applyBorder="1" applyAlignment="1">
      <alignment horizontal="left" vertical="top" wrapText="1"/>
    </xf>
    <xf numFmtId="0" fontId="1628" fillId="5" borderId="3" xfId="0" applyFont="1" applyFill="1" applyBorder="1" applyAlignment="1">
      <alignment horizontal="left" vertical="top" wrapText="1"/>
    </xf>
    <xf numFmtId="0" fontId="1629" fillId="5" borderId="3" xfId="0" applyFont="1" applyFill="1" applyBorder="1" applyAlignment="1">
      <alignment horizontal="left" vertical="top" wrapText="1"/>
    </xf>
    <xf numFmtId="0" fontId="1630" fillId="5" borderId="3" xfId="0" applyFont="1" applyFill="1" applyBorder="1" applyAlignment="1">
      <alignment horizontal="left" vertical="top" wrapText="1"/>
    </xf>
    <xf numFmtId="0" fontId="1631" fillId="5" borderId="3" xfId="0" applyFont="1" applyFill="1" applyBorder="1" applyAlignment="1">
      <alignment horizontal="left" vertical="top" wrapText="1"/>
    </xf>
    <xf numFmtId="0" fontId="1632" fillId="5" borderId="3" xfId="0" applyFont="1" applyFill="1" applyBorder="1" applyAlignment="1">
      <alignment horizontal="left" vertical="top" wrapText="1"/>
    </xf>
    <xf numFmtId="0" fontId="1633" fillId="5" borderId="3" xfId="0" applyFont="1" applyFill="1" applyBorder="1" applyAlignment="1">
      <alignment horizontal="left" vertical="top" wrapText="1"/>
    </xf>
    <xf numFmtId="0" fontId="1634" fillId="5" borderId="3" xfId="0" applyFont="1" applyFill="1" applyBorder="1" applyAlignment="1">
      <alignment horizontal="left" vertical="top" wrapText="1"/>
    </xf>
    <xf numFmtId="0" fontId="1635" fillId="5" borderId="3" xfId="0" applyFont="1" applyFill="1" applyBorder="1" applyAlignment="1">
      <alignment horizontal="left" vertical="top" wrapText="1"/>
    </xf>
    <xf numFmtId="0" fontId="1636" fillId="5" borderId="3" xfId="0" applyFont="1" applyFill="1" applyBorder="1" applyAlignment="1">
      <alignment horizontal="left" vertical="top" wrapText="1"/>
    </xf>
    <xf numFmtId="0" fontId="1637" fillId="5" borderId="3" xfId="0" applyFont="1" applyFill="1" applyBorder="1" applyAlignment="1">
      <alignment horizontal="left" vertical="top" wrapText="1"/>
    </xf>
    <xf numFmtId="0" fontId="1638" fillId="5" borderId="3" xfId="0" applyFont="1" applyFill="1" applyBorder="1" applyAlignment="1">
      <alignment horizontal="left" vertical="top" wrapText="1"/>
    </xf>
    <xf numFmtId="0" fontId="1639" fillId="5" borderId="3" xfId="0" applyFont="1" applyFill="1" applyBorder="1" applyAlignment="1">
      <alignment horizontal="left" vertical="top" wrapText="1"/>
    </xf>
    <xf numFmtId="0" fontId="1640" fillId="5" borderId="3" xfId="0" applyFont="1" applyFill="1" applyBorder="1" applyAlignment="1">
      <alignment horizontal="left" vertical="top" wrapText="1"/>
    </xf>
    <xf numFmtId="0" fontId="1641" fillId="5" borderId="3" xfId="0" applyFont="1" applyFill="1" applyBorder="1" applyAlignment="1">
      <alignment horizontal="left" vertical="top" wrapText="1"/>
    </xf>
    <xf numFmtId="0" fontId="1642" fillId="5" borderId="3" xfId="0" applyFont="1" applyFill="1" applyBorder="1" applyAlignment="1">
      <alignment horizontal="left" vertical="top" wrapText="1"/>
    </xf>
    <xf numFmtId="0" fontId="1643" fillId="5" borderId="3" xfId="0" applyFont="1" applyFill="1" applyBorder="1" applyAlignment="1">
      <alignment horizontal="left" vertical="top" wrapText="1"/>
    </xf>
    <xf numFmtId="0" fontId="1644" fillId="5" borderId="3" xfId="0" applyFont="1" applyFill="1" applyBorder="1" applyAlignment="1">
      <alignment horizontal="left" vertical="top" wrapText="1"/>
    </xf>
    <xf numFmtId="0" fontId="1645" fillId="5" borderId="3" xfId="0" applyFont="1" applyFill="1" applyBorder="1" applyAlignment="1">
      <alignment horizontal="left" vertical="top" wrapText="1"/>
    </xf>
    <xf numFmtId="0" fontId="1646" fillId="5" borderId="3" xfId="0" applyFont="1" applyFill="1" applyBorder="1" applyAlignment="1">
      <alignment horizontal="left" vertical="top" wrapText="1"/>
    </xf>
    <xf numFmtId="0" fontId="1647" fillId="5" borderId="3" xfId="0" applyFont="1" applyFill="1" applyBorder="1" applyAlignment="1">
      <alignment horizontal="left" vertical="top" wrapText="1"/>
    </xf>
    <xf numFmtId="0" fontId="1648" fillId="5" borderId="3" xfId="0" applyFont="1" applyFill="1" applyBorder="1" applyAlignment="1">
      <alignment horizontal="left" vertical="top" wrapText="1"/>
    </xf>
    <xf numFmtId="0" fontId="1649" fillId="5" borderId="3" xfId="0" applyFont="1" applyFill="1" applyBorder="1" applyAlignment="1">
      <alignment horizontal="left" vertical="top" wrapText="1"/>
    </xf>
    <xf numFmtId="0" fontId="1650" fillId="5" borderId="3" xfId="0" applyFont="1" applyFill="1" applyBorder="1" applyAlignment="1">
      <alignment horizontal="left" vertical="top" wrapText="1"/>
    </xf>
    <xf numFmtId="0" fontId="1651" fillId="5" borderId="3" xfId="0" applyFont="1" applyFill="1" applyBorder="1" applyAlignment="1">
      <alignment horizontal="left" vertical="top" wrapText="1"/>
    </xf>
    <xf numFmtId="0" fontId="1652" fillId="5" borderId="3" xfId="0" applyFont="1" applyFill="1" applyBorder="1" applyAlignment="1">
      <alignment horizontal="left" vertical="top" wrapText="1"/>
    </xf>
    <xf numFmtId="0" fontId="1653" fillId="5" borderId="3" xfId="0" applyFont="1" applyFill="1" applyBorder="1" applyAlignment="1">
      <alignment horizontal="left" vertical="top" wrapText="1"/>
    </xf>
    <xf numFmtId="0" fontId="1654" fillId="5" borderId="3" xfId="0" applyFont="1" applyFill="1" applyBorder="1" applyAlignment="1">
      <alignment horizontal="center" vertical="top"/>
    </xf>
    <xf numFmtId="0" fontId="1655" fillId="5" borderId="3" xfId="0" applyFont="1" applyFill="1" applyBorder="1" applyAlignment="1">
      <alignment horizontal="center" vertical="top"/>
    </xf>
    <xf numFmtId="0" fontId="1656" fillId="5" borderId="3" xfId="0" applyFont="1" applyFill="1" applyBorder="1" applyAlignment="1">
      <alignment horizontal="center" vertical="top"/>
    </xf>
    <xf numFmtId="0" fontId="1657" fillId="5" borderId="3" xfId="0" applyFont="1" applyFill="1" applyBorder="1" applyAlignment="1">
      <alignment horizontal="left" vertical="top" wrapText="1"/>
    </xf>
    <xf numFmtId="0" fontId="1658" fillId="5" borderId="3" xfId="0" applyFont="1" applyFill="1" applyBorder="1" applyAlignment="1">
      <alignment horizontal="left" vertical="top" wrapText="1"/>
    </xf>
    <xf numFmtId="0" fontId="1659" fillId="5" borderId="3" xfId="0" applyFont="1" applyFill="1" applyBorder="1" applyAlignment="1">
      <alignment horizontal="center" vertical="top"/>
    </xf>
    <xf numFmtId="0" fontId="1660" fillId="5" borderId="3" xfId="0" applyFont="1" applyFill="1" applyBorder="1" applyAlignment="1">
      <alignment horizontal="left" vertical="top" wrapText="1"/>
    </xf>
    <xf numFmtId="0" fontId="1661" fillId="5" borderId="3" xfId="0" applyFont="1" applyFill="1" applyBorder="1" applyAlignment="1">
      <alignment horizontal="left" vertical="top" wrapText="1"/>
    </xf>
    <xf numFmtId="0" fontId="1662" fillId="5" borderId="3" xfId="0" applyFont="1" applyFill="1" applyBorder="1" applyAlignment="1">
      <alignment horizontal="left" vertical="top" wrapText="1"/>
    </xf>
    <xf numFmtId="0" fontId="1663" fillId="5" borderId="3" xfId="0" applyFont="1" applyFill="1" applyBorder="1" applyAlignment="1">
      <alignment horizontal="left" vertical="top" wrapText="1"/>
    </xf>
    <xf numFmtId="0" fontId="1664" fillId="5" borderId="3" xfId="0" applyFont="1" applyFill="1" applyBorder="1" applyAlignment="1">
      <alignment horizontal="center" vertical="top"/>
    </xf>
    <xf numFmtId="0" fontId="1665" fillId="5" borderId="3" xfId="0" applyFont="1" applyFill="1" applyBorder="1" applyAlignment="1">
      <alignment horizontal="center" vertical="top"/>
    </xf>
    <xf numFmtId="0" fontId="1666" fillId="5" borderId="3" xfId="0" applyFont="1" applyFill="1" applyBorder="1" applyAlignment="1">
      <alignment horizontal="center" vertical="top"/>
    </xf>
    <xf numFmtId="0" fontId="1667" fillId="5" borderId="3" xfId="0" applyFont="1" applyFill="1" applyBorder="1" applyAlignment="1">
      <alignment horizontal="center" vertical="top"/>
    </xf>
    <xf numFmtId="0" fontId="1668" fillId="5" borderId="3" xfId="0" applyFont="1" applyFill="1" applyBorder="1" applyAlignment="1">
      <alignment horizontal="center" vertical="top"/>
    </xf>
    <xf numFmtId="0" fontId="1669" fillId="5" borderId="3" xfId="0" applyFont="1" applyFill="1" applyBorder="1" applyAlignment="1">
      <alignment horizontal="left" vertical="top" wrapText="1"/>
    </xf>
    <xf numFmtId="0" fontId="1670" fillId="5" borderId="3" xfId="0" applyFont="1" applyFill="1" applyBorder="1" applyAlignment="1">
      <alignment horizontal="left" vertical="top" wrapText="1"/>
    </xf>
    <xf numFmtId="0" fontId="1671" fillId="5" borderId="3" xfId="0" applyFont="1" applyFill="1" applyBorder="1" applyAlignment="1">
      <alignment horizontal="left" vertical="top" wrapText="1"/>
    </xf>
    <xf numFmtId="0" fontId="1672" fillId="5" borderId="3" xfId="0" applyFont="1" applyFill="1" applyBorder="1" applyAlignment="1">
      <alignment horizontal="left" vertical="top" wrapText="1"/>
    </xf>
    <xf numFmtId="0" fontId="1673" fillId="5" borderId="3" xfId="0" applyFont="1" applyFill="1" applyBorder="1" applyAlignment="1">
      <alignment horizontal="left" vertical="top" wrapText="1"/>
    </xf>
    <xf numFmtId="0" fontId="1674" fillId="5" borderId="3" xfId="0" applyFont="1" applyFill="1" applyBorder="1" applyAlignment="1">
      <alignment horizontal="left" vertical="top" wrapText="1"/>
    </xf>
    <xf numFmtId="0" fontId="1675" fillId="5" borderId="3" xfId="0" applyFont="1" applyFill="1" applyBorder="1" applyAlignment="1">
      <alignment horizontal="left" vertical="top" wrapText="1"/>
    </xf>
    <xf numFmtId="0" fontId="1676" fillId="5" borderId="3" xfId="0" applyFont="1" applyFill="1" applyBorder="1" applyAlignment="1">
      <alignment horizontal="left" vertical="top" wrapText="1"/>
    </xf>
    <xf numFmtId="0" fontId="1677" fillId="5" borderId="3" xfId="0" applyFont="1" applyFill="1" applyBorder="1" applyAlignment="1">
      <alignment horizontal="left" vertical="top" wrapText="1"/>
    </xf>
    <xf numFmtId="0" fontId="1678" fillId="5" borderId="3" xfId="0" applyFont="1" applyFill="1" applyBorder="1" applyAlignment="1">
      <alignment horizontal="center" vertical="top"/>
    </xf>
    <xf numFmtId="0" fontId="1679" fillId="5" borderId="3" xfId="0" applyFont="1" applyFill="1" applyBorder="1" applyAlignment="1">
      <alignment horizontal="center" vertical="top"/>
    </xf>
    <xf numFmtId="0" fontId="1680" fillId="5" borderId="3" xfId="0" applyFont="1" applyFill="1" applyBorder="1" applyAlignment="1">
      <alignment horizontal="center" vertical="top"/>
    </xf>
    <xf numFmtId="0" fontId="1681" fillId="5" borderId="3" xfId="0" applyFont="1" applyFill="1" applyBorder="1" applyAlignment="1">
      <alignment horizontal="center" vertical="top"/>
    </xf>
    <xf numFmtId="0" fontId="1682" fillId="5" borderId="3" xfId="0" applyFont="1" applyFill="1" applyBorder="1" applyAlignment="1">
      <alignment horizontal="center" vertical="top"/>
    </xf>
    <xf numFmtId="0" fontId="1683" fillId="5" borderId="3" xfId="0" applyFont="1" applyFill="1" applyBorder="1" applyAlignment="1">
      <alignment horizontal="center" vertical="top"/>
    </xf>
    <xf numFmtId="0" fontId="1684" fillId="5" borderId="3" xfId="0" applyFont="1" applyFill="1" applyBorder="1" applyAlignment="1">
      <alignment horizontal="center" vertical="top"/>
    </xf>
    <xf numFmtId="0" fontId="1685" fillId="5" borderId="3" xfId="0" applyFont="1" applyFill="1" applyBorder="1" applyAlignment="1">
      <alignment horizontal="center" vertical="top"/>
    </xf>
    <xf numFmtId="0" fontId="1686" fillId="5" borderId="3" xfId="0" applyFont="1" applyFill="1" applyBorder="1" applyAlignment="1">
      <alignment horizontal="center" vertical="top"/>
    </xf>
    <xf numFmtId="0" fontId="1687" fillId="5" borderId="3" xfId="0" applyFont="1" applyFill="1" applyBorder="1" applyAlignment="1">
      <alignment horizontal="center" vertical="top"/>
    </xf>
    <xf numFmtId="0" fontId="1688" fillId="5" borderId="3" xfId="0" applyFont="1" applyFill="1" applyBorder="1" applyAlignment="1">
      <alignment horizontal="left" vertical="top" wrapText="1"/>
    </xf>
    <xf numFmtId="0" fontId="1689" fillId="5" borderId="3" xfId="0" applyFont="1" applyFill="1" applyBorder="1" applyAlignment="1">
      <alignment horizontal="left" vertical="top" wrapText="1"/>
    </xf>
    <xf numFmtId="0" fontId="1690" fillId="5" borderId="3" xfId="0" applyFont="1" applyFill="1" applyBorder="1" applyAlignment="1">
      <alignment horizontal="left" vertical="top" wrapText="1"/>
    </xf>
    <xf numFmtId="0" fontId="1691" fillId="5" borderId="3" xfId="0" applyFont="1" applyFill="1" applyBorder="1" applyAlignment="1">
      <alignment horizontal="left" vertical="top" wrapText="1"/>
    </xf>
    <xf numFmtId="0" fontId="1692" fillId="5" borderId="3" xfId="0" applyFont="1" applyFill="1" applyBorder="1" applyAlignment="1">
      <alignment horizontal="left" vertical="top" wrapText="1"/>
    </xf>
    <xf numFmtId="0" fontId="1693" fillId="5" borderId="3" xfId="0" applyFont="1" applyFill="1" applyBorder="1" applyAlignment="1">
      <alignment horizontal="left" vertical="top" wrapText="1"/>
    </xf>
    <xf numFmtId="0" fontId="1694" fillId="5" borderId="3" xfId="0" applyFont="1" applyFill="1" applyBorder="1" applyAlignment="1">
      <alignment horizontal="left" vertical="top" wrapText="1"/>
    </xf>
    <xf numFmtId="0" fontId="1695" fillId="5" borderId="3" xfId="0" applyFont="1" applyFill="1" applyBorder="1" applyAlignment="1">
      <alignment horizontal="left" vertical="top" wrapText="1"/>
    </xf>
    <xf numFmtId="0" fontId="1696" fillId="5" borderId="3" xfId="0" applyFont="1" applyFill="1" applyBorder="1" applyAlignment="1">
      <alignment horizontal="left" vertical="top" wrapText="1"/>
    </xf>
    <xf numFmtId="0" fontId="1697" fillId="5" borderId="3" xfId="0" applyFont="1" applyFill="1" applyBorder="1" applyAlignment="1">
      <alignment horizontal="left" vertical="top" wrapText="1"/>
    </xf>
    <xf numFmtId="0" fontId="1698" fillId="5" borderId="3" xfId="0" applyFont="1" applyFill="1" applyBorder="1" applyAlignment="1">
      <alignment horizontal="left" vertical="top" wrapText="1"/>
    </xf>
    <xf numFmtId="0" fontId="1699" fillId="5" borderId="3" xfId="0" applyFont="1" applyFill="1" applyBorder="1" applyAlignment="1">
      <alignment horizontal="left" vertical="top" wrapText="1"/>
    </xf>
    <xf numFmtId="49" fontId="0" fillId="0" borderId="0" xfId="0" applyNumberFormat="1"/>
    <xf numFmtId="0" fontId="1700" fillId="3" borderId="3" xfId="0" applyFont="1" applyFill="1" applyBorder="1" applyAlignment="1">
      <alignment horizontal="left" vertical="top" wrapText="1"/>
    </xf>
    <xf numFmtId="0" fontId="1703" fillId="4" borderId="3" xfId="0" applyFont="1" applyFill="1" applyBorder="1" applyAlignment="1">
      <alignment horizontal="center" vertical="top" wrapText="1"/>
    </xf>
    <xf numFmtId="0" fontId="1704" fillId="5" borderId="3" xfId="0" applyFont="1" applyFill="1" applyBorder="1" applyAlignment="1">
      <alignment horizontal="left" vertical="top" wrapText="1"/>
    </xf>
    <xf numFmtId="0" fontId="1705" fillId="5" borderId="3" xfId="0" applyFont="1" applyFill="1" applyBorder="1" applyAlignment="1">
      <alignment horizontal="left" vertical="top" wrapText="1"/>
    </xf>
    <xf numFmtId="0" fontId="1706" fillId="5" borderId="3" xfId="0" applyFont="1" applyFill="1" applyBorder="1" applyAlignment="1">
      <alignment horizontal="left" vertical="top" wrapText="1"/>
    </xf>
    <xf numFmtId="0" fontId="1707" fillId="5" borderId="3" xfId="0" applyFont="1" applyFill="1" applyBorder="1" applyAlignment="1">
      <alignment horizontal="left" vertical="top" wrapText="1"/>
    </xf>
    <xf numFmtId="0" fontId="1708" fillId="5" borderId="3" xfId="0" applyFont="1" applyFill="1" applyBorder="1" applyAlignment="1">
      <alignment horizontal="left" vertical="top" wrapText="1"/>
    </xf>
    <xf numFmtId="0" fontId="1709" fillId="5" borderId="3" xfId="0" applyFont="1" applyFill="1" applyBorder="1" applyAlignment="1">
      <alignment horizontal="left" vertical="top" wrapText="1"/>
    </xf>
    <xf numFmtId="0" fontId="1710" fillId="5" borderId="3" xfId="0" applyFont="1" applyFill="1" applyBorder="1" applyAlignment="1">
      <alignment horizontal="left" vertical="top" wrapText="1"/>
    </xf>
    <xf numFmtId="0" fontId="1711" fillId="5" borderId="3" xfId="0" applyFont="1" applyFill="1" applyBorder="1" applyAlignment="1">
      <alignment horizontal="left" vertical="top" wrapText="1"/>
    </xf>
    <xf numFmtId="0" fontId="1712" fillId="5" borderId="3" xfId="0" applyFont="1" applyFill="1" applyBorder="1" applyAlignment="1">
      <alignment horizontal="left" vertical="top" wrapText="1"/>
    </xf>
    <xf numFmtId="0" fontId="1713" fillId="5" borderId="3" xfId="0" applyFont="1" applyFill="1" applyBorder="1" applyAlignment="1">
      <alignment horizontal="left" vertical="top" wrapText="1"/>
    </xf>
    <xf numFmtId="0" fontId="1714" fillId="5" borderId="3" xfId="0" applyFont="1" applyFill="1" applyBorder="1" applyAlignment="1">
      <alignment horizontal="left" vertical="top" wrapText="1"/>
    </xf>
    <xf numFmtId="0" fontId="1715" fillId="5" borderId="3" xfId="0" applyFont="1" applyFill="1" applyBorder="1" applyAlignment="1">
      <alignment horizontal="left" vertical="top" wrapText="1"/>
    </xf>
    <xf numFmtId="0" fontId="1716" fillId="5" borderId="3" xfId="0" applyFont="1" applyFill="1" applyBorder="1" applyAlignment="1">
      <alignment horizontal="left" vertical="top" wrapText="1"/>
    </xf>
    <xf numFmtId="0" fontId="1717" fillId="5" borderId="3" xfId="0" applyFont="1" applyFill="1" applyBorder="1" applyAlignment="1">
      <alignment horizontal="left" vertical="top" wrapText="1"/>
    </xf>
    <xf numFmtId="0" fontId="1718" fillId="5" borderId="3" xfId="0" applyFont="1" applyFill="1" applyBorder="1" applyAlignment="1">
      <alignment horizontal="left" vertical="top" wrapText="1"/>
    </xf>
    <xf numFmtId="0" fontId="1719" fillId="5" borderId="3" xfId="0" applyFont="1" applyFill="1" applyBorder="1" applyAlignment="1">
      <alignment horizontal="left" vertical="top" wrapText="1"/>
    </xf>
    <xf numFmtId="0" fontId="1720" fillId="5" borderId="3" xfId="0" applyFont="1" applyFill="1" applyBorder="1" applyAlignment="1">
      <alignment horizontal="left" vertical="top" wrapText="1"/>
    </xf>
    <xf numFmtId="0" fontId="1721" fillId="5" borderId="3" xfId="0" applyFont="1" applyFill="1" applyBorder="1" applyAlignment="1">
      <alignment horizontal="left" vertical="top" wrapText="1"/>
    </xf>
    <xf numFmtId="0" fontId="1722" fillId="5" borderId="3" xfId="0" applyFont="1" applyFill="1" applyBorder="1" applyAlignment="1">
      <alignment horizontal="left" vertical="top" wrapText="1"/>
    </xf>
    <xf numFmtId="0" fontId="1723" fillId="5" borderId="3" xfId="0" applyFont="1" applyFill="1" applyBorder="1" applyAlignment="1">
      <alignment horizontal="left" vertical="top" wrapText="1"/>
    </xf>
    <xf numFmtId="0" fontId="1724" fillId="5" borderId="3" xfId="0" applyFont="1" applyFill="1" applyBorder="1" applyAlignment="1">
      <alignment horizontal="left" vertical="top" wrapText="1"/>
    </xf>
    <xf numFmtId="0" fontId="1725" fillId="5" borderId="3" xfId="0" applyFont="1" applyFill="1" applyBorder="1" applyAlignment="1">
      <alignment horizontal="center" vertical="top"/>
    </xf>
    <xf numFmtId="0" fontId="1726" fillId="5" borderId="3" xfId="0" applyFont="1" applyFill="1" applyBorder="1" applyAlignment="1">
      <alignment horizontal="center" vertical="top"/>
    </xf>
    <xf numFmtId="0" fontId="1727" fillId="5" borderId="3" xfId="0" applyFont="1" applyFill="1" applyBorder="1" applyAlignment="1">
      <alignment horizontal="center" vertical="top"/>
    </xf>
    <xf numFmtId="0" fontId="1728" fillId="5" borderId="3" xfId="0" applyFont="1" applyFill="1" applyBorder="1" applyAlignment="1">
      <alignment horizontal="center" vertical="top"/>
    </xf>
    <xf numFmtId="0" fontId="1729" fillId="5" borderId="3" xfId="0" applyFont="1" applyFill="1" applyBorder="1" applyAlignment="1">
      <alignment horizontal="left" vertical="top" wrapText="1"/>
    </xf>
    <xf numFmtId="0" fontId="1730" fillId="5" borderId="3" xfId="0" applyFont="1" applyFill="1" applyBorder="1" applyAlignment="1">
      <alignment horizontal="left" vertical="top" wrapText="1"/>
    </xf>
    <xf numFmtId="0" fontId="1731" fillId="5" borderId="3" xfId="0" applyFont="1" applyFill="1" applyBorder="1" applyAlignment="1">
      <alignment horizontal="left" vertical="top" wrapText="1"/>
    </xf>
    <xf numFmtId="0" fontId="1732" fillId="5" borderId="3" xfId="0" applyFont="1" applyFill="1" applyBorder="1" applyAlignment="1">
      <alignment horizontal="left" vertical="top" wrapText="1"/>
    </xf>
    <xf numFmtId="0" fontId="1733" fillId="5" borderId="3" xfId="0" applyFont="1" applyFill="1" applyBorder="1" applyAlignment="1">
      <alignment horizontal="center" vertical="top"/>
    </xf>
    <xf numFmtId="0" fontId="1734" fillId="5" borderId="3" xfId="0" applyFont="1" applyFill="1" applyBorder="1" applyAlignment="1">
      <alignment horizontal="left" vertical="top" wrapText="1"/>
    </xf>
    <xf numFmtId="0" fontId="1735" fillId="5" borderId="3" xfId="0" applyFont="1" applyFill="1" applyBorder="1" applyAlignment="1">
      <alignment horizontal="left" vertical="top" wrapText="1"/>
    </xf>
    <xf numFmtId="0" fontId="1736" fillId="5" borderId="3" xfId="0" applyFont="1" applyFill="1" applyBorder="1" applyAlignment="1">
      <alignment horizontal="center" vertical="top"/>
    </xf>
    <xf numFmtId="0" fontId="1737" fillId="5" borderId="3" xfId="0" applyFont="1" applyFill="1" applyBorder="1" applyAlignment="1">
      <alignment horizontal="left" vertical="top" wrapText="1"/>
    </xf>
    <xf numFmtId="0" fontId="1738" fillId="5" borderId="3" xfId="0" applyFont="1" applyFill="1" applyBorder="1" applyAlignment="1">
      <alignment horizontal="center" vertical="top"/>
    </xf>
    <xf numFmtId="0" fontId="1739" fillId="5" borderId="3" xfId="0" applyFont="1" applyFill="1" applyBorder="1" applyAlignment="1">
      <alignment horizontal="center" vertical="top"/>
    </xf>
    <xf numFmtId="0" fontId="1740" fillId="5" borderId="3" xfId="0" applyFont="1" applyFill="1" applyBorder="1" applyAlignment="1">
      <alignment horizontal="center" vertical="top"/>
    </xf>
    <xf numFmtId="0" fontId="1741" fillId="5" borderId="3" xfId="0" applyFont="1" applyFill="1" applyBorder="1" applyAlignment="1">
      <alignment horizontal="center" vertical="top"/>
    </xf>
    <xf numFmtId="0" fontId="1742" fillId="5" borderId="3" xfId="0" applyFont="1" applyFill="1" applyBorder="1" applyAlignment="1">
      <alignment horizontal="center" vertical="top"/>
    </xf>
    <xf numFmtId="0" fontId="1743" fillId="5" borderId="3" xfId="0" applyFont="1" applyFill="1" applyBorder="1" applyAlignment="1">
      <alignment horizontal="center" vertical="top"/>
    </xf>
    <xf numFmtId="0" fontId="1744" fillId="5" borderId="3" xfId="0" applyFont="1" applyFill="1" applyBorder="1" applyAlignment="1">
      <alignment horizontal="center" vertical="top"/>
    </xf>
    <xf numFmtId="0" fontId="1745" fillId="5" borderId="3" xfId="0" applyFont="1" applyFill="1" applyBorder="1" applyAlignment="1">
      <alignment horizontal="left" vertical="top" wrapText="1"/>
    </xf>
    <xf numFmtId="0" fontId="1746" fillId="5" borderId="3" xfId="0" applyFont="1" applyFill="1" applyBorder="1" applyAlignment="1">
      <alignment horizontal="left" vertical="top" wrapText="1"/>
    </xf>
    <xf numFmtId="0" fontId="1747" fillId="5" borderId="3" xfId="0" applyFont="1" applyFill="1" applyBorder="1" applyAlignment="1">
      <alignment horizontal="left" vertical="top" wrapText="1"/>
    </xf>
    <xf numFmtId="0" fontId="1748" fillId="5" borderId="3" xfId="0" applyFont="1" applyFill="1" applyBorder="1" applyAlignment="1">
      <alignment horizontal="left" vertical="top" wrapText="1"/>
    </xf>
    <xf numFmtId="0" fontId="1749" fillId="5" borderId="3" xfId="0" applyFont="1" applyFill="1" applyBorder="1" applyAlignment="1">
      <alignment horizontal="left" vertical="top" wrapText="1"/>
    </xf>
    <xf numFmtId="0" fontId="1750" fillId="5" borderId="3" xfId="0" applyFont="1" applyFill="1" applyBorder="1" applyAlignment="1">
      <alignment horizontal="left" vertical="top" wrapText="1"/>
    </xf>
    <xf numFmtId="0" fontId="1751" fillId="5" borderId="3" xfId="0" applyFont="1" applyFill="1" applyBorder="1" applyAlignment="1">
      <alignment horizontal="left" vertical="top" wrapText="1"/>
    </xf>
    <xf numFmtId="0" fontId="1752" fillId="5" borderId="3" xfId="0" applyFont="1" applyFill="1" applyBorder="1" applyAlignment="1">
      <alignment horizontal="left" vertical="top" wrapText="1"/>
    </xf>
    <xf numFmtId="0" fontId="1753" fillId="5" borderId="3" xfId="0" applyFont="1" applyFill="1" applyBorder="1" applyAlignment="1">
      <alignment horizontal="left" vertical="top" wrapText="1"/>
    </xf>
    <xf numFmtId="0" fontId="1754" fillId="5" borderId="3" xfId="0" applyFont="1" applyFill="1" applyBorder="1" applyAlignment="1">
      <alignment horizontal="left" vertical="top" wrapText="1"/>
    </xf>
    <xf numFmtId="0" fontId="1755" fillId="5" borderId="3" xfId="0" applyFont="1" applyFill="1" applyBorder="1" applyAlignment="1">
      <alignment horizontal="left" vertical="top" wrapText="1"/>
    </xf>
    <xf numFmtId="0" fontId="1756" fillId="5" borderId="3" xfId="0" applyFont="1" applyFill="1" applyBorder="1" applyAlignment="1">
      <alignment horizontal="left" vertical="top" wrapText="1"/>
    </xf>
    <xf numFmtId="0" fontId="1757" fillId="5" borderId="3" xfId="0" applyFont="1" applyFill="1" applyBorder="1" applyAlignment="1">
      <alignment horizontal="left" vertical="top" wrapText="1"/>
    </xf>
    <xf numFmtId="0" fontId="1758" fillId="5" borderId="3" xfId="0" applyFont="1" applyFill="1" applyBorder="1" applyAlignment="1">
      <alignment horizontal="left" vertical="top" wrapText="1"/>
    </xf>
    <xf numFmtId="0" fontId="1759" fillId="5" borderId="3" xfId="0" applyFont="1" applyFill="1" applyBorder="1" applyAlignment="1">
      <alignment horizontal="left" vertical="top" wrapText="1"/>
    </xf>
    <xf numFmtId="0" fontId="1760" fillId="5" borderId="3" xfId="0" applyFont="1" applyFill="1" applyBorder="1" applyAlignment="1">
      <alignment horizontal="left" vertical="top" wrapText="1"/>
    </xf>
    <xf numFmtId="0" fontId="1761" fillId="5" borderId="3" xfId="0" applyFont="1" applyFill="1" applyBorder="1" applyAlignment="1">
      <alignment horizontal="left" vertical="top" wrapText="1"/>
    </xf>
    <xf numFmtId="0" fontId="1762" fillId="5" borderId="3" xfId="0" applyFont="1" applyFill="1" applyBorder="1" applyAlignment="1">
      <alignment horizontal="left" vertical="top" wrapText="1"/>
    </xf>
    <xf numFmtId="0" fontId="1763" fillId="5" borderId="3" xfId="0" applyFont="1" applyFill="1" applyBorder="1" applyAlignment="1">
      <alignment horizontal="left" vertical="top" wrapText="1"/>
    </xf>
    <xf numFmtId="0" fontId="1764" fillId="5" borderId="3" xfId="0" applyFont="1" applyFill="1" applyBorder="1" applyAlignment="1">
      <alignment horizontal="left" vertical="top" wrapText="1"/>
    </xf>
    <xf numFmtId="0" fontId="1765" fillId="5" borderId="3" xfId="0" applyFont="1" applyFill="1" applyBorder="1" applyAlignment="1">
      <alignment horizontal="left" vertical="top" wrapText="1"/>
    </xf>
    <xf numFmtId="0" fontId="1766" fillId="5" borderId="3" xfId="0" applyFont="1" applyFill="1" applyBorder="1" applyAlignment="1">
      <alignment horizontal="left" vertical="top" wrapText="1"/>
    </xf>
    <xf numFmtId="0" fontId="1767" fillId="5" borderId="3" xfId="0" applyFont="1" applyFill="1" applyBorder="1" applyAlignment="1">
      <alignment horizontal="left" vertical="top" wrapText="1"/>
    </xf>
    <xf numFmtId="0" fontId="1768" fillId="5" borderId="3" xfId="0" applyFont="1" applyFill="1" applyBorder="1" applyAlignment="1">
      <alignment horizontal="left" vertical="top" wrapText="1"/>
    </xf>
    <xf numFmtId="0" fontId="1769" fillId="5" borderId="3" xfId="0" applyFont="1" applyFill="1" applyBorder="1" applyAlignment="1">
      <alignment horizontal="left" vertical="top" wrapText="1"/>
    </xf>
    <xf numFmtId="0" fontId="1770" fillId="5" borderId="3" xfId="0" applyFont="1" applyFill="1" applyBorder="1" applyAlignment="1">
      <alignment horizontal="left" vertical="top" wrapText="1"/>
    </xf>
    <xf numFmtId="0" fontId="1771" fillId="5" borderId="3" xfId="0" applyFont="1" applyFill="1" applyBorder="1" applyAlignment="1">
      <alignment horizontal="left" vertical="top" wrapText="1"/>
    </xf>
    <xf numFmtId="0" fontId="1772" fillId="5" borderId="3" xfId="0" applyFont="1" applyFill="1" applyBorder="1" applyAlignment="1">
      <alignment horizontal="center" vertical="top"/>
    </xf>
    <xf numFmtId="0" fontId="1773" fillId="5" borderId="3" xfId="0" applyFont="1" applyFill="1" applyBorder="1" applyAlignment="1">
      <alignment horizontal="center" vertical="top"/>
    </xf>
    <xf numFmtId="0" fontId="1774" fillId="5" borderId="3" xfId="0" applyFont="1" applyFill="1" applyBorder="1" applyAlignment="1">
      <alignment horizontal="left" vertical="top" wrapText="1"/>
    </xf>
    <xf numFmtId="0" fontId="1775" fillId="5" borderId="3" xfId="0" applyFont="1" applyFill="1" applyBorder="1" applyAlignment="1">
      <alignment horizontal="left" vertical="top" wrapText="1"/>
    </xf>
    <xf numFmtId="0" fontId="1776" fillId="5" borderId="3" xfId="0" applyFont="1" applyFill="1" applyBorder="1" applyAlignment="1">
      <alignment horizontal="left" vertical="top" wrapText="1"/>
    </xf>
    <xf numFmtId="0" fontId="1777" fillId="5" borderId="3" xfId="0" applyFont="1" applyFill="1" applyBorder="1" applyAlignment="1">
      <alignment horizontal="left" vertical="top" wrapText="1"/>
    </xf>
    <xf numFmtId="0" fontId="1778" fillId="5" borderId="3" xfId="0" applyFont="1" applyFill="1" applyBorder="1" applyAlignment="1">
      <alignment horizontal="left" vertical="top" wrapText="1"/>
    </xf>
    <xf numFmtId="0" fontId="1779" fillId="5" borderId="3" xfId="0" applyFont="1" applyFill="1" applyBorder="1" applyAlignment="1">
      <alignment horizontal="left" vertical="top" wrapText="1"/>
    </xf>
    <xf numFmtId="0" fontId="1780" fillId="5" borderId="3" xfId="0" applyFont="1" applyFill="1" applyBorder="1" applyAlignment="1">
      <alignment horizontal="left" vertical="top" wrapText="1"/>
    </xf>
    <xf numFmtId="0" fontId="1781" fillId="5" borderId="3" xfId="0" applyFont="1" applyFill="1" applyBorder="1" applyAlignment="1">
      <alignment horizontal="left" vertical="top" wrapText="1"/>
    </xf>
    <xf numFmtId="0" fontId="1782" fillId="5" borderId="3" xfId="0" applyFont="1" applyFill="1" applyBorder="1" applyAlignment="1">
      <alignment horizontal="center" vertical="top"/>
    </xf>
    <xf numFmtId="0" fontId="1783" fillId="5" borderId="3" xfId="0" applyFont="1" applyFill="1" applyBorder="1" applyAlignment="1">
      <alignment horizontal="left" vertical="top" wrapText="1"/>
    </xf>
    <xf numFmtId="0" fontId="1784" fillId="5" borderId="3" xfId="0" applyFont="1" applyFill="1" applyBorder="1" applyAlignment="1">
      <alignment horizontal="left" vertical="top" wrapText="1"/>
    </xf>
    <xf numFmtId="0" fontId="1785" fillId="5" borderId="3" xfId="0" applyFont="1" applyFill="1" applyBorder="1" applyAlignment="1">
      <alignment horizontal="left" vertical="top" wrapText="1"/>
    </xf>
    <xf numFmtId="0" fontId="1786" fillId="5" borderId="3" xfId="0" applyFont="1" applyFill="1" applyBorder="1" applyAlignment="1">
      <alignment horizontal="center" vertical="top"/>
    </xf>
    <xf numFmtId="0" fontId="1787" fillId="5" borderId="3" xfId="0" applyFont="1" applyFill="1" applyBorder="1" applyAlignment="1">
      <alignment horizontal="center" vertical="top"/>
    </xf>
    <xf numFmtId="0" fontId="1788" fillId="5" borderId="3" xfId="0" applyFont="1" applyFill="1" applyBorder="1" applyAlignment="1">
      <alignment horizontal="center" vertical="top"/>
    </xf>
    <xf numFmtId="0" fontId="1789" fillId="5" borderId="3" xfId="0" applyFont="1" applyFill="1" applyBorder="1" applyAlignment="1">
      <alignment horizontal="center" vertical="top"/>
    </xf>
    <xf numFmtId="0" fontId="1790" fillId="5" borderId="3" xfId="0" applyFont="1" applyFill="1" applyBorder="1" applyAlignment="1">
      <alignment horizontal="center" vertical="top"/>
    </xf>
    <xf numFmtId="0" fontId="1791" fillId="5" borderId="3" xfId="0" applyFont="1" applyFill="1" applyBorder="1" applyAlignment="1">
      <alignment horizontal="center" vertical="top"/>
    </xf>
    <xf numFmtId="0" fontId="1792" fillId="5" borderId="3" xfId="0" applyFont="1" applyFill="1" applyBorder="1" applyAlignment="1">
      <alignment horizontal="center" vertical="top"/>
    </xf>
    <xf numFmtId="0" fontId="1793" fillId="5" borderId="3" xfId="0" applyFont="1" applyFill="1" applyBorder="1" applyAlignment="1">
      <alignment horizontal="center" vertical="top"/>
    </xf>
    <xf numFmtId="0" fontId="1794" fillId="5" borderId="3" xfId="0" applyFont="1" applyFill="1" applyBorder="1" applyAlignment="1">
      <alignment horizontal="left" vertical="top" wrapText="1"/>
    </xf>
    <xf numFmtId="0" fontId="1795" fillId="5" borderId="3" xfId="0" applyFont="1" applyFill="1" applyBorder="1" applyAlignment="1">
      <alignment horizontal="left" vertical="top" wrapText="1"/>
    </xf>
    <xf numFmtId="0" fontId="1796" fillId="5" borderId="3" xfId="0" applyFont="1" applyFill="1" applyBorder="1" applyAlignment="1">
      <alignment horizontal="left" vertical="top" wrapText="1"/>
    </xf>
    <xf numFmtId="0" fontId="1797" fillId="5" borderId="3" xfId="0" applyFont="1" applyFill="1" applyBorder="1" applyAlignment="1">
      <alignment horizontal="center" vertical="top"/>
    </xf>
    <xf numFmtId="0" fontId="1798" fillId="5" borderId="3" xfId="0" applyFont="1" applyFill="1" applyBorder="1" applyAlignment="1">
      <alignment horizontal="left" vertical="top" wrapText="1"/>
    </xf>
    <xf numFmtId="0" fontId="1799" fillId="5" borderId="3" xfId="0" applyFont="1" applyFill="1" applyBorder="1" applyAlignment="1">
      <alignment horizontal="left" vertical="top" wrapText="1"/>
    </xf>
    <xf numFmtId="0" fontId="1800" fillId="5" borderId="3" xfId="0" applyFont="1" applyFill="1" applyBorder="1" applyAlignment="1">
      <alignment horizontal="left" vertical="top" wrapText="1"/>
    </xf>
    <xf numFmtId="0" fontId="1801" fillId="5" borderId="3" xfId="0" applyFont="1" applyFill="1" applyBorder="1" applyAlignment="1">
      <alignment horizontal="center" vertical="top"/>
    </xf>
    <xf numFmtId="0" fontId="1802" fillId="5" borderId="3" xfId="0" applyFont="1" applyFill="1" applyBorder="1" applyAlignment="1">
      <alignment horizontal="left" vertical="top" wrapText="1"/>
    </xf>
    <xf numFmtId="0" fontId="1803" fillId="5" borderId="3" xfId="0" applyFont="1" applyFill="1" applyBorder="1" applyAlignment="1">
      <alignment horizontal="left" vertical="top" wrapText="1"/>
    </xf>
    <xf numFmtId="0" fontId="1804" fillId="5" borderId="3" xfId="0" applyFont="1" applyFill="1" applyBorder="1" applyAlignment="1">
      <alignment horizontal="left" vertical="top" wrapText="1"/>
    </xf>
    <xf numFmtId="0" fontId="1805" fillId="5" borderId="3" xfId="0" applyFont="1" applyFill="1" applyBorder="1" applyAlignment="1">
      <alignment horizontal="left" vertical="top" wrapText="1"/>
    </xf>
    <xf numFmtId="0" fontId="1806" fillId="5" borderId="3" xfId="0" applyFont="1" applyFill="1" applyBorder="1" applyAlignment="1">
      <alignment horizontal="left" vertical="top" wrapText="1"/>
    </xf>
    <xf numFmtId="0" fontId="1807" fillId="5" borderId="3" xfId="0" applyFont="1" applyFill="1" applyBorder="1" applyAlignment="1">
      <alignment horizontal="left" vertical="top" wrapText="1"/>
    </xf>
    <xf numFmtId="0" fontId="1808" fillId="5" borderId="3" xfId="0" applyFont="1" applyFill="1" applyBorder="1" applyAlignment="1">
      <alignment horizontal="left" vertical="top" wrapText="1"/>
    </xf>
    <xf numFmtId="0" fontId="1809" fillId="5" borderId="3" xfId="0" applyFont="1" applyFill="1" applyBorder="1" applyAlignment="1">
      <alignment horizontal="left" vertical="top" wrapText="1"/>
    </xf>
    <xf numFmtId="0" fontId="1810" fillId="5" borderId="3" xfId="0" applyFont="1" applyFill="1" applyBorder="1" applyAlignment="1">
      <alignment horizontal="left" vertical="top" wrapText="1"/>
    </xf>
    <xf numFmtId="0" fontId="1811" fillId="5" borderId="3" xfId="0" applyFont="1" applyFill="1" applyBorder="1" applyAlignment="1">
      <alignment horizontal="left" vertical="top" wrapText="1"/>
    </xf>
    <xf numFmtId="0" fontId="1812" fillId="5" borderId="3" xfId="0" applyFont="1" applyFill="1" applyBorder="1" applyAlignment="1">
      <alignment horizontal="left" vertical="top" wrapText="1"/>
    </xf>
    <xf numFmtId="0" fontId="1813" fillId="5" borderId="3" xfId="0" applyFont="1" applyFill="1" applyBorder="1" applyAlignment="1">
      <alignment horizontal="left" vertical="top" wrapText="1"/>
    </xf>
    <xf numFmtId="0" fontId="1814" fillId="5" borderId="3" xfId="0" applyFont="1" applyFill="1" applyBorder="1" applyAlignment="1">
      <alignment horizontal="left" vertical="top" wrapText="1"/>
    </xf>
    <xf numFmtId="0" fontId="1815" fillId="5" borderId="3" xfId="0" applyFont="1" applyFill="1" applyBorder="1" applyAlignment="1">
      <alignment horizontal="left" vertical="top" wrapText="1"/>
    </xf>
    <xf numFmtId="0" fontId="1816" fillId="5" borderId="3" xfId="0" applyFont="1" applyFill="1" applyBorder="1" applyAlignment="1">
      <alignment horizontal="left" vertical="top" wrapText="1"/>
    </xf>
    <xf numFmtId="0" fontId="1817" fillId="5" borderId="3" xfId="0" applyFont="1" applyFill="1" applyBorder="1" applyAlignment="1">
      <alignment horizontal="left" vertical="top" wrapText="1"/>
    </xf>
    <xf numFmtId="0" fontId="1818" fillId="5" borderId="3" xfId="0" applyFont="1" applyFill="1" applyBorder="1" applyAlignment="1">
      <alignment horizontal="left" vertical="top" wrapText="1"/>
    </xf>
    <xf numFmtId="0" fontId="1819" fillId="5" borderId="3" xfId="0" applyFont="1" applyFill="1" applyBorder="1" applyAlignment="1">
      <alignment horizontal="left" vertical="top" wrapText="1"/>
    </xf>
    <xf numFmtId="0" fontId="1820" fillId="5" borderId="3" xfId="0" applyFont="1" applyFill="1" applyBorder="1" applyAlignment="1">
      <alignment horizontal="left" vertical="top" wrapText="1"/>
    </xf>
    <xf numFmtId="0" fontId="1821" fillId="5" borderId="3" xfId="0" applyFont="1" applyFill="1" applyBorder="1" applyAlignment="1">
      <alignment horizontal="left" vertical="top" wrapText="1"/>
    </xf>
    <xf numFmtId="0" fontId="1822" fillId="5" borderId="3" xfId="0" applyFont="1" applyFill="1" applyBorder="1" applyAlignment="1">
      <alignment horizontal="left" vertical="top" wrapText="1"/>
    </xf>
    <xf numFmtId="0" fontId="1823" fillId="5" borderId="3" xfId="0" applyFont="1" applyFill="1" applyBorder="1" applyAlignment="1">
      <alignment horizontal="left" vertical="top" wrapText="1"/>
    </xf>
    <xf numFmtId="0" fontId="1824" fillId="5" borderId="3" xfId="0" applyFont="1" applyFill="1" applyBorder="1" applyAlignment="1">
      <alignment horizontal="left" vertical="top" wrapText="1"/>
    </xf>
    <xf numFmtId="0" fontId="1825" fillId="5" borderId="3" xfId="0" applyFont="1" applyFill="1" applyBorder="1" applyAlignment="1">
      <alignment horizontal="left" vertical="top" wrapText="1"/>
    </xf>
    <xf numFmtId="0" fontId="1826" fillId="5" borderId="3" xfId="0" applyFont="1" applyFill="1" applyBorder="1" applyAlignment="1">
      <alignment horizontal="left" vertical="top" wrapText="1"/>
    </xf>
    <xf numFmtId="0" fontId="1827" fillId="5" borderId="3" xfId="0" applyFont="1" applyFill="1" applyBorder="1" applyAlignment="1">
      <alignment horizontal="left" vertical="top" wrapText="1"/>
    </xf>
    <xf numFmtId="0" fontId="1828" fillId="5" borderId="3" xfId="0" applyFont="1" applyFill="1" applyBorder="1" applyAlignment="1">
      <alignment horizontal="left" vertical="top" wrapText="1"/>
    </xf>
    <xf numFmtId="0" fontId="1829" fillId="5" borderId="3" xfId="0" applyFont="1" applyFill="1" applyBorder="1" applyAlignment="1">
      <alignment horizontal="left" vertical="top" wrapText="1"/>
    </xf>
    <xf numFmtId="0" fontId="1830" fillId="5" borderId="3" xfId="0" applyFont="1" applyFill="1" applyBorder="1" applyAlignment="1">
      <alignment horizontal="left" vertical="top" wrapText="1"/>
    </xf>
    <xf numFmtId="0" fontId="1831" fillId="5" borderId="3" xfId="0" applyFont="1" applyFill="1" applyBorder="1" applyAlignment="1">
      <alignment horizontal="left" vertical="top" wrapText="1"/>
    </xf>
    <xf numFmtId="0" fontId="1832" fillId="5" borderId="3" xfId="0" applyFont="1" applyFill="1" applyBorder="1" applyAlignment="1">
      <alignment horizontal="left" vertical="top" wrapText="1"/>
    </xf>
    <xf numFmtId="0" fontId="1833" fillId="5" borderId="3" xfId="0" applyFont="1" applyFill="1" applyBorder="1" applyAlignment="1">
      <alignment horizontal="left" vertical="top" wrapText="1"/>
    </xf>
    <xf numFmtId="0" fontId="1834" fillId="5" borderId="3" xfId="0" applyFont="1" applyFill="1" applyBorder="1" applyAlignment="1">
      <alignment horizontal="left" vertical="top" wrapText="1"/>
    </xf>
    <xf numFmtId="0" fontId="1835" fillId="5" borderId="3" xfId="0" applyFont="1" applyFill="1" applyBorder="1" applyAlignment="1">
      <alignment horizontal="left" vertical="top" wrapText="1"/>
    </xf>
    <xf numFmtId="0" fontId="1836" fillId="5" borderId="3" xfId="0" applyFont="1" applyFill="1" applyBorder="1" applyAlignment="1">
      <alignment horizontal="left" vertical="top" wrapText="1"/>
    </xf>
    <xf numFmtId="0" fontId="1837" fillId="5" borderId="3" xfId="0" applyFont="1" applyFill="1" applyBorder="1" applyAlignment="1">
      <alignment horizontal="left" vertical="top" wrapText="1"/>
    </xf>
    <xf numFmtId="0" fontId="1838" fillId="5" borderId="3" xfId="0" applyFont="1" applyFill="1" applyBorder="1" applyAlignment="1">
      <alignment horizontal="left" vertical="top" wrapText="1"/>
    </xf>
    <xf numFmtId="0" fontId="1839" fillId="5" borderId="3" xfId="0" applyFont="1" applyFill="1" applyBorder="1" applyAlignment="1">
      <alignment horizontal="left" vertical="top" wrapText="1"/>
    </xf>
    <xf numFmtId="0" fontId="1840" fillId="5" borderId="3" xfId="0" applyFont="1" applyFill="1" applyBorder="1" applyAlignment="1">
      <alignment horizontal="left" vertical="top" wrapText="1"/>
    </xf>
    <xf numFmtId="0" fontId="1841" fillId="5" borderId="3" xfId="0" applyFont="1" applyFill="1" applyBorder="1" applyAlignment="1">
      <alignment horizontal="left" vertical="top" wrapText="1"/>
    </xf>
    <xf numFmtId="0" fontId="1842" fillId="5" borderId="3" xfId="0" applyFont="1" applyFill="1" applyBorder="1" applyAlignment="1">
      <alignment horizontal="left" vertical="top" wrapText="1"/>
    </xf>
    <xf numFmtId="0" fontId="1843" fillId="5" borderId="3" xfId="0" applyFont="1" applyFill="1" applyBorder="1" applyAlignment="1">
      <alignment horizontal="left" vertical="top" wrapText="1"/>
    </xf>
    <xf numFmtId="0" fontId="1844" fillId="5" borderId="3" xfId="0" applyFont="1" applyFill="1" applyBorder="1" applyAlignment="1">
      <alignment horizontal="left" vertical="top" wrapText="1"/>
    </xf>
    <xf numFmtId="0" fontId="1845" fillId="5" borderId="3" xfId="0" applyFont="1" applyFill="1" applyBorder="1" applyAlignment="1">
      <alignment horizontal="center" vertical="top"/>
    </xf>
    <xf numFmtId="0" fontId="1846" fillId="5" borderId="3" xfId="0" applyFont="1" applyFill="1" applyBorder="1" applyAlignment="1">
      <alignment horizontal="center" vertical="top"/>
    </xf>
    <xf numFmtId="0" fontId="1847" fillId="5" borderId="3" xfId="0" applyFont="1" applyFill="1" applyBorder="1" applyAlignment="1">
      <alignment horizontal="center" vertical="top"/>
    </xf>
    <xf numFmtId="0" fontId="1848" fillId="5" borderId="3" xfId="0" applyFont="1" applyFill="1" applyBorder="1" applyAlignment="1">
      <alignment horizontal="left" vertical="top" wrapText="1"/>
    </xf>
    <xf numFmtId="0" fontId="1849" fillId="5" borderId="3" xfId="0" applyFont="1" applyFill="1" applyBorder="1" applyAlignment="1">
      <alignment horizontal="left" vertical="top" wrapText="1"/>
    </xf>
    <xf numFmtId="0" fontId="1850" fillId="5" borderId="3" xfId="0" applyFont="1" applyFill="1" applyBorder="1" applyAlignment="1">
      <alignment horizontal="left" vertical="top" wrapText="1"/>
    </xf>
    <xf numFmtId="0" fontId="1851" fillId="5" borderId="3" xfId="0" applyFont="1" applyFill="1" applyBorder="1" applyAlignment="1">
      <alignment horizontal="center" vertical="top"/>
    </xf>
    <xf numFmtId="0" fontId="1852" fillId="5" borderId="3" xfId="0" applyFont="1" applyFill="1" applyBorder="1" applyAlignment="1">
      <alignment horizontal="center" vertical="top"/>
    </xf>
    <xf numFmtId="0" fontId="1853" fillId="5" borderId="3" xfId="0" applyFont="1" applyFill="1" applyBorder="1" applyAlignment="1">
      <alignment horizontal="center" vertical="top"/>
    </xf>
    <xf numFmtId="0" fontId="1854" fillId="5" borderId="3" xfId="0" applyFont="1" applyFill="1" applyBorder="1" applyAlignment="1">
      <alignment horizontal="left" vertical="top" wrapText="1"/>
    </xf>
    <xf numFmtId="0" fontId="1855" fillId="5" borderId="3" xfId="0" applyFont="1" applyFill="1" applyBorder="1" applyAlignment="1">
      <alignment horizontal="left" vertical="top" wrapText="1"/>
    </xf>
    <xf numFmtId="0" fontId="1856" fillId="5" borderId="3" xfId="0" applyFont="1" applyFill="1" applyBorder="1" applyAlignment="1">
      <alignment horizontal="left" vertical="top" wrapText="1"/>
    </xf>
    <xf numFmtId="0" fontId="1857" fillId="5" borderId="3" xfId="0" applyFont="1" applyFill="1" applyBorder="1" applyAlignment="1">
      <alignment horizontal="left" vertical="top" wrapText="1"/>
    </xf>
    <xf numFmtId="0" fontId="1858" fillId="5" borderId="3" xfId="0" applyFont="1" applyFill="1" applyBorder="1" applyAlignment="1">
      <alignment horizontal="left" vertical="top" wrapText="1"/>
    </xf>
    <xf numFmtId="0" fontId="1859" fillId="5" borderId="3" xfId="0" applyFont="1" applyFill="1" applyBorder="1" applyAlignment="1">
      <alignment horizontal="left" vertical="top" wrapText="1"/>
    </xf>
    <xf numFmtId="0" fontId="1860" fillId="5" borderId="3" xfId="0" applyFont="1" applyFill="1" applyBorder="1" applyAlignment="1">
      <alignment horizontal="left" vertical="top" wrapText="1"/>
    </xf>
    <xf numFmtId="0" fontId="1861" fillId="5" borderId="3" xfId="0" applyFont="1" applyFill="1" applyBorder="1" applyAlignment="1">
      <alignment horizontal="left" vertical="top" wrapText="1"/>
    </xf>
    <xf numFmtId="0" fontId="1862" fillId="5" borderId="3" xfId="0" applyFont="1" applyFill="1" applyBorder="1" applyAlignment="1">
      <alignment horizontal="left" vertical="top" wrapText="1"/>
    </xf>
    <xf numFmtId="0" fontId="1863" fillId="5" borderId="3" xfId="0" applyFont="1" applyFill="1" applyBorder="1" applyAlignment="1">
      <alignment horizontal="left" vertical="top" wrapText="1"/>
    </xf>
    <xf numFmtId="0" fontId="1864" fillId="5" borderId="3" xfId="0" applyFont="1" applyFill="1" applyBorder="1" applyAlignment="1">
      <alignment horizontal="left" vertical="top" wrapText="1"/>
    </xf>
    <xf numFmtId="0" fontId="1865" fillId="5" borderId="3" xfId="0" applyFont="1" applyFill="1" applyBorder="1" applyAlignment="1">
      <alignment horizontal="left" vertical="top" wrapText="1"/>
    </xf>
    <xf numFmtId="0" fontId="1866" fillId="5" borderId="3" xfId="0" applyFont="1" applyFill="1" applyBorder="1" applyAlignment="1">
      <alignment horizontal="left" vertical="top" wrapText="1"/>
    </xf>
    <xf numFmtId="0" fontId="1867" fillId="5" borderId="3" xfId="0" applyFont="1" applyFill="1" applyBorder="1" applyAlignment="1">
      <alignment horizontal="left" vertical="top" wrapText="1"/>
    </xf>
    <xf numFmtId="0" fontId="1868" fillId="5" borderId="3" xfId="0" applyFont="1" applyFill="1" applyBorder="1" applyAlignment="1">
      <alignment horizontal="left" vertical="top" wrapText="1"/>
    </xf>
    <xf numFmtId="0" fontId="1869" fillId="5" borderId="3" xfId="0" applyFont="1" applyFill="1" applyBorder="1" applyAlignment="1">
      <alignment horizontal="left" vertical="top" wrapText="1"/>
    </xf>
    <xf numFmtId="0" fontId="1870" fillId="5" borderId="3" xfId="0" applyFont="1" applyFill="1" applyBorder="1" applyAlignment="1">
      <alignment horizontal="left" vertical="top" wrapText="1"/>
    </xf>
    <xf numFmtId="0" fontId="1871" fillId="5" borderId="3" xfId="0" applyFont="1" applyFill="1" applyBorder="1" applyAlignment="1">
      <alignment horizontal="left" vertical="top" wrapText="1"/>
    </xf>
    <xf numFmtId="0" fontId="1872" fillId="5" borderId="3" xfId="0" applyFont="1" applyFill="1" applyBorder="1" applyAlignment="1">
      <alignment horizontal="left" vertical="top" wrapText="1"/>
    </xf>
    <xf numFmtId="0" fontId="1873" fillId="5" borderId="3" xfId="0" applyFont="1" applyFill="1" applyBorder="1" applyAlignment="1">
      <alignment horizontal="left" vertical="top" wrapText="1"/>
    </xf>
    <xf numFmtId="0" fontId="1874" fillId="5" borderId="3" xfId="0" applyFont="1" applyFill="1" applyBorder="1" applyAlignment="1">
      <alignment horizontal="left" vertical="top" wrapText="1"/>
    </xf>
    <xf numFmtId="0" fontId="1875" fillId="5" borderId="3" xfId="0" applyFont="1" applyFill="1" applyBorder="1" applyAlignment="1">
      <alignment horizontal="center" vertical="top"/>
    </xf>
    <xf numFmtId="0" fontId="1876" fillId="5" borderId="3" xfId="0" applyFont="1" applyFill="1" applyBorder="1" applyAlignment="1">
      <alignment horizontal="left" vertical="top" wrapText="1"/>
    </xf>
    <xf numFmtId="0" fontId="1877" fillId="5" borderId="3" xfId="0" applyFont="1" applyFill="1" applyBorder="1" applyAlignment="1">
      <alignment horizontal="left" vertical="top" wrapText="1"/>
    </xf>
    <xf numFmtId="0" fontId="1878" fillId="5" borderId="3" xfId="0" applyFont="1" applyFill="1" applyBorder="1" applyAlignment="1">
      <alignment horizontal="left" vertical="top" wrapText="1"/>
    </xf>
    <xf numFmtId="0" fontId="1879" fillId="5" borderId="3" xfId="0" applyFont="1" applyFill="1" applyBorder="1" applyAlignment="1">
      <alignment horizontal="left" vertical="top" wrapText="1"/>
    </xf>
    <xf numFmtId="0" fontId="1880" fillId="5" borderId="3" xfId="0" applyFont="1" applyFill="1" applyBorder="1" applyAlignment="1">
      <alignment horizontal="left" vertical="top" wrapText="1"/>
    </xf>
    <xf numFmtId="0" fontId="1881" fillId="5" borderId="3" xfId="0" applyFont="1" applyFill="1" applyBorder="1" applyAlignment="1">
      <alignment horizontal="left" vertical="top" wrapText="1"/>
    </xf>
    <xf numFmtId="0" fontId="1882" fillId="5" borderId="3" xfId="0" applyFont="1" applyFill="1" applyBorder="1" applyAlignment="1">
      <alignment horizontal="left" vertical="top" wrapText="1"/>
    </xf>
    <xf numFmtId="0" fontId="1883" fillId="5" borderId="3" xfId="0" applyFont="1" applyFill="1" applyBorder="1" applyAlignment="1">
      <alignment horizontal="left" vertical="top" wrapText="1"/>
    </xf>
    <xf numFmtId="0" fontId="1884" fillId="5" borderId="3" xfId="0" applyFont="1" applyFill="1" applyBorder="1" applyAlignment="1">
      <alignment horizontal="left" vertical="top" wrapText="1"/>
    </xf>
    <xf numFmtId="0" fontId="1885" fillId="5" borderId="3" xfId="0" applyFont="1" applyFill="1" applyBorder="1" applyAlignment="1">
      <alignment horizontal="left" vertical="top" wrapText="1"/>
    </xf>
    <xf numFmtId="0" fontId="1886" fillId="5" borderId="3" xfId="0" applyFont="1" applyFill="1" applyBorder="1" applyAlignment="1">
      <alignment horizontal="left" vertical="top" wrapText="1"/>
    </xf>
    <xf numFmtId="0" fontId="1887" fillId="5" borderId="3" xfId="0" applyFont="1" applyFill="1" applyBorder="1" applyAlignment="1">
      <alignment horizontal="left" vertical="top" wrapText="1"/>
    </xf>
    <xf numFmtId="0" fontId="1888" fillId="5" borderId="3" xfId="0" applyFont="1" applyFill="1" applyBorder="1" applyAlignment="1">
      <alignment horizontal="left" vertical="top" wrapText="1"/>
    </xf>
    <xf numFmtId="0" fontId="1889" fillId="5" borderId="3" xfId="0" applyFont="1" applyFill="1" applyBorder="1" applyAlignment="1">
      <alignment horizontal="left" vertical="top" wrapText="1"/>
    </xf>
    <xf numFmtId="0" fontId="1890" fillId="5" borderId="3" xfId="0" applyFont="1" applyFill="1" applyBorder="1" applyAlignment="1">
      <alignment horizontal="left" vertical="top" wrapText="1"/>
    </xf>
    <xf numFmtId="0" fontId="1891" fillId="5" borderId="3" xfId="0" applyFont="1" applyFill="1" applyBorder="1" applyAlignment="1">
      <alignment horizontal="left" vertical="top" wrapText="1"/>
    </xf>
    <xf numFmtId="0" fontId="1892" fillId="5" borderId="3" xfId="0" applyFont="1" applyFill="1" applyBorder="1" applyAlignment="1">
      <alignment horizontal="left" vertical="top" wrapText="1"/>
    </xf>
    <xf numFmtId="0" fontId="1893" fillId="5" borderId="3" xfId="0" applyFont="1" applyFill="1" applyBorder="1" applyAlignment="1">
      <alignment horizontal="left" vertical="top" wrapText="1"/>
    </xf>
    <xf numFmtId="0" fontId="1894" fillId="5" borderId="3" xfId="0" applyFont="1" applyFill="1" applyBorder="1" applyAlignment="1">
      <alignment horizontal="left" vertical="top" wrapText="1"/>
    </xf>
    <xf numFmtId="0" fontId="1895" fillId="5" borderId="3" xfId="0" applyFont="1" applyFill="1" applyBorder="1" applyAlignment="1">
      <alignment horizontal="left" vertical="top" wrapText="1"/>
    </xf>
    <xf numFmtId="0" fontId="1896" fillId="5" borderId="3" xfId="0" applyFont="1" applyFill="1" applyBorder="1" applyAlignment="1">
      <alignment horizontal="left" vertical="top" wrapText="1"/>
    </xf>
    <xf numFmtId="0" fontId="1897" fillId="5" borderId="3" xfId="0" applyFont="1" applyFill="1" applyBorder="1" applyAlignment="1">
      <alignment horizontal="left" vertical="top" wrapText="1"/>
    </xf>
    <xf numFmtId="0" fontId="1898" fillId="5" borderId="3" xfId="0" applyFont="1" applyFill="1" applyBorder="1" applyAlignment="1">
      <alignment horizontal="left" vertical="top" wrapText="1"/>
    </xf>
    <xf numFmtId="0" fontId="1899" fillId="5" borderId="3" xfId="0" applyFont="1" applyFill="1" applyBorder="1" applyAlignment="1">
      <alignment horizontal="left" vertical="top" wrapText="1"/>
    </xf>
    <xf numFmtId="0" fontId="1900" fillId="5" borderId="3" xfId="0" applyFont="1" applyFill="1" applyBorder="1" applyAlignment="1">
      <alignment horizontal="center" vertical="top"/>
    </xf>
    <xf numFmtId="0" fontId="1901" fillId="5" borderId="3" xfId="0" applyFont="1" applyFill="1" applyBorder="1" applyAlignment="1">
      <alignment horizontal="center" vertical="top"/>
    </xf>
    <xf numFmtId="0" fontId="1902" fillId="5" borderId="3" xfId="0" applyFont="1" applyFill="1" applyBorder="1" applyAlignment="1">
      <alignment horizontal="left" vertical="top" wrapText="1"/>
    </xf>
    <xf numFmtId="0" fontId="1903" fillId="5" borderId="3" xfId="0" applyFont="1" applyFill="1" applyBorder="1" applyAlignment="1">
      <alignment horizontal="center" vertical="top"/>
    </xf>
    <xf numFmtId="0" fontId="1904" fillId="5" borderId="3" xfId="0" applyFont="1" applyFill="1" applyBorder="1" applyAlignment="1">
      <alignment horizontal="center" vertical="top"/>
    </xf>
    <xf numFmtId="0" fontId="1905" fillId="5" borderId="3" xfId="0" applyFont="1" applyFill="1" applyBorder="1" applyAlignment="1">
      <alignment horizontal="center" vertical="top"/>
    </xf>
    <xf numFmtId="0" fontId="1906" fillId="5" borderId="3" xfId="0" applyFont="1" applyFill="1" applyBorder="1" applyAlignment="1">
      <alignment horizontal="center" vertical="top"/>
    </xf>
    <xf numFmtId="0" fontId="1907" fillId="5" borderId="3" xfId="0" applyFont="1" applyFill="1" applyBorder="1" applyAlignment="1">
      <alignment horizontal="center" vertical="top"/>
    </xf>
    <xf numFmtId="0" fontId="1908" fillId="5" borderId="3" xfId="0" applyFont="1" applyFill="1" applyBorder="1" applyAlignment="1">
      <alignment horizontal="left" vertical="top" wrapText="1"/>
    </xf>
    <xf numFmtId="0" fontId="1909" fillId="5" borderId="3" xfId="0" applyFont="1" applyFill="1" applyBorder="1" applyAlignment="1">
      <alignment horizontal="left" vertical="top" wrapText="1"/>
    </xf>
    <xf numFmtId="0" fontId="1910" fillId="5" borderId="3" xfId="0" applyFont="1" applyFill="1" applyBorder="1" applyAlignment="1">
      <alignment horizontal="left" vertical="top" wrapText="1"/>
    </xf>
    <xf numFmtId="0" fontId="1911" fillId="5" borderId="3" xfId="0" applyFont="1" applyFill="1" applyBorder="1" applyAlignment="1">
      <alignment horizontal="left" vertical="top" wrapText="1"/>
    </xf>
    <xf numFmtId="0" fontId="1912" fillId="5" borderId="3" xfId="0" applyFont="1" applyFill="1" applyBorder="1" applyAlignment="1">
      <alignment horizontal="left" vertical="top" wrapText="1"/>
    </xf>
    <xf numFmtId="0" fontId="1913" fillId="5" borderId="3" xfId="0" applyFont="1" applyFill="1" applyBorder="1" applyAlignment="1">
      <alignment horizontal="left" vertical="top" wrapText="1"/>
    </xf>
    <xf numFmtId="0" fontId="1914" fillId="5" borderId="3" xfId="0" applyFont="1" applyFill="1" applyBorder="1" applyAlignment="1">
      <alignment horizontal="left" vertical="top" wrapText="1"/>
    </xf>
    <xf numFmtId="0" fontId="1915" fillId="5" borderId="3" xfId="0" applyFont="1" applyFill="1" applyBorder="1" applyAlignment="1">
      <alignment horizontal="left" vertical="top" wrapText="1"/>
    </xf>
    <xf numFmtId="0" fontId="1916" fillId="5" borderId="3" xfId="0" applyFont="1" applyFill="1" applyBorder="1" applyAlignment="1">
      <alignment horizontal="left" vertical="top" wrapText="1"/>
    </xf>
    <xf numFmtId="0" fontId="1917" fillId="5" borderId="3" xfId="0" applyFont="1" applyFill="1" applyBorder="1" applyAlignment="1">
      <alignment horizontal="left" vertical="top" wrapText="1"/>
    </xf>
    <xf numFmtId="0" fontId="1918" fillId="5" borderId="3" xfId="0" applyFont="1" applyFill="1" applyBorder="1" applyAlignment="1">
      <alignment horizontal="left" vertical="top" wrapText="1"/>
    </xf>
    <xf numFmtId="0" fontId="1919" fillId="5" borderId="3" xfId="0" applyFont="1" applyFill="1" applyBorder="1" applyAlignment="1">
      <alignment horizontal="left" vertical="top" wrapText="1"/>
    </xf>
    <xf numFmtId="0" fontId="1920" fillId="5" borderId="3" xfId="0" applyFont="1" applyFill="1" applyBorder="1" applyAlignment="1">
      <alignment horizontal="left" vertical="top" wrapText="1"/>
    </xf>
    <xf numFmtId="0" fontId="1921" fillId="5" borderId="3" xfId="0" applyFont="1" applyFill="1" applyBorder="1" applyAlignment="1">
      <alignment horizontal="left" vertical="top" wrapText="1"/>
    </xf>
    <xf numFmtId="0" fontId="1922" fillId="5" borderId="3" xfId="0" applyFont="1" applyFill="1" applyBorder="1" applyAlignment="1">
      <alignment horizontal="left" vertical="top" wrapText="1"/>
    </xf>
    <xf numFmtId="0" fontId="1923" fillId="5" borderId="3" xfId="0" applyFont="1" applyFill="1" applyBorder="1" applyAlignment="1">
      <alignment horizontal="left" vertical="top" wrapText="1"/>
    </xf>
    <xf numFmtId="0" fontId="1924" fillId="5" borderId="3" xfId="0" applyFont="1" applyFill="1" applyBorder="1" applyAlignment="1">
      <alignment horizontal="left" vertical="top" wrapText="1"/>
    </xf>
    <xf numFmtId="0" fontId="1925" fillId="5" borderId="3" xfId="0" applyFont="1" applyFill="1" applyBorder="1" applyAlignment="1">
      <alignment horizontal="left" vertical="top" wrapText="1"/>
    </xf>
    <xf numFmtId="0" fontId="1926" fillId="5" borderId="3" xfId="0" applyFont="1" applyFill="1" applyBorder="1" applyAlignment="1">
      <alignment horizontal="left" vertical="top" wrapText="1"/>
    </xf>
    <xf numFmtId="0" fontId="1927" fillId="5" borderId="3" xfId="0" applyFont="1" applyFill="1" applyBorder="1" applyAlignment="1">
      <alignment horizontal="left" vertical="top" wrapText="1"/>
    </xf>
    <xf numFmtId="0" fontId="1928" fillId="5" borderId="3" xfId="0" applyFont="1" applyFill="1" applyBorder="1" applyAlignment="1">
      <alignment horizontal="left" vertical="top" wrapText="1"/>
    </xf>
    <xf numFmtId="0" fontId="1929" fillId="5" borderId="3" xfId="0" applyFont="1" applyFill="1" applyBorder="1" applyAlignment="1">
      <alignment horizontal="left" vertical="top" wrapText="1"/>
    </xf>
    <xf numFmtId="0" fontId="1930" fillId="5" borderId="3" xfId="0" applyFont="1" applyFill="1" applyBorder="1" applyAlignment="1">
      <alignment horizontal="left" vertical="top" wrapText="1"/>
    </xf>
    <xf numFmtId="0" fontId="1931" fillId="5" borderId="3" xfId="0" applyFont="1" applyFill="1" applyBorder="1" applyAlignment="1">
      <alignment horizontal="left" vertical="top" wrapText="1"/>
    </xf>
    <xf numFmtId="0" fontId="1932" fillId="5" borderId="3" xfId="0" applyFont="1" applyFill="1" applyBorder="1" applyAlignment="1">
      <alignment horizontal="left" vertical="top" wrapText="1"/>
    </xf>
    <xf numFmtId="0" fontId="1933" fillId="5" borderId="3" xfId="0" applyFont="1" applyFill="1" applyBorder="1" applyAlignment="1">
      <alignment horizontal="left" vertical="top" wrapText="1"/>
    </xf>
    <xf numFmtId="0" fontId="1934" fillId="5" borderId="3" xfId="0" applyFont="1" applyFill="1" applyBorder="1" applyAlignment="1">
      <alignment horizontal="left" vertical="top" wrapText="1"/>
    </xf>
    <xf numFmtId="0" fontId="1935" fillId="5" borderId="3" xfId="0" applyFont="1" applyFill="1" applyBorder="1" applyAlignment="1">
      <alignment horizontal="left" vertical="top" wrapText="1"/>
    </xf>
    <xf numFmtId="0" fontId="1936" fillId="5" borderId="3" xfId="0" applyFont="1" applyFill="1" applyBorder="1" applyAlignment="1">
      <alignment horizontal="left" vertical="top" wrapText="1"/>
    </xf>
    <xf numFmtId="0" fontId="1937" fillId="5" borderId="3" xfId="0" applyFont="1" applyFill="1" applyBorder="1" applyAlignment="1">
      <alignment horizontal="left" vertical="top" wrapText="1"/>
    </xf>
    <xf numFmtId="0" fontId="1938" fillId="5" borderId="3" xfId="0" applyFont="1" applyFill="1" applyBorder="1" applyAlignment="1">
      <alignment horizontal="left" vertical="top" wrapText="1"/>
    </xf>
    <xf numFmtId="0" fontId="1939" fillId="5" borderId="3" xfId="0" applyFont="1" applyFill="1" applyBorder="1" applyAlignment="1">
      <alignment horizontal="left" vertical="top" wrapText="1"/>
    </xf>
    <xf numFmtId="0" fontId="1940" fillId="5" borderId="3" xfId="0" applyFont="1" applyFill="1" applyBorder="1" applyAlignment="1">
      <alignment horizontal="left" vertical="top" wrapText="1"/>
    </xf>
    <xf numFmtId="0" fontId="1941" fillId="5" borderId="3" xfId="0" applyFont="1" applyFill="1" applyBorder="1" applyAlignment="1">
      <alignment horizontal="left" vertical="top" wrapText="1"/>
    </xf>
    <xf numFmtId="0" fontId="1942" fillId="5" borderId="3" xfId="0" applyFont="1" applyFill="1" applyBorder="1" applyAlignment="1">
      <alignment horizontal="left" vertical="top" wrapText="1"/>
    </xf>
    <xf numFmtId="0" fontId="1943" fillId="5" borderId="3" xfId="0" applyFont="1" applyFill="1" applyBorder="1" applyAlignment="1">
      <alignment horizontal="left" vertical="top" wrapText="1"/>
    </xf>
    <xf numFmtId="0" fontId="1944" fillId="5" borderId="3" xfId="0" applyFont="1" applyFill="1" applyBorder="1" applyAlignment="1">
      <alignment horizontal="left" vertical="top" wrapText="1"/>
    </xf>
    <xf numFmtId="0" fontId="1945" fillId="5" borderId="3" xfId="0" applyFont="1" applyFill="1" applyBorder="1" applyAlignment="1">
      <alignment horizontal="left" vertical="top" wrapText="1"/>
    </xf>
    <xf numFmtId="0" fontId="1946" fillId="5" borderId="3" xfId="0" applyFont="1" applyFill="1" applyBorder="1" applyAlignment="1">
      <alignment horizontal="left" vertical="top" wrapText="1"/>
    </xf>
    <xf numFmtId="0" fontId="1947" fillId="5" borderId="3" xfId="0" applyFont="1" applyFill="1" applyBorder="1" applyAlignment="1">
      <alignment horizontal="left" vertical="top" wrapText="1"/>
    </xf>
    <xf numFmtId="0" fontId="1948" fillId="5" borderId="3" xfId="0" applyFont="1" applyFill="1" applyBorder="1" applyAlignment="1">
      <alignment horizontal="left" vertical="top" wrapText="1"/>
    </xf>
    <xf numFmtId="0" fontId="1949" fillId="5" borderId="3" xfId="0" applyFont="1" applyFill="1" applyBorder="1" applyAlignment="1">
      <alignment horizontal="left" vertical="top" wrapText="1"/>
    </xf>
    <xf numFmtId="0" fontId="1950" fillId="5" borderId="3" xfId="0" applyFont="1" applyFill="1" applyBorder="1" applyAlignment="1">
      <alignment horizontal="left" vertical="top" wrapText="1"/>
    </xf>
    <xf numFmtId="0" fontId="1951" fillId="5" borderId="3" xfId="0" applyFont="1" applyFill="1" applyBorder="1" applyAlignment="1">
      <alignment horizontal="left" vertical="top" wrapText="1"/>
    </xf>
    <xf numFmtId="0" fontId="1952" fillId="5" borderId="3" xfId="0" applyFont="1" applyFill="1" applyBorder="1" applyAlignment="1">
      <alignment horizontal="center" vertical="top"/>
    </xf>
    <xf numFmtId="0" fontId="1953" fillId="5" borderId="3" xfId="0" applyFont="1" applyFill="1" applyBorder="1" applyAlignment="1">
      <alignment horizontal="left" vertical="top" wrapText="1"/>
    </xf>
    <xf numFmtId="0" fontId="1954" fillId="5" borderId="3" xfId="0" applyFont="1" applyFill="1" applyBorder="1" applyAlignment="1">
      <alignment horizontal="left" vertical="top" wrapText="1"/>
    </xf>
    <xf numFmtId="0" fontId="1955" fillId="5" borderId="3" xfId="0" applyFont="1" applyFill="1" applyBorder="1" applyAlignment="1">
      <alignment horizontal="left" vertical="top" wrapText="1"/>
    </xf>
    <xf numFmtId="0" fontId="1956" fillId="5" borderId="3" xfId="0" applyFont="1" applyFill="1" applyBorder="1" applyAlignment="1">
      <alignment horizontal="left" vertical="top" wrapText="1"/>
    </xf>
    <xf numFmtId="0" fontId="1957" fillId="5" borderId="3" xfId="0" applyFont="1" applyFill="1" applyBorder="1" applyAlignment="1">
      <alignment horizontal="left" vertical="top" wrapText="1"/>
    </xf>
    <xf numFmtId="0" fontId="1958" fillId="5" borderId="3" xfId="0" applyFont="1" applyFill="1" applyBorder="1" applyAlignment="1">
      <alignment horizontal="left" vertical="top" wrapText="1"/>
    </xf>
    <xf numFmtId="0" fontId="1959" fillId="5" borderId="3" xfId="0" applyFont="1" applyFill="1" applyBorder="1" applyAlignment="1">
      <alignment horizontal="left" vertical="top" wrapText="1"/>
    </xf>
    <xf numFmtId="0" fontId="1960" fillId="5" borderId="3" xfId="0" applyFont="1" applyFill="1" applyBorder="1" applyAlignment="1">
      <alignment horizontal="left" vertical="top" wrapText="1"/>
    </xf>
    <xf numFmtId="0" fontId="1961" fillId="5" borderId="3" xfId="0" applyFont="1" applyFill="1" applyBorder="1" applyAlignment="1">
      <alignment horizontal="left" vertical="top" wrapText="1"/>
    </xf>
    <xf numFmtId="0" fontId="1962" fillId="5" borderId="3" xfId="0" applyFont="1" applyFill="1" applyBorder="1" applyAlignment="1">
      <alignment horizontal="left" vertical="top" wrapText="1"/>
    </xf>
    <xf numFmtId="0" fontId="1963" fillId="5" borderId="3" xfId="0" applyFont="1" applyFill="1" applyBorder="1" applyAlignment="1">
      <alignment horizontal="left" vertical="top" wrapText="1"/>
    </xf>
    <xf numFmtId="0" fontId="1964" fillId="5" borderId="3" xfId="0" applyFont="1" applyFill="1" applyBorder="1" applyAlignment="1">
      <alignment horizontal="left" vertical="top" wrapText="1"/>
    </xf>
    <xf numFmtId="0" fontId="1965" fillId="5" borderId="3" xfId="0" applyFont="1" applyFill="1" applyBorder="1" applyAlignment="1">
      <alignment horizontal="left" vertical="top" wrapText="1"/>
    </xf>
    <xf numFmtId="0" fontId="1966" fillId="5" borderId="3" xfId="0" applyFont="1" applyFill="1" applyBorder="1" applyAlignment="1">
      <alignment horizontal="left" vertical="top" wrapText="1"/>
    </xf>
    <xf numFmtId="0" fontId="1967" fillId="5" borderId="3" xfId="0" applyFont="1" applyFill="1" applyBorder="1" applyAlignment="1">
      <alignment horizontal="center" vertical="top"/>
    </xf>
    <xf numFmtId="0" fontId="1968" fillId="5" borderId="3" xfId="0" applyFont="1" applyFill="1" applyBorder="1" applyAlignment="1">
      <alignment horizontal="left" vertical="top" wrapText="1"/>
    </xf>
    <xf numFmtId="0" fontId="1969" fillId="5" borderId="3" xfId="0" applyFont="1" applyFill="1" applyBorder="1" applyAlignment="1">
      <alignment horizontal="left" vertical="top" wrapText="1"/>
    </xf>
    <xf numFmtId="0" fontId="1970" fillId="5" borderId="3" xfId="0" applyFont="1" applyFill="1" applyBorder="1" applyAlignment="1">
      <alignment horizontal="left" vertical="top" wrapText="1"/>
    </xf>
    <xf numFmtId="0" fontId="1971" fillId="5" borderId="3" xfId="0" applyFont="1" applyFill="1" applyBorder="1" applyAlignment="1">
      <alignment horizontal="center" vertical="top"/>
    </xf>
    <xf numFmtId="0" fontId="1972" fillId="5" borderId="3" xfId="0" applyFont="1" applyFill="1" applyBorder="1" applyAlignment="1">
      <alignment horizontal="center" vertical="top"/>
    </xf>
    <xf numFmtId="0" fontId="1973" fillId="5" borderId="3" xfId="0" applyFont="1" applyFill="1" applyBorder="1" applyAlignment="1">
      <alignment horizontal="center" vertical="top"/>
    </xf>
    <xf numFmtId="0" fontId="1974" fillId="5" borderId="3" xfId="0" applyFont="1" applyFill="1" applyBorder="1" applyAlignment="1">
      <alignment horizontal="center" vertical="top"/>
    </xf>
    <xf numFmtId="0" fontId="1975" fillId="5" borderId="3" xfId="0" applyFont="1" applyFill="1" applyBorder="1" applyAlignment="1">
      <alignment horizontal="left" vertical="top" wrapText="1"/>
    </xf>
    <xf numFmtId="0" fontId="1976" fillId="5" borderId="3" xfId="0" applyFont="1" applyFill="1" applyBorder="1" applyAlignment="1">
      <alignment horizontal="left" vertical="top" wrapText="1"/>
    </xf>
    <xf numFmtId="0" fontId="1977" fillId="5" borderId="3" xfId="0" applyFont="1" applyFill="1" applyBorder="1" applyAlignment="1">
      <alignment horizontal="left" vertical="top" wrapText="1"/>
    </xf>
    <xf numFmtId="0" fontId="1978" fillId="5" borderId="3" xfId="0" applyFont="1" applyFill="1" applyBorder="1" applyAlignment="1">
      <alignment horizontal="left" vertical="top" wrapText="1"/>
    </xf>
    <xf numFmtId="0" fontId="1979" fillId="5" borderId="3" xfId="0" applyFont="1" applyFill="1" applyBorder="1" applyAlignment="1">
      <alignment horizontal="left" vertical="top" wrapText="1"/>
    </xf>
    <xf numFmtId="0" fontId="1980" fillId="5" borderId="3" xfId="0" applyFont="1" applyFill="1" applyBorder="1" applyAlignment="1">
      <alignment horizontal="left" vertical="top" wrapText="1"/>
    </xf>
    <xf numFmtId="0" fontId="1981" fillId="5" borderId="3" xfId="0" applyFont="1" applyFill="1" applyBorder="1" applyAlignment="1">
      <alignment horizontal="left" vertical="top" wrapText="1"/>
    </xf>
    <xf numFmtId="0" fontId="1982" fillId="5" borderId="3" xfId="0" applyFont="1" applyFill="1" applyBorder="1" applyAlignment="1">
      <alignment horizontal="center" vertical="top"/>
    </xf>
    <xf numFmtId="0" fontId="1983" fillId="5" borderId="3" xfId="0" applyFont="1" applyFill="1" applyBorder="1" applyAlignment="1">
      <alignment horizontal="center" vertical="top"/>
    </xf>
    <xf numFmtId="0" fontId="1984" fillId="5" borderId="3" xfId="0" applyFont="1" applyFill="1" applyBorder="1" applyAlignment="1">
      <alignment horizontal="left" vertical="top" wrapText="1"/>
    </xf>
    <xf numFmtId="0" fontId="1985" fillId="5" borderId="3" xfId="0" applyFont="1" applyFill="1" applyBorder="1" applyAlignment="1">
      <alignment horizontal="left" vertical="top" wrapText="1"/>
    </xf>
    <xf numFmtId="0" fontId="1986" fillId="5" borderId="3" xfId="0" applyFont="1" applyFill="1" applyBorder="1" applyAlignment="1">
      <alignment horizontal="left" vertical="top" wrapText="1"/>
    </xf>
    <xf numFmtId="0" fontId="1987" fillId="5" borderId="3" xfId="0" applyFont="1" applyFill="1" applyBorder="1" applyAlignment="1">
      <alignment horizontal="left" vertical="top" wrapText="1"/>
    </xf>
    <xf numFmtId="0" fontId="1988" fillId="5" borderId="3" xfId="0" applyFont="1" applyFill="1" applyBorder="1" applyAlignment="1">
      <alignment horizontal="left" vertical="top" wrapText="1"/>
    </xf>
    <xf numFmtId="0" fontId="1989" fillId="5" borderId="3" xfId="0" applyFont="1" applyFill="1" applyBorder="1" applyAlignment="1">
      <alignment horizontal="left" vertical="top" wrapText="1"/>
    </xf>
    <xf numFmtId="0" fontId="1990" fillId="5" borderId="3" xfId="0" applyFont="1" applyFill="1" applyBorder="1" applyAlignment="1">
      <alignment horizontal="left" vertical="top" wrapText="1"/>
    </xf>
    <xf numFmtId="0" fontId="1991" fillId="5" borderId="3" xfId="0" applyFont="1" applyFill="1" applyBorder="1" applyAlignment="1">
      <alignment horizontal="left" vertical="top" wrapText="1"/>
    </xf>
    <xf numFmtId="0" fontId="1992" fillId="5" borderId="3" xfId="0" applyFont="1" applyFill="1" applyBorder="1" applyAlignment="1">
      <alignment horizontal="left" vertical="top" wrapText="1"/>
    </xf>
    <xf numFmtId="0" fontId="1993" fillId="5" borderId="3" xfId="0" applyFont="1" applyFill="1" applyBorder="1" applyAlignment="1">
      <alignment horizontal="left" vertical="top" wrapText="1"/>
    </xf>
    <xf numFmtId="0" fontId="1994" fillId="5" borderId="3" xfId="0" applyFont="1" applyFill="1" applyBorder="1" applyAlignment="1">
      <alignment horizontal="left" vertical="top" wrapText="1"/>
    </xf>
    <xf numFmtId="0" fontId="1995" fillId="5" borderId="3" xfId="0" applyFont="1" applyFill="1" applyBorder="1" applyAlignment="1">
      <alignment horizontal="left" vertical="top" wrapText="1"/>
    </xf>
    <xf numFmtId="0" fontId="1996" fillId="5" borderId="3" xfId="0" applyFont="1" applyFill="1" applyBorder="1" applyAlignment="1">
      <alignment horizontal="left" vertical="top" wrapText="1"/>
    </xf>
    <xf numFmtId="0" fontId="1997" fillId="5" borderId="3" xfId="0" applyFont="1" applyFill="1" applyBorder="1" applyAlignment="1">
      <alignment horizontal="center" vertical="top"/>
    </xf>
    <xf numFmtId="0" fontId="1998" fillId="5" borderId="3" xfId="0" applyFont="1" applyFill="1" applyBorder="1" applyAlignment="1">
      <alignment horizontal="center" vertical="top"/>
    </xf>
    <xf numFmtId="0" fontId="1999" fillId="5" borderId="3" xfId="0" applyFont="1" applyFill="1" applyBorder="1" applyAlignment="1">
      <alignment horizontal="center" vertical="top"/>
    </xf>
    <xf numFmtId="0" fontId="2000" fillId="5" borderId="3" xfId="0" applyFont="1" applyFill="1" applyBorder="1" applyAlignment="1">
      <alignment horizontal="center" vertical="top"/>
    </xf>
    <xf numFmtId="0" fontId="2001" fillId="5" borderId="3" xfId="0" applyFont="1" applyFill="1" applyBorder="1" applyAlignment="1">
      <alignment horizontal="center" vertical="top"/>
    </xf>
    <xf numFmtId="0" fontId="2002" fillId="5" borderId="3" xfId="0" applyFont="1" applyFill="1" applyBorder="1" applyAlignment="1">
      <alignment horizontal="center" vertical="top"/>
    </xf>
    <xf numFmtId="0" fontId="2003" fillId="5" borderId="3" xfId="0" applyFont="1" applyFill="1" applyBorder="1" applyAlignment="1">
      <alignment horizontal="center" vertical="top"/>
    </xf>
    <xf numFmtId="0" fontId="2004" fillId="5" borderId="3" xfId="0" applyFont="1" applyFill="1" applyBorder="1" applyAlignment="1">
      <alignment horizontal="center" vertical="top"/>
    </xf>
    <xf numFmtId="0" fontId="2005" fillId="5" borderId="3" xfId="0" applyFont="1" applyFill="1" applyBorder="1" applyAlignment="1">
      <alignment horizontal="center" vertical="top"/>
    </xf>
    <xf numFmtId="0" fontId="2006" fillId="5" borderId="3" xfId="0" applyFont="1" applyFill="1" applyBorder="1" applyAlignment="1">
      <alignment horizontal="center" vertical="top"/>
    </xf>
    <xf numFmtId="0" fontId="2007" fillId="5" borderId="3" xfId="0" applyFont="1" applyFill="1" applyBorder="1" applyAlignment="1">
      <alignment horizontal="left" vertical="top" wrapText="1"/>
    </xf>
    <xf numFmtId="0" fontId="2008" fillId="5" borderId="3" xfId="0" applyFont="1" applyFill="1" applyBorder="1" applyAlignment="1">
      <alignment horizontal="left" vertical="top" wrapText="1"/>
    </xf>
    <xf numFmtId="0" fontId="2009" fillId="5" borderId="3" xfId="0" applyFont="1" applyFill="1" applyBorder="1" applyAlignment="1">
      <alignment horizontal="left" vertical="top" wrapText="1"/>
    </xf>
    <xf numFmtId="0" fontId="2010" fillId="5" borderId="3" xfId="0" applyFont="1" applyFill="1" applyBorder="1" applyAlignment="1">
      <alignment horizontal="left" vertical="top" wrapText="1"/>
    </xf>
    <xf numFmtId="0" fontId="2011" fillId="5" borderId="3" xfId="0" applyFont="1" applyFill="1" applyBorder="1" applyAlignment="1">
      <alignment horizontal="left" vertical="top" wrapText="1"/>
    </xf>
    <xf numFmtId="0" fontId="2012" fillId="5" borderId="3" xfId="0" applyFont="1" applyFill="1" applyBorder="1" applyAlignment="1">
      <alignment horizontal="left" vertical="top" wrapText="1"/>
    </xf>
    <xf numFmtId="0" fontId="2013" fillId="5" borderId="3" xfId="0" applyFont="1" applyFill="1" applyBorder="1" applyAlignment="1">
      <alignment horizontal="left" vertical="top" wrapText="1"/>
    </xf>
    <xf numFmtId="0" fontId="2014" fillId="5" borderId="3" xfId="0" applyFont="1" applyFill="1" applyBorder="1" applyAlignment="1">
      <alignment horizontal="left" vertical="top" wrapText="1"/>
    </xf>
    <xf numFmtId="0" fontId="2015" fillId="5" borderId="3" xfId="0" applyFont="1" applyFill="1" applyBorder="1" applyAlignment="1">
      <alignment horizontal="left" vertical="top" wrapText="1"/>
    </xf>
    <xf numFmtId="0" fontId="2016" fillId="5" borderId="3" xfId="0" applyFont="1" applyFill="1" applyBorder="1" applyAlignment="1">
      <alignment horizontal="left" vertical="top" wrapText="1"/>
    </xf>
    <xf numFmtId="0" fontId="2017" fillId="5" borderId="3" xfId="0" applyFont="1" applyFill="1" applyBorder="1" applyAlignment="1">
      <alignment horizontal="left" vertical="top" wrapText="1"/>
    </xf>
    <xf numFmtId="0" fontId="2018" fillId="5" borderId="3" xfId="0" applyFont="1" applyFill="1" applyBorder="1" applyAlignment="1">
      <alignment horizontal="left" vertical="top" wrapText="1"/>
    </xf>
    <xf numFmtId="0" fontId="2019" fillId="5" borderId="3" xfId="0" applyFont="1" applyFill="1" applyBorder="1" applyAlignment="1">
      <alignment horizontal="left" vertical="top" wrapText="1"/>
    </xf>
    <xf numFmtId="0" fontId="2020" fillId="5" borderId="3" xfId="0" applyFont="1" applyFill="1" applyBorder="1" applyAlignment="1">
      <alignment horizontal="left" vertical="top" wrapText="1"/>
    </xf>
    <xf numFmtId="0" fontId="2021" fillId="5" borderId="3" xfId="0" applyFont="1" applyFill="1" applyBorder="1" applyAlignment="1">
      <alignment horizontal="left" vertical="top" wrapText="1"/>
    </xf>
    <xf numFmtId="0" fontId="2022" fillId="5" borderId="3" xfId="0" applyFont="1" applyFill="1" applyBorder="1" applyAlignment="1">
      <alignment horizontal="left" vertical="top" wrapText="1"/>
    </xf>
    <xf numFmtId="0" fontId="2023" fillId="5" borderId="3" xfId="0" applyFont="1" applyFill="1" applyBorder="1" applyAlignment="1">
      <alignment horizontal="left" vertical="top" wrapText="1"/>
    </xf>
    <xf numFmtId="0" fontId="2024" fillId="5" borderId="3" xfId="0" applyFont="1" applyFill="1" applyBorder="1" applyAlignment="1">
      <alignment horizontal="left" vertical="top" wrapText="1"/>
    </xf>
    <xf numFmtId="0" fontId="2025" fillId="5" borderId="3" xfId="0" applyFont="1" applyFill="1" applyBorder="1" applyAlignment="1">
      <alignment horizontal="left" vertical="top" wrapText="1"/>
    </xf>
    <xf numFmtId="0" fontId="2026" fillId="5" borderId="3" xfId="0" applyFont="1" applyFill="1" applyBorder="1" applyAlignment="1">
      <alignment horizontal="left" vertical="top" wrapText="1"/>
    </xf>
    <xf numFmtId="0" fontId="2027" fillId="5" borderId="3" xfId="0" applyFont="1" applyFill="1" applyBorder="1" applyAlignment="1">
      <alignment horizontal="left" vertical="top" wrapText="1"/>
    </xf>
    <xf numFmtId="0" fontId="2028" fillId="5" borderId="3" xfId="0" applyFont="1" applyFill="1" applyBorder="1" applyAlignment="1">
      <alignment horizontal="left" vertical="top" wrapText="1"/>
    </xf>
    <xf numFmtId="0" fontId="2029" fillId="5" borderId="3" xfId="0" applyFont="1" applyFill="1" applyBorder="1" applyAlignment="1">
      <alignment horizontal="left" vertical="top" wrapText="1"/>
    </xf>
    <xf numFmtId="0" fontId="2030" fillId="5" borderId="3" xfId="0" applyFont="1" applyFill="1" applyBorder="1" applyAlignment="1">
      <alignment horizontal="left" vertical="top" wrapText="1"/>
    </xf>
    <xf numFmtId="0" fontId="2031" fillId="5" borderId="3" xfId="0" applyFont="1" applyFill="1" applyBorder="1" applyAlignment="1">
      <alignment horizontal="left" vertical="top" wrapText="1"/>
    </xf>
    <xf numFmtId="0" fontId="2032" fillId="5" borderId="3" xfId="0" applyFont="1" applyFill="1" applyBorder="1" applyAlignment="1">
      <alignment horizontal="left" vertical="top" wrapText="1"/>
    </xf>
    <xf numFmtId="0" fontId="2033" fillId="5" borderId="3" xfId="0" applyFont="1" applyFill="1" applyBorder="1" applyAlignment="1">
      <alignment horizontal="left" vertical="top" wrapText="1"/>
    </xf>
    <xf numFmtId="0" fontId="2034" fillId="5" borderId="3" xfId="0" applyFont="1" applyFill="1" applyBorder="1" applyAlignment="1">
      <alignment horizontal="left" vertical="top" wrapText="1"/>
    </xf>
    <xf numFmtId="0" fontId="2035" fillId="5" borderId="3" xfId="0" applyFont="1" applyFill="1" applyBorder="1" applyAlignment="1">
      <alignment horizontal="left" vertical="top" wrapText="1"/>
    </xf>
    <xf numFmtId="0" fontId="2036" fillId="5" borderId="3" xfId="0" applyFont="1" applyFill="1" applyBorder="1" applyAlignment="1">
      <alignment horizontal="left" vertical="top" wrapText="1"/>
    </xf>
    <xf numFmtId="0" fontId="2037" fillId="5" borderId="3" xfId="0" applyFont="1" applyFill="1" applyBorder="1" applyAlignment="1">
      <alignment horizontal="left" vertical="top" wrapText="1"/>
    </xf>
    <xf numFmtId="0" fontId="2038" fillId="5" borderId="3" xfId="0" applyFont="1" applyFill="1" applyBorder="1" applyAlignment="1">
      <alignment horizontal="left" vertical="top" wrapText="1"/>
    </xf>
    <xf numFmtId="0" fontId="2039" fillId="5" borderId="3" xfId="0" applyFont="1" applyFill="1" applyBorder="1" applyAlignment="1">
      <alignment horizontal="left" vertical="top" wrapText="1"/>
    </xf>
    <xf numFmtId="0" fontId="2040" fillId="5" borderId="3" xfId="0" applyFont="1" applyFill="1" applyBorder="1" applyAlignment="1">
      <alignment horizontal="left" vertical="top" wrapText="1"/>
    </xf>
    <xf numFmtId="0" fontId="2041" fillId="5" borderId="3" xfId="0" applyFont="1" applyFill="1" applyBorder="1" applyAlignment="1">
      <alignment horizontal="left" vertical="top" wrapText="1"/>
    </xf>
    <xf numFmtId="0" fontId="2042" fillId="5" borderId="3" xfId="0" applyFont="1" applyFill="1" applyBorder="1" applyAlignment="1">
      <alignment horizontal="left" vertical="top" wrapText="1"/>
    </xf>
    <xf numFmtId="0" fontId="2043" fillId="5" borderId="3" xfId="0" applyFont="1" applyFill="1" applyBorder="1" applyAlignment="1">
      <alignment horizontal="left" vertical="top" wrapText="1"/>
    </xf>
    <xf numFmtId="0" fontId="2044" fillId="5" borderId="3" xfId="0" applyFont="1" applyFill="1" applyBorder="1" applyAlignment="1">
      <alignment horizontal="left" vertical="top" wrapText="1"/>
    </xf>
    <xf numFmtId="0" fontId="2045" fillId="5" borderId="3" xfId="0" applyFont="1" applyFill="1" applyBorder="1" applyAlignment="1">
      <alignment horizontal="left" vertical="top" wrapText="1"/>
    </xf>
    <xf numFmtId="0" fontId="2046" fillId="5" borderId="3" xfId="0" applyFont="1" applyFill="1" applyBorder="1" applyAlignment="1">
      <alignment horizontal="left" vertical="top" wrapText="1"/>
    </xf>
    <xf numFmtId="0" fontId="2047" fillId="5" borderId="3" xfId="0" applyFont="1" applyFill="1" applyBorder="1" applyAlignment="1">
      <alignment horizontal="left" vertical="top" wrapText="1"/>
    </xf>
    <xf numFmtId="0" fontId="2048" fillId="5" borderId="3" xfId="0" applyFont="1" applyFill="1" applyBorder="1" applyAlignment="1">
      <alignment horizontal="left" vertical="top" wrapText="1"/>
    </xf>
    <xf numFmtId="0" fontId="2049" fillId="5" borderId="3" xfId="0" applyFont="1" applyFill="1" applyBorder="1" applyAlignment="1">
      <alignment horizontal="left" vertical="top" wrapText="1"/>
    </xf>
    <xf numFmtId="0" fontId="2050" fillId="5" borderId="3" xfId="0" applyFont="1" applyFill="1" applyBorder="1" applyAlignment="1">
      <alignment horizontal="left" vertical="top" wrapText="1"/>
    </xf>
    <xf numFmtId="0" fontId="2051" fillId="5" borderId="3" xfId="0" applyFont="1" applyFill="1" applyBorder="1" applyAlignment="1">
      <alignment horizontal="left" vertical="top" wrapText="1"/>
    </xf>
    <xf numFmtId="0" fontId="2052" fillId="5" borderId="3" xfId="0" applyFont="1" applyFill="1" applyBorder="1" applyAlignment="1">
      <alignment horizontal="center" vertical="top"/>
    </xf>
    <xf numFmtId="0" fontId="2053" fillId="5" borderId="3" xfId="0" applyFont="1" applyFill="1" applyBorder="1" applyAlignment="1">
      <alignment horizontal="center" vertical="top"/>
    </xf>
    <xf numFmtId="0" fontId="2054" fillId="5" borderId="3" xfId="0" applyFont="1" applyFill="1" applyBorder="1" applyAlignment="1">
      <alignment horizontal="center" vertical="top"/>
    </xf>
    <xf numFmtId="0" fontId="2055" fillId="5" borderId="3" xfId="0" applyFont="1" applyFill="1" applyBorder="1" applyAlignment="1">
      <alignment horizontal="center" vertical="top"/>
    </xf>
    <xf numFmtId="0" fontId="2056" fillId="5" borderId="3" xfId="0" applyFont="1" applyFill="1" applyBorder="1" applyAlignment="1">
      <alignment horizontal="center" vertical="top"/>
    </xf>
    <xf numFmtId="0" fontId="2057" fillId="5" borderId="3" xfId="0" applyFont="1" applyFill="1" applyBorder="1" applyAlignment="1">
      <alignment horizontal="center" vertical="top"/>
    </xf>
    <xf numFmtId="0" fontId="2058" fillId="5" borderId="3" xfId="0" applyFont="1" applyFill="1" applyBorder="1" applyAlignment="1">
      <alignment horizontal="center" vertical="top"/>
    </xf>
    <xf numFmtId="0" fontId="2059" fillId="5" borderId="3" xfId="0" applyFont="1" applyFill="1" applyBorder="1" applyAlignment="1">
      <alignment horizontal="center" vertical="top"/>
    </xf>
    <xf numFmtId="0" fontId="2060" fillId="5" borderId="3" xfId="0" applyFont="1" applyFill="1" applyBorder="1" applyAlignment="1">
      <alignment horizontal="center" vertical="top"/>
    </xf>
    <xf numFmtId="0" fontId="2061" fillId="5" borderId="3" xfId="0" applyFont="1" applyFill="1" applyBorder="1" applyAlignment="1">
      <alignment horizontal="center" vertical="top"/>
    </xf>
    <xf numFmtId="0" fontId="2062" fillId="5" borderId="3" xfId="0" applyFont="1" applyFill="1" applyBorder="1" applyAlignment="1">
      <alignment horizontal="center" vertical="top"/>
    </xf>
    <xf numFmtId="0" fontId="2063" fillId="5" borderId="3" xfId="0" applyFont="1" applyFill="1" applyBorder="1" applyAlignment="1">
      <alignment horizontal="center" vertical="top"/>
    </xf>
    <xf numFmtId="0" fontId="2064" fillId="5" borderId="3" xfId="0" applyFont="1" applyFill="1" applyBorder="1" applyAlignment="1">
      <alignment horizontal="left" vertical="top" wrapText="1"/>
    </xf>
    <xf numFmtId="0" fontId="2065" fillId="5" borderId="3" xfId="0" applyFont="1" applyFill="1" applyBorder="1" applyAlignment="1">
      <alignment horizontal="left" vertical="top" wrapText="1"/>
    </xf>
    <xf numFmtId="0" fontId="2066" fillId="5" borderId="3" xfId="0" applyFont="1" applyFill="1" applyBorder="1" applyAlignment="1">
      <alignment horizontal="left" vertical="top" wrapText="1"/>
    </xf>
    <xf numFmtId="0" fontId="2067" fillId="5" borderId="3" xfId="0" applyFont="1" applyFill="1" applyBorder="1" applyAlignment="1">
      <alignment horizontal="left" vertical="top" wrapText="1"/>
    </xf>
    <xf numFmtId="0" fontId="2068" fillId="5" borderId="3" xfId="0" applyFont="1" applyFill="1" applyBorder="1" applyAlignment="1">
      <alignment horizontal="left" vertical="top" wrapText="1"/>
    </xf>
    <xf numFmtId="0" fontId="2069" fillId="5" borderId="3" xfId="0" applyFont="1" applyFill="1" applyBorder="1" applyAlignment="1">
      <alignment horizontal="left" vertical="top" wrapText="1"/>
    </xf>
    <xf numFmtId="0" fontId="2070" fillId="5" borderId="3" xfId="0" applyFont="1" applyFill="1" applyBorder="1" applyAlignment="1">
      <alignment horizontal="left" vertical="top" wrapText="1"/>
    </xf>
    <xf numFmtId="0" fontId="2071" fillId="5" borderId="3" xfId="0" applyFont="1" applyFill="1" applyBorder="1" applyAlignment="1">
      <alignment horizontal="left" vertical="top" wrapText="1"/>
    </xf>
    <xf numFmtId="0" fontId="2072" fillId="5" borderId="3" xfId="0" applyFont="1" applyFill="1" applyBorder="1" applyAlignment="1">
      <alignment horizontal="left" vertical="top" wrapText="1"/>
    </xf>
    <xf numFmtId="0" fontId="2073" fillId="5" borderId="3" xfId="0" applyFont="1" applyFill="1" applyBorder="1" applyAlignment="1">
      <alignment horizontal="center" vertical="top"/>
    </xf>
    <xf numFmtId="0" fontId="2074" fillId="5" borderId="3" xfId="0" applyFont="1" applyFill="1" applyBorder="1" applyAlignment="1">
      <alignment horizontal="left" vertical="top" wrapText="1"/>
    </xf>
    <xf numFmtId="0" fontId="2075" fillId="5" borderId="3" xfId="0" applyFont="1" applyFill="1" applyBorder="1" applyAlignment="1">
      <alignment horizontal="center" vertical="top"/>
    </xf>
    <xf numFmtId="0" fontId="2076" fillId="5" borderId="3" xfId="0" applyFont="1" applyFill="1" applyBorder="1" applyAlignment="1">
      <alignment horizontal="center" vertical="top"/>
    </xf>
    <xf numFmtId="0" fontId="2077" fillId="5" borderId="3" xfId="0" applyFont="1" applyFill="1" applyBorder="1" applyAlignment="1">
      <alignment horizontal="center" vertical="top"/>
    </xf>
    <xf numFmtId="0" fontId="2078" fillId="5" borderId="3" xfId="0" applyFont="1" applyFill="1" applyBorder="1" applyAlignment="1">
      <alignment horizontal="center" vertical="top"/>
    </xf>
    <xf numFmtId="0" fontId="2079" fillId="5" borderId="3" xfId="0" applyFont="1" applyFill="1" applyBorder="1" applyAlignment="1">
      <alignment horizontal="center" vertical="top"/>
    </xf>
    <xf numFmtId="0" fontId="2080" fillId="5" borderId="3" xfId="0" applyFont="1" applyFill="1" applyBorder="1" applyAlignment="1">
      <alignment horizontal="center" vertical="top"/>
    </xf>
    <xf numFmtId="49" fontId="0" fillId="0" borderId="0" xfId="0" applyNumberFormat="1"/>
    <xf numFmtId="0" fontId="2081" fillId="3" borderId="3" xfId="0" applyFont="1" applyFill="1" applyBorder="1" applyAlignment="1">
      <alignment horizontal="left" vertical="top" wrapText="1"/>
    </xf>
    <xf numFmtId="0" fontId="2083" fillId="4" borderId="3" xfId="0" applyFont="1" applyFill="1" applyBorder="1" applyAlignment="1">
      <alignment horizontal="center" vertical="top" wrapText="1"/>
    </xf>
    <xf numFmtId="0" fontId="2084" fillId="5" borderId="3" xfId="0" applyFont="1" applyFill="1" applyBorder="1" applyAlignment="1">
      <alignment horizontal="left" vertical="top" wrapText="1"/>
    </xf>
    <xf numFmtId="0" fontId="2085" fillId="5" borderId="3" xfId="0" applyFont="1" applyFill="1" applyBorder="1" applyAlignment="1">
      <alignment horizontal="left" vertical="top" wrapText="1"/>
    </xf>
    <xf numFmtId="0" fontId="2086" fillId="5" borderId="3" xfId="0" applyFont="1" applyFill="1" applyBorder="1" applyAlignment="1">
      <alignment horizontal="left" vertical="top" wrapText="1"/>
    </xf>
    <xf numFmtId="0" fontId="2087" fillId="5" borderId="3" xfId="0" applyFont="1" applyFill="1" applyBorder="1" applyAlignment="1">
      <alignment horizontal="left" vertical="top" wrapText="1"/>
    </xf>
    <xf numFmtId="0" fontId="2088" fillId="5" borderId="3" xfId="0" applyFont="1" applyFill="1" applyBorder="1" applyAlignment="1">
      <alignment horizontal="left" vertical="top" wrapText="1"/>
    </xf>
    <xf numFmtId="0" fontId="2089" fillId="5" borderId="3" xfId="0" applyFont="1" applyFill="1" applyBorder="1" applyAlignment="1">
      <alignment horizontal="left" vertical="top" wrapText="1"/>
    </xf>
    <xf numFmtId="0" fontId="2090" fillId="5" borderId="3" xfId="0" applyFont="1" applyFill="1" applyBorder="1" applyAlignment="1">
      <alignment horizontal="left" vertical="top" wrapText="1"/>
    </xf>
    <xf numFmtId="0" fontId="2091" fillId="5" borderId="3" xfId="0" applyFont="1" applyFill="1" applyBorder="1" applyAlignment="1">
      <alignment horizontal="left" vertical="top" wrapText="1"/>
    </xf>
    <xf numFmtId="0" fontId="2092" fillId="5" borderId="3" xfId="0" applyFont="1" applyFill="1" applyBorder="1" applyAlignment="1">
      <alignment horizontal="left" vertical="top" wrapText="1"/>
    </xf>
    <xf numFmtId="0" fontId="2093" fillId="5" borderId="3" xfId="0" applyFont="1" applyFill="1" applyBorder="1" applyAlignment="1">
      <alignment horizontal="left" vertical="top" wrapText="1"/>
    </xf>
    <xf numFmtId="0" fontId="2094" fillId="5" borderId="3" xfId="0" applyFont="1" applyFill="1" applyBorder="1" applyAlignment="1">
      <alignment horizontal="left" vertical="top" wrapText="1"/>
    </xf>
    <xf numFmtId="0" fontId="2095" fillId="5" borderId="3" xfId="0" applyFont="1" applyFill="1" applyBorder="1" applyAlignment="1">
      <alignment horizontal="left" vertical="top" wrapText="1"/>
    </xf>
    <xf numFmtId="0" fontId="2096" fillId="5" borderId="3" xfId="0" applyFont="1" applyFill="1" applyBorder="1" applyAlignment="1">
      <alignment horizontal="left" vertical="top" wrapText="1"/>
    </xf>
    <xf numFmtId="0" fontId="2097" fillId="5" borderId="3" xfId="0" applyFont="1" applyFill="1" applyBorder="1" applyAlignment="1">
      <alignment horizontal="left" vertical="top" wrapText="1"/>
    </xf>
    <xf numFmtId="0" fontId="2098" fillId="5" borderId="3" xfId="0" applyFont="1" applyFill="1" applyBorder="1" applyAlignment="1">
      <alignment horizontal="left" vertical="top" wrapText="1"/>
    </xf>
    <xf numFmtId="0" fontId="2099" fillId="5" borderId="3" xfId="0" applyFont="1" applyFill="1" applyBorder="1" applyAlignment="1">
      <alignment horizontal="left" vertical="top" wrapText="1"/>
    </xf>
    <xf numFmtId="0" fontId="2100" fillId="5" borderId="3" xfId="0" applyFont="1" applyFill="1" applyBorder="1" applyAlignment="1">
      <alignment horizontal="left" vertical="top" wrapText="1"/>
    </xf>
    <xf numFmtId="0" fontId="2101" fillId="5" borderId="3" xfId="0" applyFont="1" applyFill="1" applyBorder="1" applyAlignment="1">
      <alignment horizontal="left" vertical="top" wrapText="1"/>
    </xf>
    <xf numFmtId="0" fontId="2102" fillId="5" borderId="3" xfId="0" applyFont="1" applyFill="1" applyBorder="1" applyAlignment="1">
      <alignment horizontal="left" vertical="top" wrapText="1"/>
    </xf>
    <xf numFmtId="0" fontId="2103" fillId="5" borderId="3" xfId="0" applyFont="1" applyFill="1" applyBorder="1" applyAlignment="1">
      <alignment horizontal="left" vertical="top" wrapText="1"/>
    </xf>
    <xf numFmtId="0" fontId="2104" fillId="5" borderId="3" xfId="0" applyFont="1" applyFill="1" applyBorder="1" applyAlignment="1">
      <alignment horizontal="left" vertical="top" wrapText="1"/>
    </xf>
    <xf numFmtId="0" fontId="2105" fillId="5" borderId="3" xfId="0" applyFont="1" applyFill="1" applyBorder="1" applyAlignment="1">
      <alignment horizontal="left" vertical="top" wrapText="1"/>
    </xf>
    <xf numFmtId="0" fontId="2106" fillId="5" borderId="3" xfId="0" applyFont="1" applyFill="1" applyBorder="1" applyAlignment="1">
      <alignment horizontal="left" vertical="top" wrapText="1"/>
    </xf>
    <xf numFmtId="0" fontId="2107" fillId="5" borderId="3" xfId="0" applyFont="1" applyFill="1" applyBorder="1" applyAlignment="1">
      <alignment horizontal="left" vertical="top" wrapText="1"/>
    </xf>
    <xf numFmtId="0" fontId="2108" fillId="5" borderId="3" xfId="0" applyFont="1" applyFill="1" applyBorder="1" applyAlignment="1">
      <alignment horizontal="left" vertical="top" wrapText="1"/>
    </xf>
    <xf numFmtId="0" fontId="2109" fillId="5" borderId="3" xfId="0" applyFont="1" applyFill="1" applyBorder="1" applyAlignment="1">
      <alignment horizontal="left" vertical="top" wrapText="1"/>
    </xf>
    <xf numFmtId="0" fontId="2110" fillId="5" borderId="3" xfId="0" applyFont="1" applyFill="1" applyBorder="1" applyAlignment="1">
      <alignment horizontal="left" vertical="top" wrapText="1"/>
    </xf>
    <xf numFmtId="0" fontId="2111" fillId="5" borderId="3" xfId="0" applyFont="1" applyFill="1" applyBorder="1" applyAlignment="1">
      <alignment horizontal="left" vertical="top" wrapText="1"/>
    </xf>
    <xf numFmtId="0" fontId="2112" fillId="5" borderId="3" xfId="0" applyFont="1" applyFill="1" applyBorder="1" applyAlignment="1">
      <alignment horizontal="left" vertical="top" wrapText="1"/>
    </xf>
    <xf numFmtId="0" fontId="2113" fillId="5" borderId="3" xfId="0" applyFont="1" applyFill="1" applyBorder="1" applyAlignment="1">
      <alignment horizontal="left" vertical="top" wrapText="1"/>
    </xf>
    <xf numFmtId="0" fontId="2114" fillId="5" borderId="3" xfId="0" applyFont="1" applyFill="1" applyBorder="1" applyAlignment="1">
      <alignment horizontal="left" vertical="top" wrapText="1"/>
    </xf>
    <xf numFmtId="0" fontId="2115" fillId="5" borderId="3" xfId="0" applyFont="1" applyFill="1" applyBorder="1" applyAlignment="1">
      <alignment horizontal="left" vertical="top" wrapText="1"/>
    </xf>
    <xf numFmtId="0" fontId="2116" fillId="5" borderId="3" xfId="0" applyFont="1" applyFill="1" applyBorder="1" applyAlignment="1">
      <alignment horizontal="left" vertical="top" wrapText="1"/>
    </xf>
    <xf numFmtId="0" fontId="2117" fillId="5" borderId="3" xfId="0" applyFont="1" applyFill="1" applyBorder="1" applyAlignment="1">
      <alignment horizontal="left" vertical="top" wrapText="1"/>
    </xf>
    <xf numFmtId="0" fontId="2118" fillId="5" borderId="3" xfId="0" applyFont="1" applyFill="1" applyBorder="1" applyAlignment="1">
      <alignment horizontal="left" vertical="top" wrapText="1"/>
    </xf>
    <xf numFmtId="0" fontId="2119" fillId="5" borderId="3" xfId="0" applyFont="1" applyFill="1" applyBorder="1" applyAlignment="1">
      <alignment horizontal="left" vertical="top" wrapText="1"/>
    </xf>
    <xf numFmtId="0" fontId="2120" fillId="5" borderId="3" xfId="0" applyFont="1" applyFill="1" applyBorder="1" applyAlignment="1">
      <alignment horizontal="left" vertical="top" wrapText="1"/>
    </xf>
    <xf numFmtId="0" fontId="2121" fillId="5" borderId="3" xfId="0" applyFont="1" applyFill="1" applyBorder="1" applyAlignment="1">
      <alignment horizontal="left" vertical="top" wrapText="1"/>
    </xf>
    <xf numFmtId="0" fontId="2122" fillId="5" borderId="3" xfId="0" applyFont="1" applyFill="1" applyBorder="1" applyAlignment="1">
      <alignment horizontal="left" vertical="top" wrapText="1"/>
    </xf>
    <xf numFmtId="0" fontId="2123" fillId="5" borderId="3" xfId="0" applyFont="1" applyFill="1" applyBorder="1" applyAlignment="1">
      <alignment horizontal="left" vertical="top" wrapText="1"/>
    </xf>
    <xf numFmtId="0" fontId="2124" fillId="5" borderId="3" xfId="0" applyFont="1" applyFill="1" applyBorder="1" applyAlignment="1">
      <alignment horizontal="left" vertical="top" wrapText="1"/>
    </xf>
    <xf numFmtId="0" fontId="2125" fillId="5" borderId="3" xfId="0" applyFont="1" applyFill="1" applyBorder="1" applyAlignment="1">
      <alignment horizontal="left" vertical="top" wrapText="1"/>
    </xf>
    <xf numFmtId="0" fontId="2126" fillId="5" borderId="3" xfId="0" applyFont="1" applyFill="1" applyBorder="1" applyAlignment="1">
      <alignment horizontal="left" vertical="top" wrapText="1"/>
    </xf>
    <xf numFmtId="0" fontId="2127" fillId="5" borderId="3" xfId="0" applyFont="1" applyFill="1" applyBorder="1" applyAlignment="1">
      <alignment horizontal="left" vertical="top" wrapText="1"/>
    </xf>
    <xf numFmtId="0" fontId="2128" fillId="5" borderId="3" xfId="0" applyFont="1" applyFill="1" applyBorder="1" applyAlignment="1">
      <alignment horizontal="left" vertical="top" wrapText="1"/>
    </xf>
    <xf numFmtId="0" fontId="2129" fillId="5" borderId="3" xfId="0" applyFont="1" applyFill="1" applyBorder="1" applyAlignment="1">
      <alignment horizontal="left" vertical="top" wrapText="1"/>
    </xf>
    <xf numFmtId="0" fontId="2130" fillId="5" borderId="3" xfId="0" applyFont="1" applyFill="1" applyBorder="1" applyAlignment="1">
      <alignment horizontal="left" vertical="top" wrapText="1"/>
    </xf>
    <xf numFmtId="0" fontId="2131" fillId="5" borderId="3" xfId="0" applyFont="1" applyFill="1" applyBorder="1" applyAlignment="1">
      <alignment horizontal="left" vertical="top" wrapText="1"/>
    </xf>
    <xf numFmtId="0" fontId="2132" fillId="5" borderId="3" xfId="0" applyFont="1" applyFill="1" applyBorder="1" applyAlignment="1">
      <alignment horizontal="left" vertical="top" wrapText="1"/>
    </xf>
    <xf numFmtId="0" fontId="2133" fillId="5" borderId="3" xfId="0" applyFont="1" applyFill="1" applyBorder="1" applyAlignment="1">
      <alignment horizontal="left" vertical="top" wrapText="1"/>
    </xf>
    <xf numFmtId="0" fontId="2134" fillId="5" borderId="3" xfId="0" applyFont="1" applyFill="1" applyBorder="1" applyAlignment="1">
      <alignment horizontal="left" vertical="top" wrapText="1"/>
    </xf>
    <xf numFmtId="0" fontId="2135" fillId="5" borderId="3" xfId="0" applyFont="1" applyFill="1" applyBorder="1" applyAlignment="1">
      <alignment horizontal="left" vertical="top" wrapText="1"/>
    </xf>
    <xf numFmtId="0" fontId="2136" fillId="5" borderId="3" xfId="0" applyFont="1" applyFill="1" applyBorder="1" applyAlignment="1">
      <alignment horizontal="left" vertical="top" wrapText="1"/>
    </xf>
    <xf numFmtId="0" fontId="2137" fillId="5" borderId="3" xfId="0" applyFont="1" applyFill="1" applyBorder="1" applyAlignment="1">
      <alignment horizontal="left" vertical="top" wrapText="1"/>
    </xf>
    <xf numFmtId="0" fontId="2138" fillId="5" borderId="3" xfId="0" applyFont="1" applyFill="1" applyBorder="1" applyAlignment="1">
      <alignment horizontal="left" vertical="top" wrapText="1"/>
    </xf>
    <xf numFmtId="0" fontId="2139" fillId="5" borderId="3" xfId="0" applyFont="1" applyFill="1" applyBorder="1" applyAlignment="1">
      <alignment horizontal="left" vertical="top" wrapText="1"/>
    </xf>
    <xf numFmtId="0" fontId="2140" fillId="5" borderId="3" xfId="0" applyFont="1" applyFill="1" applyBorder="1" applyAlignment="1">
      <alignment horizontal="left" vertical="top" wrapText="1"/>
    </xf>
    <xf numFmtId="0" fontId="2141" fillId="5" borderId="3" xfId="0" applyFont="1" applyFill="1" applyBorder="1" applyAlignment="1">
      <alignment horizontal="center" vertical="top"/>
    </xf>
    <xf numFmtId="0" fontId="2142" fillId="5" borderId="3" xfId="0" applyFont="1" applyFill="1" applyBorder="1" applyAlignment="1">
      <alignment horizontal="center" vertical="top"/>
    </xf>
    <xf numFmtId="0" fontId="2143" fillId="5" borderId="3" xfId="0" applyFont="1" applyFill="1" applyBorder="1" applyAlignment="1">
      <alignment horizontal="left" vertical="top" wrapText="1"/>
    </xf>
    <xf numFmtId="0" fontId="2144" fillId="5" borderId="3" xfId="0" applyFont="1" applyFill="1" applyBorder="1" applyAlignment="1">
      <alignment horizontal="center" vertical="top"/>
    </xf>
    <xf numFmtId="0" fontId="2145" fillId="5" borderId="3" xfId="0" applyFont="1" applyFill="1" applyBorder="1" applyAlignment="1">
      <alignment horizontal="center" vertical="top"/>
    </xf>
    <xf numFmtId="0" fontId="2146" fillId="5" borderId="3" xfId="0" applyFont="1" applyFill="1" applyBorder="1" applyAlignment="1">
      <alignment horizontal="left" vertical="top" wrapText="1"/>
    </xf>
    <xf numFmtId="0" fontId="2147" fillId="5" borderId="3" xfId="0" applyFont="1" applyFill="1" applyBorder="1" applyAlignment="1">
      <alignment horizontal="center" vertical="top"/>
    </xf>
    <xf numFmtId="0" fontId="2148" fillId="5" borderId="3" xfId="0" applyFont="1" applyFill="1" applyBorder="1" applyAlignment="1">
      <alignment horizontal="left" vertical="top" wrapText="1"/>
    </xf>
    <xf numFmtId="0" fontId="2149" fillId="5" borderId="3" xfId="0" applyFont="1" applyFill="1" applyBorder="1" applyAlignment="1">
      <alignment horizontal="left" vertical="top" wrapText="1"/>
    </xf>
    <xf numFmtId="0" fontId="2150" fillId="5" borderId="3" xfId="0" applyFont="1" applyFill="1" applyBorder="1" applyAlignment="1">
      <alignment horizontal="center" vertical="top"/>
    </xf>
    <xf numFmtId="0" fontId="2151" fillId="5" borderId="3" xfId="0" applyFont="1" applyFill="1" applyBorder="1" applyAlignment="1">
      <alignment horizontal="center" vertical="top"/>
    </xf>
    <xf numFmtId="0" fontId="2152" fillId="5" borderId="3" xfId="0" applyFont="1" applyFill="1" applyBorder="1" applyAlignment="1">
      <alignment horizontal="left" vertical="top" wrapText="1"/>
    </xf>
    <xf numFmtId="0" fontId="2153" fillId="5" borderId="3" xfId="0" applyFont="1" applyFill="1" applyBorder="1" applyAlignment="1">
      <alignment horizontal="left" vertical="top" wrapText="1"/>
    </xf>
    <xf numFmtId="0" fontId="2154" fillId="5" borderId="3" xfId="0" applyFont="1" applyFill="1" applyBorder="1" applyAlignment="1">
      <alignment horizontal="left" vertical="top" wrapText="1"/>
    </xf>
    <xf numFmtId="0" fontId="2155" fillId="5" borderId="3" xfId="0" applyFont="1" applyFill="1" applyBorder="1" applyAlignment="1">
      <alignment horizontal="left" vertical="top" wrapText="1"/>
    </xf>
    <xf numFmtId="0" fontId="2156" fillId="5" borderId="3" xfId="0" applyFont="1" applyFill="1" applyBorder="1" applyAlignment="1">
      <alignment horizontal="left" vertical="top" wrapText="1"/>
    </xf>
    <xf numFmtId="0" fontId="2157" fillId="5" borderId="3" xfId="0" applyFont="1" applyFill="1" applyBorder="1" applyAlignment="1">
      <alignment horizontal="left" vertical="top" wrapText="1"/>
    </xf>
    <xf numFmtId="0" fontId="2158" fillId="5" borderId="3" xfId="0" applyFont="1" applyFill="1" applyBorder="1" applyAlignment="1">
      <alignment horizontal="left" vertical="top" wrapText="1"/>
    </xf>
    <xf numFmtId="0" fontId="2159" fillId="5" borderId="3" xfId="0" applyFont="1" applyFill="1" applyBorder="1" applyAlignment="1">
      <alignment horizontal="left" vertical="top" wrapText="1"/>
    </xf>
    <xf numFmtId="0" fontId="2160" fillId="5" borderId="3" xfId="0" applyFont="1" applyFill="1" applyBorder="1" applyAlignment="1">
      <alignment horizontal="center" vertical="top"/>
    </xf>
    <xf numFmtId="0" fontId="2161" fillId="5" borderId="3" xfId="0" applyFont="1" applyFill="1" applyBorder="1" applyAlignment="1">
      <alignment horizontal="center" vertical="top"/>
    </xf>
    <xf numFmtId="0" fontId="2162" fillId="5" borderId="3" xfId="0" applyFont="1" applyFill="1" applyBorder="1" applyAlignment="1">
      <alignment horizontal="center" vertical="top"/>
    </xf>
    <xf numFmtId="0" fontId="2163" fillId="5" borderId="3" xfId="0" applyFont="1" applyFill="1" applyBorder="1" applyAlignment="1">
      <alignment horizontal="center" vertical="top"/>
    </xf>
    <xf numFmtId="0" fontId="2164" fillId="5" borderId="3" xfId="0" applyFont="1" applyFill="1" applyBorder="1" applyAlignment="1">
      <alignment horizontal="left" vertical="top" wrapText="1"/>
    </xf>
    <xf numFmtId="0" fontId="2165" fillId="5" borderId="3" xfId="0" applyFont="1" applyFill="1" applyBorder="1" applyAlignment="1">
      <alignment horizontal="center" vertical="top"/>
    </xf>
    <xf numFmtId="0" fontId="2166" fillId="5" borderId="3" xfId="0" applyFont="1" applyFill="1" applyBorder="1" applyAlignment="1">
      <alignment horizontal="left" vertical="top" wrapText="1"/>
    </xf>
    <xf numFmtId="0" fontId="2167" fillId="5" borderId="3" xfId="0" applyFont="1" applyFill="1" applyBorder="1" applyAlignment="1">
      <alignment horizontal="left" vertical="top" wrapText="1"/>
    </xf>
    <xf numFmtId="0" fontId="2168" fillId="5" borderId="3" xfId="0" applyFont="1" applyFill="1" applyBorder="1" applyAlignment="1">
      <alignment horizontal="left" vertical="top" wrapText="1"/>
    </xf>
    <xf numFmtId="0" fontId="2169" fillId="5" borderId="3" xfId="0" applyFont="1" applyFill="1" applyBorder="1" applyAlignment="1">
      <alignment horizontal="left" vertical="top" wrapText="1"/>
    </xf>
    <xf numFmtId="0" fontId="2170" fillId="5" borderId="3" xfId="0" applyFont="1" applyFill="1" applyBorder="1" applyAlignment="1">
      <alignment horizontal="left" vertical="top" wrapText="1"/>
    </xf>
    <xf numFmtId="0" fontId="2171" fillId="5" borderId="3" xfId="0" applyFont="1" applyFill="1" applyBorder="1" applyAlignment="1">
      <alignment horizontal="left" vertical="top" wrapText="1"/>
    </xf>
    <xf numFmtId="0" fontId="2172" fillId="5" borderId="3" xfId="0" applyFont="1" applyFill="1" applyBorder="1" applyAlignment="1">
      <alignment horizontal="left" vertical="top" wrapText="1"/>
    </xf>
    <xf numFmtId="0" fontId="2173" fillId="5" borderId="3" xfId="0" applyFont="1" applyFill="1" applyBorder="1" applyAlignment="1">
      <alignment horizontal="left" vertical="top" wrapText="1"/>
    </xf>
    <xf numFmtId="0" fontId="2174" fillId="5" borderId="3" xfId="0" applyFont="1" applyFill="1" applyBorder="1" applyAlignment="1">
      <alignment horizontal="left" vertical="top" wrapText="1"/>
    </xf>
    <xf numFmtId="0" fontId="2175" fillId="5" borderId="3" xfId="0" applyFont="1" applyFill="1" applyBorder="1" applyAlignment="1">
      <alignment horizontal="left" vertical="top" wrapText="1"/>
    </xf>
    <xf numFmtId="0" fontId="2176" fillId="5" borderId="3" xfId="0" applyFont="1" applyFill="1" applyBorder="1" applyAlignment="1">
      <alignment horizontal="left" vertical="top" wrapText="1"/>
    </xf>
    <xf numFmtId="0" fontId="2177" fillId="5" borderId="3" xfId="0" applyFont="1" applyFill="1" applyBorder="1" applyAlignment="1">
      <alignment horizontal="left" vertical="top" wrapText="1"/>
    </xf>
    <xf numFmtId="0" fontId="2178" fillId="5" borderId="3" xfId="0" applyFont="1" applyFill="1" applyBorder="1" applyAlignment="1">
      <alignment horizontal="left" vertical="top" wrapText="1"/>
    </xf>
    <xf numFmtId="0" fontId="2179" fillId="5" borderId="3" xfId="0" applyFont="1" applyFill="1" applyBorder="1" applyAlignment="1">
      <alignment horizontal="left" vertical="top" wrapText="1"/>
    </xf>
    <xf numFmtId="0" fontId="2180" fillId="5" borderId="3" xfId="0" applyFont="1" applyFill="1" applyBorder="1" applyAlignment="1">
      <alignment horizontal="left" vertical="top" wrapText="1"/>
    </xf>
    <xf numFmtId="0" fontId="2181" fillId="5" borderId="3" xfId="0" applyFont="1" applyFill="1" applyBorder="1" applyAlignment="1">
      <alignment horizontal="left" vertical="top" wrapText="1"/>
    </xf>
    <xf numFmtId="0" fontId="2182" fillId="5" borderId="3" xfId="0" applyFont="1" applyFill="1" applyBorder="1" applyAlignment="1">
      <alignment horizontal="left" vertical="top" wrapText="1"/>
    </xf>
    <xf numFmtId="0" fontId="2183" fillId="5" borderId="3" xfId="0" applyFont="1" applyFill="1" applyBorder="1" applyAlignment="1">
      <alignment horizontal="left" vertical="top" wrapText="1"/>
    </xf>
    <xf numFmtId="0" fontId="2184" fillId="5" borderId="3" xfId="0" applyFont="1" applyFill="1" applyBorder="1" applyAlignment="1">
      <alignment horizontal="left" vertical="top" wrapText="1"/>
    </xf>
    <xf numFmtId="0" fontId="2185" fillId="5" borderId="3" xfId="0" applyFont="1" applyFill="1" applyBorder="1" applyAlignment="1">
      <alignment horizontal="left" vertical="top" wrapText="1"/>
    </xf>
    <xf numFmtId="0" fontId="2186" fillId="5" borderId="3" xfId="0" applyFont="1" applyFill="1" applyBorder="1" applyAlignment="1">
      <alignment horizontal="left" vertical="top" wrapText="1"/>
    </xf>
    <xf numFmtId="0" fontId="2187" fillId="5" borderId="3" xfId="0" applyFont="1" applyFill="1" applyBorder="1" applyAlignment="1">
      <alignment horizontal="left" vertical="top" wrapText="1"/>
    </xf>
    <xf numFmtId="0" fontId="2188" fillId="5" borderId="3" xfId="0" applyFont="1" applyFill="1" applyBorder="1" applyAlignment="1">
      <alignment horizontal="left" vertical="top" wrapText="1"/>
    </xf>
    <xf numFmtId="0" fontId="2189" fillId="5" borderId="3" xfId="0" applyFont="1" applyFill="1" applyBorder="1" applyAlignment="1">
      <alignment horizontal="left" vertical="top" wrapText="1"/>
    </xf>
    <xf numFmtId="0" fontId="2190" fillId="5" borderId="3" xfId="0" applyFont="1" applyFill="1" applyBorder="1" applyAlignment="1">
      <alignment horizontal="left" vertical="top" wrapText="1"/>
    </xf>
    <xf numFmtId="0" fontId="2191" fillId="5" borderId="3" xfId="0" applyFont="1" applyFill="1" applyBorder="1" applyAlignment="1">
      <alignment horizontal="left" vertical="top" wrapText="1"/>
    </xf>
    <xf numFmtId="0" fontId="2192" fillId="5" borderId="3" xfId="0" applyFont="1" applyFill="1" applyBorder="1" applyAlignment="1">
      <alignment horizontal="left" vertical="top" wrapText="1"/>
    </xf>
    <xf numFmtId="0" fontId="2193" fillId="5" borderId="3" xfId="0" applyFont="1" applyFill="1" applyBorder="1" applyAlignment="1">
      <alignment horizontal="center" vertical="top"/>
    </xf>
    <xf numFmtId="0" fontId="2194" fillId="5" borderId="3" xfId="0" applyFont="1" applyFill="1" applyBorder="1" applyAlignment="1">
      <alignment horizontal="center" vertical="top"/>
    </xf>
    <xf numFmtId="0" fontId="2195" fillId="5" borderId="3" xfId="0" applyFont="1" applyFill="1" applyBorder="1" applyAlignment="1">
      <alignment horizontal="left" vertical="top" wrapText="1"/>
    </xf>
    <xf numFmtId="0" fontId="2196" fillId="5" borderId="3" xfId="0" applyFont="1" applyFill="1" applyBorder="1" applyAlignment="1">
      <alignment horizontal="center" vertical="top"/>
    </xf>
    <xf numFmtId="0" fontId="2197" fillId="5" borderId="3" xfId="0" applyFont="1" applyFill="1" applyBorder="1" applyAlignment="1">
      <alignment horizontal="center" vertical="top"/>
    </xf>
    <xf numFmtId="0" fontId="2198" fillId="5" borderId="3" xfId="0" applyFont="1" applyFill="1" applyBorder="1" applyAlignment="1">
      <alignment horizontal="center" vertical="top"/>
    </xf>
    <xf numFmtId="0" fontId="2199" fillId="5" borderId="3" xfId="0" applyFont="1" applyFill="1" applyBorder="1" applyAlignment="1">
      <alignment horizontal="center" vertical="top"/>
    </xf>
    <xf numFmtId="0" fontId="2200" fillId="5" borderId="3" xfId="0" applyFont="1" applyFill="1" applyBorder="1" applyAlignment="1">
      <alignment horizontal="center" vertical="top"/>
    </xf>
    <xf numFmtId="0" fontId="2201" fillId="5" borderId="3" xfId="0" applyFont="1" applyFill="1" applyBorder="1" applyAlignment="1">
      <alignment horizontal="center" vertical="top"/>
    </xf>
    <xf numFmtId="0" fontId="2202" fillId="5" borderId="3" xfId="0" applyFont="1" applyFill="1" applyBorder="1" applyAlignment="1">
      <alignment horizontal="left" vertical="top" wrapText="1"/>
    </xf>
    <xf numFmtId="0" fontId="2203" fillId="5" borderId="3" xfId="0" applyFont="1" applyFill="1" applyBorder="1" applyAlignment="1">
      <alignment horizontal="left" vertical="top" wrapText="1"/>
    </xf>
    <xf numFmtId="0" fontId="2204" fillId="5" borderId="3" xfId="0" applyFont="1" applyFill="1" applyBorder="1" applyAlignment="1">
      <alignment horizontal="left" vertical="top" wrapText="1"/>
    </xf>
    <xf numFmtId="0" fontId="2205" fillId="5" borderId="3" xfId="0" applyFont="1" applyFill="1" applyBorder="1" applyAlignment="1">
      <alignment horizontal="left" vertical="top" wrapText="1"/>
    </xf>
    <xf numFmtId="0" fontId="2206" fillId="5" borderId="3" xfId="0" applyFont="1" applyFill="1" applyBorder="1" applyAlignment="1">
      <alignment horizontal="left" vertical="top" wrapText="1"/>
    </xf>
    <xf numFmtId="0" fontId="2207" fillId="5" borderId="3" xfId="0" applyFont="1" applyFill="1" applyBorder="1" applyAlignment="1">
      <alignment horizontal="center" vertical="top"/>
    </xf>
    <xf numFmtId="0" fontId="2208" fillId="5" borderId="3" xfId="0" applyFont="1" applyFill="1" applyBorder="1" applyAlignment="1">
      <alignment horizontal="center" vertical="top"/>
    </xf>
    <xf numFmtId="0" fontId="2209" fillId="5" borderId="3" xfId="0" applyFont="1" applyFill="1" applyBorder="1" applyAlignment="1">
      <alignment horizontal="left" vertical="top" wrapText="1"/>
    </xf>
    <xf numFmtId="0" fontId="2210" fillId="5" borderId="3" xfId="0" applyFont="1" applyFill="1" applyBorder="1" applyAlignment="1">
      <alignment horizontal="left" vertical="top" wrapText="1"/>
    </xf>
    <xf numFmtId="0" fontId="2211" fillId="5" borderId="3" xfId="0" applyFont="1" applyFill="1" applyBorder="1" applyAlignment="1">
      <alignment horizontal="left" vertical="top" wrapText="1"/>
    </xf>
    <xf numFmtId="0" fontId="2212" fillId="5" borderId="3" xfId="0" applyFont="1" applyFill="1" applyBorder="1" applyAlignment="1">
      <alignment horizontal="left" vertical="top" wrapText="1"/>
    </xf>
    <xf numFmtId="0" fontId="2213" fillId="5" borderId="3" xfId="0" applyFont="1" applyFill="1" applyBorder="1" applyAlignment="1">
      <alignment horizontal="left" vertical="top" wrapText="1"/>
    </xf>
    <xf numFmtId="0" fontId="2214" fillId="5" borderId="3" xfId="0" applyFont="1" applyFill="1" applyBorder="1" applyAlignment="1">
      <alignment horizontal="left" vertical="top" wrapText="1"/>
    </xf>
    <xf numFmtId="0" fontId="2215" fillId="5" borderId="3" xfId="0" applyFont="1" applyFill="1" applyBorder="1" applyAlignment="1">
      <alignment horizontal="left" vertical="top" wrapText="1"/>
    </xf>
    <xf numFmtId="0" fontId="2216" fillId="5" borderId="3" xfId="0" applyFont="1" applyFill="1" applyBorder="1" applyAlignment="1">
      <alignment horizontal="left" vertical="top" wrapText="1"/>
    </xf>
    <xf numFmtId="0" fontId="2217" fillId="5" borderId="3" xfId="0" applyFont="1" applyFill="1" applyBorder="1" applyAlignment="1">
      <alignment horizontal="left" vertical="top" wrapText="1"/>
    </xf>
    <xf numFmtId="0" fontId="2218" fillId="5" borderId="3" xfId="0" applyFont="1" applyFill="1" applyBorder="1" applyAlignment="1">
      <alignment horizontal="left" vertical="top" wrapText="1"/>
    </xf>
    <xf numFmtId="0" fontId="2219" fillId="5" borderId="3" xfId="0" applyFont="1" applyFill="1" applyBorder="1" applyAlignment="1">
      <alignment horizontal="left" vertical="top" wrapText="1"/>
    </xf>
    <xf numFmtId="0" fontId="2220" fillId="5" borderId="3" xfId="0" applyFont="1" applyFill="1" applyBorder="1" applyAlignment="1">
      <alignment horizontal="left" vertical="top" wrapText="1"/>
    </xf>
    <xf numFmtId="0" fontId="2221" fillId="5" borderId="3" xfId="0" applyFont="1" applyFill="1" applyBorder="1" applyAlignment="1">
      <alignment horizontal="center" vertical="top"/>
    </xf>
    <xf numFmtId="0" fontId="2222" fillId="5" borderId="3" xfId="0" applyFont="1" applyFill="1" applyBorder="1" applyAlignment="1">
      <alignment horizontal="center" vertical="top"/>
    </xf>
    <xf numFmtId="0" fontId="2223" fillId="5" borderId="3" xfId="0" applyFont="1" applyFill="1" applyBorder="1" applyAlignment="1">
      <alignment horizontal="center" vertical="top"/>
    </xf>
    <xf numFmtId="0" fontId="2224" fillId="5" borderId="3" xfId="0" applyFont="1" applyFill="1" applyBorder="1" applyAlignment="1">
      <alignment horizontal="center" vertical="top"/>
    </xf>
    <xf numFmtId="0" fontId="2225" fillId="5" borderId="3" xfId="0" applyFont="1" applyFill="1" applyBorder="1" applyAlignment="1">
      <alignment horizontal="left" vertical="top" wrapText="1"/>
    </xf>
    <xf numFmtId="0" fontId="2226" fillId="5" borderId="3" xfId="0" applyFont="1" applyFill="1" applyBorder="1" applyAlignment="1">
      <alignment horizontal="left" vertical="top" wrapText="1"/>
    </xf>
    <xf numFmtId="0" fontId="2227" fillId="5" borderId="3" xfId="0" applyFont="1" applyFill="1" applyBorder="1" applyAlignment="1">
      <alignment horizontal="left" vertical="top" wrapText="1"/>
    </xf>
    <xf numFmtId="0" fontId="2228" fillId="5" borderId="3" xfId="0" applyFont="1" applyFill="1" applyBorder="1" applyAlignment="1">
      <alignment horizontal="left" vertical="top" wrapText="1"/>
    </xf>
    <xf numFmtId="0" fontId="2229" fillId="5" borderId="3" xfId="0" applyFont="1" applyFill="1" applyBorder="1" applyAlignment="1">
      <alignment horizontal="left" vertical="top" wrapText="1"/>
    </xf>
    <xf numFmtId="0" fontId="2230" fillId="5" borderId="3" xfId="0" applyFont="1" applyFill="1" applyBorder="1" applyAlignment="1">
      <alignment horizontal="left" vertical="top" wrapText="1"/>
    </xf>
    <xf numFmtId="0" fontId="2231" fillId="5" borderId="3" xfId="0" applyFont="1" applyFill="1" applyBorder="1" applyAlignment="1">
      <alignment horizontal="center" vertical="top"/>
    </xf>
    <xf numFmtId="0" fontId="2232" fillId="5" borderId="3" xfId="0" applyFont="1" applyFill="1" applyBorder="1" applyAlignment="1">
      <alignment horizontal="left" vertical="top" wrapText="1"/>
    </xf>
    <xf numFmtId="0" fontId="2233" fillId="5" borderId="3" xfId="0" applyFont="1" applyFill="1" applyBorder="1" applyAlignment="1">
      <alignment horizontal="left" vertical="top" wrapText="1"/>
    </xf>
    <xf numFmtId="0" fontId="2234" fillId="5" borderId="3" xfId="0" applyFont="1" applyFill="1" applyBorder="1" applyAlignment="1">
      <alignment horizontal="left" vertical="top" wrapText="1"/>
    </xf>
    <xf numFmtId="0" fontId="2235" fillId="5" borderId="3" xfId="0" applyFont="1" applyFill="1" applyBorder="1" applyAlignment="1">
      <alignment horizontal="left" vertical="top" wrapText="1"/>
    </xf>
    <xf numFmtId="0" fontId="2236" fillId="5" borderId="3" xfId="0" applyFont="1" applyFill="1" applyBorder="1" applyAlignment="1">
      <alignment horizontal="left" vertical="top" wrapText="1"/>
    </xf>
    <xf numFmtId="0" fontId="2237" fillId="5" borderId="3" xfId="0" applyFont="1" applyFill="1" applyBorder="1" applyAlignment="1">
      <alignment horizontal="left" vertical="top" wrapText="1"/>
    </xf>
    <xf numFmtId="0" fontId="2238" fillId="5" borderId="3" xfId="0" applyFont="1" applyFill="1" applyBorder="1" applyAlignment="1">
      <alignment horizontal="left" vertical="top" wrapText="1"/>
    </xf>
    <xf numFmtId="0" fontId="2239" fillId="5" borderId="3" xfId="0" applyFont="1" applyFill="1" applyBorder="1" applyAlignment="1">
      <alignment horizontal="left" vertical="top" wrapText="1"/>
    </xf>
    <xf numFmtId="0" fontId="2240" fillId="5" borderId="3" xfId="0" applyFont="1" applyFill="1" applyBorder="1" applyAlignment="1">
      <alignment horizontal="left" vertical="top" wrapText="1"/>
    </xf>
    <xf numFmtId="0" fontId="2241" fillId="5" borderId="3" xfId="0" applyFont="1" applyFill="1" applyBorder="1" applyAlignment="1">
      <alignment horizontal="left" vertical="top" wrapText="1"/>
    </xf>
    <xf numFmtId="0" fontId="2242" fillId="5" borderId="3" xfId="0" applyFont="1" applyFill="1" applyBorder="1" applyAlignment="1">
      <alignment horizontal="center" vertical="top"/>
    </xf>
    <xf numFmtId="0" fontId="2243" fillId="5" borderId="3" xfId="0" applyFont="1" applyFill="1" applyBorder="1" applyAlignment="1">
      <alignment horizontal="center" vertical="top"/>
    </xf>
    <xf numFmtId="0" fontId="2244" fillId="5" borderId="3" xfId="0" applyFont="1" applyFill="1" applyBorder="1" applyAlignment="1">
      <alignment horizontal="center" vertical="top"/>
    </xf>
    <xf numFmtId="0" fontId="2245" fillId="5" borderId="3" xfId="0" applyFont="1" applyFill="1" applyBorder="1" applyAlignment="1">
      <alignment horizontal="center" vertical="top"/>
    </xf>
    <xf numFmtId="0" fontId="2246" fillId="5" borderId="3" xfId="0" applyFont="1" applyFill="1" applyBorder="1" applyAlignment="1">
      <alignment horizontal="left" vertical="top" wrapText="1"/>
    </xf>
    <xf numFmtId="0" fontId="2247" fillId="5" borderId="3" xfId="0" applyFont="1" applyFill="1" applyBorder="1" applyAlignment="1">
      <alignment horizontal="left" vertical="top" wrapText="1"/>
    </xf>
    <xf numFmtId="0" fontId="2248" fillId="5" borderId="3" xfId="0" applyFont="1" applyFill="1" applyBorder="1" applyAlignment="1">
      <alignment horizontal="left" vertical="top" wrapText="1"/>
    </xf>
    <xf numFmtId="0" fontId="2249" fillId="5" borderId="3" xfId="0" applyFont="1" applyFill="1" applyBorder="1" applyAlignment="1">
      <alignment horizontal="left" vertical="top" wrapText="1"/>
    </xf>
    <xf numFmtId="0" fontId="2250" fillId="5" borderId="3" xfId="0" applyFont="1" applyFill="1" applyBorder="1" applyAlignment="1">
      <alignment horizontal="left" vertical="top" wrapText="1"/>
    </xf>
    <xf numFmtId="0" fontId="2251" fillId="5" borderId="3" xfId="0" applyFont="1" applyFill="1" applyBorder="1" applyAlignment="1">
      <alignment horizontal="left" vertical="top" wrapText="1"/>
    </xf>
    <xf numFmtId="0" fontId="2252" fillId="5" borderId="3" xfId="0" applyFont="1" applyFill="1" applyBorder="1" applyAlignment="1">
      <alignment horizontal="left" vertical="top" wrapText="1"/>
    </xf>
    <xf numFmtId="0" fontId="2253" fillId="5" borderId="3" xfId="0" applyFont="1" applyFill="1" applyBorder="1" applyAlignment="1">
      <alignment horizontal="center" vertical="top"/>
    </xf>
    <xf numFmtId="0" fontId="2254" fillId="5" borderId="3" xfId="0" applyFont="1" applyFill="1" applyBorder="1" applyAlignment="1">
      <alignment horizontal="center" vertical="top"/>
    </xf>
    <xf numFmtId="0" fontId="2255" fillId="5" borderId="3" xfId="0" applyFont="1" applyFill="1" applyBorder="1" applyAlignment="1">
      <alignment horizontal="center" vertical="top"/>
    </xf>
    <xf numFmtId="0" fontId="2256" fillId="5" borderId="3" xfId="0" applyFont="1" applyFill="1" applyBorder="1" applyAlignment="1">
      <alignment horizontal="center" vertical="top"/>
    </xf>
    <xf numFmtId="0" fontId="2257" fillId="5" borderId="3" xfId="0" applyFont="1" applyFill="1" applyBorder="1" applyAlignment="1">
      <alignment horizontal="center" vertical="top"/>
    </xf>
    <xf numFmtId="0" fontId="2258" fillId="5" borderId="3" xfId="0" applyFont="1" applyFill="1" applyBorder="1" applyAlignment="1">
      <alignment horizontal="center" vertical="top"/>
    </xf>
    <xf numFmtId="0" fontId="2259" fillId="5" borderId="3" xfId="0" applyFont="1" applyFill="1" applyBorder="1" applyAlignment="1">
      <alignment horizontal="center" vertical="top"/>
    </xf>
    <xf numFmtId="0" fontId="2260" fillId="5" borderId="3" xfId="0" applyFont="1" applyFill="1" applyBorder="1" applyAlignment="1">
      <alignment horizontal="center" vertical="top"/>
    </xf>
    <xf numFmtId="0" fontId="2261" fillId="5" borderId="3" xfId="0" applyFont="1" applyFill="1" applyBorder="1" applyAlignment="1">
      <alignment horizontal="center" vertical="top"/>
    </xf>
    <xf numFmtId="0" fontId="2262" fillId="5" borderId="3" xfId="0" applyFont="1" applyFill="1" applyBorder="1" applyAlignment="1">
      <alignment horizontal="center" vertical="top"/>
    </xf>
    <xf numFmtId="0" fontId="2263" fillId="5" borderId="3" xfId="0" applyFont="1" applyFill="1" applyBorder="1" applyAlignment="1">
      <alignment horizontal="left" vertical="top" wrapText="1"/>
    </xf>
    <xf numFmtId="0" fontId="2264" fillId="5" borderId="3" xfId="0" applyFont="1" applyFill="1" applyBorder="1" applyAlignment="1">
      <alignment horizontal="left" vertical="top" wrapText="1"/>
    </xf>
    <xf numFmtId="0" fontId="2265" fillId="5" borderId="3" xfId="0" applyFont="1" applyFill="1" applyBorder="1" applyAlignment="1">
      <alignment horizontal="left" vertical="top" wrapText="1"/>
    </xf>
    <xf numFmtId="0" fontId="2266" fillId="5" borderId="3" xfId="0" applyFont="1" applyFill="1" applyBorder="1" applyAlignment="1">
      <alignment horizontal="left" vertical="top" wrapText="1"/>
    </xf>
    <xf numFmtId="0" fontId="2267" fillId="5" borderId="3" xfId="0" applyFont="1" applyFill="1" applyBorder="1" applyAlignment="1">
      <alignment horizontal="left" vertical="top" wrapText="1"/>
    </xf>
    <xf numFmtId="0" fontId="2268" fillId="5" borderId="3" xfId="0" applyFont="1" applyFill="1" applyBorder="1" applyAlignment="1">
      <alignment horizontal="left" vertical="top" wrapText="1"/>
    </xf>
    <xf numFmtId="0" fontId="2269" fillId="5" borderId="3" xfId="0" applyFont="1" applyFill="1" applyBorder="1" applyAlignment="1">
      <alignment horizontal="left" vertical="top" wrapText="1"/>
    </xf>
    <xf numFmtId="0" fontId="2270" fillId="5" borderId="3" xfId="0" applyFont="1" applyFill="1" applyBorder="1" applyAlignment="1">
      <alignment horizontal="left" vertical="top" wrapText="1"/>
    </xf>
    <xf numFmtId="0" fontId="2271" fillId="5" borderId="3" xfId="0" applyFont="1" applyFill="1" applyBorder="1" applyAlignment="1">
      <alignment horizontal="left" vertical="top" wrapText="1"/>
    </xf>
    <xf numFmtId="0" fontId="2272" fillId="5" borderId="3" xfId="0" applyFont="1" applyFill="1" applyBorder="1" applyAlignment="1">
      <alignment horizontal="left" vertical="top" wrapText="1"/>
    </xf>
    <xf numFmtId="49" fontId="0" fillId="0" borderId="0" xfId="0" applyNumberFormat="1"/>
    <xf numFmtId="0" fontId="2275" fillId="4" borderId="3" xfId="0" applyFont="1" applyFill="1" applyBorder="1" applyAlignment="1">
      <alignment horizontal="center" vertical="top" wrapText="1"/>
    </xf>
    <xf numFmtId="0" fontId="2278" fillId="5" borderId="3" xfId="0" applyFont="1" applyFill="1" applyBorder="1" applyAlignment="1">
      <alignment horizontal="left" vertical="top" wrapText="1"/>
    </xf>
    <xf numFmtId="0" fontId="2279" fillId="5" borderId="3" xfId="0" applyFont="1" applyFill="1" applyBorder="1" applyAlignment="1">
      <alignment horizontal="left" vertical="top" wrapText="1"/>
    </xf>
    <xf numFmtId="0" fontId="2280" fillId="5" borderId="3" xfId="0" applyFont="1" applyFill="1" applyBorder="1" applyAlignment="1">
      <alignment horizontal="left" vertical="top" wrapText="1"/>
    </xf>
    <xf numFmtId="0" fontId="2281" fillId="5" borderId="3" xfId="0" applyFont="1" applyFill="1" applyBorder="1" applyAlignment="1">
      <alignment horizontal="left" vertical="top" wrapText="1"/>
    </xf>
    <xf numFmtId="0" fontId="2282" fillId="5" borderId="3" xfId="0" applyFont="1" applyFill="1" applyBorder="1" applyAlignment="1">
      <alignment horizontal="left" vertical="top" wrapText="1"/>
    </xf>
    <xf numFmtId="0" fontId="2283" fillId="5" borderId="3" xfId="0" applyFont="1" applyFill="1" applyBorder="1" applyAlignment="1">
      <alignment horizontal="left" vertical="top" wrapText="1"/>
    </xf>
    <xf numFmtId="0" fontId="2284" fillId="5" borderId="3" xfId="0" applyFont="1" applyFill="1" applyBorder="1" applyAlignment="1">
      <alignment horizontal="left" vertical="top" wrapText="1"/>
    </xf>
    <xf numFmtId="0" fontId="2285" fillId="5" borderId="3" xfId="0" applyFont="1" applyFill="1" applyBorder="1" applyAlignment="1">
      <alignment horizontal="left" vertical="top" wrapText="1"/>
    </xf>
    <xf numFmtId="0" fontId="2286" fillId="5" borderId="3" xfId="0" applyFont="1" applyFill="1" applyBorder="1" applyAlignment="1">
      <alignment horizontal="left" vertical="top" wrapText="1"/>
    </xf>
    <xf numFmtId="0" fontId="2287" fillId="5" borderId="3" xfId="0" applyFont="1" applyFill="1" applyBorder="1" applyAlignment="1">
      <alignment horizontal="left" vertical="top" wrapText="1"/>
    </xf>
    <xf numFmtId="0" fontId="2288" fillId="5" borderId="3" xfId="0" applyFont="1" applyFill="1" applyBorder="1" applyAlignment="1">
      <alignment horizontal="left" vertical="top" wrapText="1"/>
    </xf>
    <xf numFmtId="0" fontId="2289" fillId="5" borderId="3" xfId="0" applyFont="1" applyFill="1" applyBorder="1" applyAlignment="1">
      <alignment horizontal="left" vertical="top" wrapText="1"/>
    </xf>
    <xf numFmtId="0" fontId="2290" fillId="5" borderId="3" xfId="0" applyFont="1" applyFill="1" applyBorder="1" applyAlignment="1">
      <alignment horizontal="left" vertical="top" wrapText="1"/>
    </xf>
    <xf numFmtId="0" fontId="2291" fillId="5" borderId="3" xfId="0" applyFont="1" applyFill="1" applyBorder="1" applyAlignment="1">
      <alignment horizontal="left" vertical="top" wrapText="1"/>
    </xf>
    <xf numFmtId="0" fontId="2292" fillId="5" borderId="3" xfId="0" applyFont="1" applyFill="1" applyBorder="1" applyAlignment="1">
      <alignment horizontal="left" vertical="top" wrapText="1"/>
    </xf>
    <xf numFmtId="0" fontId="2293" fillId="5" borderId="3" xfId="0" applyFont="1" applyFill="1" applyBorder="1" applyAlignment="1">
      <alignment horizontal="left" vertical="top" wrapText="1"/>
    </xf>
    <xf numFmtId="0" fontId="2294" fillId="5" borderId="3" xfId="0" applyFont="1" applyFill="1" applyBorder="1" applyAlignment="1">
      <alignment horizontal="left" vertical="top" wrapText="1"/>
    </xf>
    <xf numFmtId="0" fontId="2295" fillId="5" borderId="3" xfId="0" applyFont="1" applyFill="1" applyBorder="1" applyAlignment="1">
      <alignment horizontal="left" vertical="top" wrapText="1"/>
    </xf>
    <xf numFmtId="0" fontId="2296" fillId="5" borderId="3" xfId="0" applyFont="1" applyFill="1" applyBorder="1" applyAlignment="1">
      <alignment horizontal="left" vertical="top" wrapText="1"/>
    </xf>
    <xf numFmtId="0" fontId="2297" fillId="5" borderId="3" xfId="0" applyFont="1" applyFill="1" applyBorder="1" applyAlignment="1">
      <alignment horizontal="left" vertical="top" wrapText="1"/>
    </xf>
    <xf numFmtId="0" fontId="2298" fillId="5" borderId="3" xfId="0" applyFont="1" applyFill="1" applyBorder="1" applyAlignment="1">
      <alignment horizontal="left" vertical="top" wrapText="1"/>
    </xf>
    <xf numFmtId="0" fontId="2299" fillId="5" borderId="3" xfId="0" applyFont="1" applyFill="1" applyBorder="1" applyAlignment="1">
      <alignment horizontal="left" vertical="top" wrapText="1"/>
    </xf>
    <xf numFmtId="0" fontId="2300" fillId="5" borderId="3" xfId="0" applyFont="1" applyFill="1" applyBorder="1" applyAlignment="1">
      <alignment horizontal="left" vertical="top" wrapText="1"/>
    </xf>
    <xf numFmtId="0" fontId="2301" fillId="5" borderId="3" xfId="0" applyFont="1" applyFill="1" applyBorder="1" applyAlignment="1">
      <alignment horizontal="left" vertical="top" wrapText="1"/>
    </xf>
    <xf numFmtId="0" fontId="2302" fillId="5" borderId="3" xfId="0" applyFont="1" applyFill="1" applyBorder="1" applyAlignment="1">
      <alignment horizontal="left" vertical="top" wrapText="1"/>
    </xf>
    <xf numFmtId="0" fontId="2303" fillId="5" borderId="3" xfId="0" applyFont="1" applyFill="1" applyBorder="1" applyAlignment="1">
      <alignment horizontal="left" vertical="top" wrapText="1"/>
    </xf>
    <xf numFmtId="0" fontId="2304" fillId="5" borderId="3" xfId="0" applyFont="1" applyFill="1" applyBorder="1" applyAlignment="1">
      <alignment horizontal="left" vertical="top" wrapText="1"/>
    </xf>
    <xf numFmtId="0" fontId="2305" fillId="5" borderId="3" xfId="0" applyFont="1" applyFill="1" applyBorder="1" applyAlignment="1">
      <alignment horizontal="left" vertical="top" wrapText="1"/>
    </xf>
    <xf numFmtId="0" fontId="2306" fillId="5" borderId="3" xfId="0" applyFont="1" applyFill="1" applyBorder="1" applyAlignment="1">
      <alignment horizontal="left" vertical="top" wrapText="1"/>
    </xf>
    <xf numFmtId="0" fontId="2307" fillId="5" borderId="3" xfId="0" applyFont="1" applyFill="1" applyBorder="1" applyAlignment="1">
      <alignment horizontal="left" vertical="top" wrapText="1"/>
    </xf>
    <xf numFmtId="0" fontId="2308" fillId="5" borderId="3" xfId="0" applyFont="1" applyFill="1" applyBorder="1" applyAlignment="1">
      <alignment horizontal="left" vertical="top" wrapText="1"/>
    </xf>
    <xf numFmtId="0" fontId="2309" fillId="5" borderId="3" xfId="0" applyFont="1" applyFill="1" applyBorder="1" applyAlignment="1">
      <alignment horizontal="left" vertical="top" wrapText="1"/>
    </xf>
    <xf numFmtId="0" fontId="2310" fillId="5" borderId="3" xfId="0" applyFont="1" applyFill="1" applyBorder="1" applyAlignment="1">
      <alignment horizontal="left" vertical="top" wrapText="1"/>
    </xf>
    <xf numFmtId="0" fontId="2311" fillId="5" borderId="3" xfId="0" applyFont="1" applyFill="1" applyBorder="1" applyAlignment="1">
      <alignment horizontal="left" vertical="top" wrapText="1"/>
    </xf>
    <xf numFmtId="0" fontId="2312" fillId="5" borderId="3" xfId="0" applyFont="1" applyFill="1" applyBorder="1" applyAlignment="1">
      <alignment horizontal="left" vertical="top" wrapText="1"/>
    </xf>
    <xf numFmtId="0" fontId="2313" fillId="5" borderId="3" xfId="0" applyFont="1" applyFill="1" applyBorder="1" applyAlignment="1">
      <alignment horizontal="left" vertical="top" wrapText="1"/>
    </xf>
    <xf numFmtId="0" fontId="2314" fillId="5" borderId="3" xfId="0" applyFont="1" applyFill="1" applyBorder="1" applyAlignment="1">
      <alignment horizontal="left" vertical="top" wrapText="1"/>
    </xf>
    <xf numFmtId="0" fontId="2315" fillId="5" borderId="3" xfId="0" applyFont="1" applyFill="1" applyBorder="1" applyAlignment="1">
      <alignment horizontal="left" vertical="top" wrapText="1"/>
    </xf>
    <xf numFmtId="0" fontId="2316" fillId="5" borderId="3" xfId="0" applyFont="1" applyFill="1" applyBorder="1" applyAlignment="1">
      <alignment horizontal="left" vertical="top" wrapText="1"/>
    </xf>
    <xf numFmtId="0" fontId="2317" fillId="5" borderId="3" xfId="0" applyFont="1" applyFill="1" applyBorder="1" applyAlignment="1">
      <alignment horizontal="left" vertical="top" wrapText="1"/>
    </xf>
    <xf numFmtId="0" fontId="2318" fillId="5" borderId="3" xfId="0" applyFont="1" applyFill="1" applyBorder="1" applyAlignment="1">
      <alignment horizontal="left" vertical="top" wrapText="1"/>
    </xf>
    <xf numFmtId="0" fontId="2319" fillId="5" borderId="3" xfId="0" applyFont="1" applyFill="1" applyBorder="1" applyAlignment="1">
      <alignment horizontal="left" vertical="top" wrapText="1"/>
    </xf>
    <xf numFmtId="0" fontId="2320" fillId="5" borderId="3" xfId="0" applyFont="1" applyFill="1" applyBorder="1" applyAlignment="1">
      <alignment horizontal="left" vertical="top" wrapText="1"/>
    </xf>
    <xf numFmtId="0" fontId="2321" fillId="5" borderId="3" xfId="0" applyFont="1" applyFill="1" applyBorder="1" applyAlignment="1">
      <alignment horizontal="left" vertical="top" wrapText="1"/>
    </xf>
    <xf numFmtId="0" fontId="2322" fillId="5" borderId="3" xfId="0" applyFont="1" applyFill="1" applyBorder="1" applyAlignment="1">
      <alignment horizontal="left" vertical="top" wrapText="1"/>
    </xf>
    <xf numFmtId="0" fontId="2323" fillId="5" borderId="3" xfId="0" applyFont="1" applyFill="1" applyBorder="1" applyAlignment="1">
      <alignment horizontal="left" vertical="top" wrapText="1"/>
    </xf>
    <xf numFmtId="0" fontId="2324" fillId="5" borderId="3" xfId="0" applyFont="1" applyFill="1" applyBorder="1" applyAlignment="1">
      <alignment horizontal="left" vertical="top" wrapText="1"/>
    </xf>
    <xf numFmtId="0" fontId="2325" fillId="5" borderId="3" xfId="0" applyFont="1" applyFill="1" applyBorder="1" applyAlignment="1">
      <alignment horizontal="left" vertical="top" wrapText="1"/>
    </xf>
    <xf numFmtId="0" fontId="2326" fillId="5" borderId="3" xfId="0" applyFont="1" applyFill="1" applyBorder="1" applyAlignment="1">
      <alignment horizontal="left" vertical="top" wrapText="1"/>
    </xf>
    <xf numFmtId="0" fontId="2327" fillId="5" borderId="3" xfId="0" applyFont="1" applyFill="1" applyBorder="1" applyAlignment="1">
      <alignment horizontal="left" vertical="top" wrapText="1"/>
    </xf>
    <xf numFmtId="0" fontId="2328" fillId="5" borderId="3" xfId="0" applyFont="1" applyFill="1" applyBorder="1" applyAlignment="1">
      <alignment horizontal="left" vertical="top" wrapText="1"/>
    </xf>
    <xf numFmtId="0" fontId="2329" fillId="5" borderId="3" xfId="0" applyFont="1" applyFill="1" applyBorder="1" applyAlignment="1">
      <alignment horizontal="left" vertical="top" wrapText="1"/>
    </xf>
    <xf numFmtId="0" fontId="2330" fillId="5" borderId="3" xfId="0" applyFont="1" applyFill="1" applyBorder="1" applyAlignment="1">
      <alignment horizontal="left" vertical="top" wrapText="1"/>
    </xf>
    <xf numFmtId="0" fontId="2331" fillId="5" borderId="3" xfId="0" applyFont="1" applyFill="1" applyBorder="1" applyAlignment="1">
      <alignment horizontal="left" vertical="top" wrapText="1"/>
    </xf>
    <xf numFmtId="0" fontId="2332" fillId="5" borderId="3" xfId="0" applyFont="1" applyFill="1" applyBorder="1" applyAlignment="1">
      <alignment horizontal="left" vertical="top" wrapText="1"/>
    </xf>
    <xf numFmtId="0" fontId="2333" fillId="5" borderId="3" xfId="0" applyFont="1" applyFill="1" applyBorder="1" applyAlignment="1">
      <alignment horizontal="left" vertical="top" wrapText="1"/>
    </xf>
    <xf numFmtId="0" fontId="2334" fillId="5" borderId="3" xfId="0" applyFont="1" applyFill="1" applyBorder="1" applyAlignment="1">
      <alignment horizontal="left" vertical="top" wrapText="1"/>
    </xf>
    <xf numFmtId="0" fontId="2335" fillId="5" borderId="3" xfId="0" applyFont="1" applyFill="1" applyBorder="1" applyAlignment="1">
      <alignment horizontal="left" vertical="top" wrapText="1"/>
    </xf>
    <xf numFmtId="0" fontId="2336" fillId="5" borderId="3" xfId="0" applyFont="1" applyFill="1" applyBorder="1" applyAlignment="1">
      <alignment horizontal="left" vertical="top" wrapText="1"/>
    </xf>
    <xf numFmtId="0" fontId="2337" fillId="5" borderId="3" xfId="0" applyFont="1" applyFill="1" applyBorder="1" applyAlignment="1">
      <alignment horizontal="left" vertical="top" wrapText="1"/>
    </xf>
    <xf numFmtId="0" fontId="2338" fillId="5" borderId="3" xfId="0" applyFont="1" applyFill="1" applyBorder="1" applyAlignment="1">
      <alignment horizontal="left" vertical="top" wrapText="1"/>
    </xf>
    <xf numFmtId="0" fontId="2339" fillId="5" borderId="3" xfId="0" applyFont="1" applyFill="1" applyBorder="1" applyAlignment="1">
      <alignment horizontal="left" vertical="top" wrapText="1"/>
    </xf>
    <xf numFmtId="0" fontId="2340" fillId="5" borderId="3" xfId="0" applyFont="1" applyFill="1" applyBorder="1" applyAlignment="1">
      <alignment horizontal="left" vertical="top" wrapText="1"/>
    </xf>
    <xf numFmtId="0" fontId="2341" fillId="5" borderId="3" xfId="0" applyFont="1" applyFill="1" applyBorder="1" applyAlignment="1">
      <alignment horizontal="left" vertical="top" wrapText="1"/>
    </xf>
    <xf numFmtId="0" fontId="2342" fillId="5" borderId="3" xfId="0" applyFont="1" applyFill="1" applyBorder="1" applyAlignment="1">
      <alignment horizontal="left" vertical="top" wrapText="1"/>
    </xf>
    <xf numFmtId="0" fontId="2343" fillId="5" borderId="3" xfId="0" applyFont="1" applyFill="1" applyBorder="1" applyAlignment="1">
      <alignment horizontal="left" vertical="top" wrapText="1"/>
    </xf>
    <xf numFmtId="0" fontId="2344" fillId="5" borderId="3" xfId="0" applyFont="1" applyFill="1" applyBorder="1" applyAlignment="1">
      <alignment horizontal="left" vertical="top" wrapText="1"/>
    </xf>
    <xf numFmtId="0" fontId="2345" fillId="5" borderId="3" xfId="0" applyFont="1" applyFill="1" applyBorder="1" applyAlignment="1">
      <alignment horizontal="left" vertical="top" wrapText="1"/>
    </xf>
    <xf numFmtId="0" fontId="2346" fillId="5" borderId="3" xfId="0" applyFont="1" applyFill="1" applyBorder="1" applyAlignment="1">
      <alignment horizontal="left" vertical="top" wrapText="1"/>
    </xf>
    <xf numFmtId="0" fontId="2347" fillId="5" borderId="3" xfId="0" applyFont="1" applyFill="1" applyBorder="1" applyAlignment="1">
      <alignment horizontal="left" vertical="top" wrapText="1"/>
    </xf>
    <xf numFmtId="0" fontId="2348" fillId="5" borderId="3" xfId="0" applyFont="1" applyFill="1" applyBorder="1" applyAlignment="1">
      <alignment horizontal="left" vertical="top" wrapText="1"/>
    </xf>
    <xf numFmtId="0" fontId="2349" fillId="5" borderId="3" xfId="0" applyFont="1" applyFill="1" applyBorder="1" applyAlignment="1">
      <alignment horizontal="left" vertical="top" wrapText="1"/>
    </xf>
    <xf numFmtId="0" fontId="2350" fillId="5" borderId="3" xfId="0" applyFont="1" applyFill="1" applyBorder="1" applyAlignment="1">
      <alignment horizontal="left" vertical="top" wrapText="1"/>
    </xf>
    <xf numFmtId="0" fontId="2351" fillId="5" borderId="3" xfId="0" applyFont="1" applyFill="1" applyBorder="1" applyAlignment="1">
      <alignment horizontal="left" vertical="top" wrapText="1"/>
    </xf>
    <xf numFmtId="0" fontId="2352" fillId="5" borderId="3" xfId="0" applyFont="1" applyFill="1" applyBorder="1" applyAlignment="1">
      <alignment horizontal="left" vertical="top" wrapText="1"/>
    </xf>
    <xf numFmtId="0" fontId="2353" fillId="5" borderId="3" xfId="0" applyFont="1" applyFill="1" applyBorder="1" applyAlignment="1">
      <alignment horizontal="left" vertical="top" wrapText="1"/>
    </xf>
    <xf numFmtId="0" fontId="2354" fillId="5" borderId="3" xfId="0" applyFont="1" applyFill="1" applyBorder="1" applyAlignment="1">
      <alignment horizontal="left" vertical="top" wrapText="1"/>
    </xf>
    <xf numFmtId="0" fontId="2355" fillId="5" borderId="3" xfId="0" applyFont="1" applyFill="1" applyBorder="1" applyAlignment="1">
      <alignment horizontal="left" vertical="top" wrapText="1"/>
    </xf>
    <xf numFmtId="0" fontId="2356" fillId="5" borderId="3" xfId="0" applyFont="1" applyFill="1" applyBorder="1" applyAlignment="1">
      <alignment horizontal="left" vertical="top" wrapText="1"/>
    </xf>
    <xf numFmtId="0" fontId="2357" fillId="5" borderId="3" xfId="0" applyFont="1" applyFill="1" applyBorder="1" applyAlignment="1">
      <alignment horizontal="left" vertical="top" wrapText="1"/>
    </xf>
    <xf numFmtId="0" fontId="2358" fillId="5" borderId="3" xfId="0" applyFont="1" applyFill="1" applyBorder="1" applyAlignment="1">
      <alignment horizontal="left" vertical="top" wrapText="1"/>
    </xf>
    <xf numFmtId="0" fontId="2359" fillId="5" borderId="3" xfId="0" applyFont="1" applyFill="1" applyBorder="1" applyAlignment="1">
      <alignment horizontal="left" vertical="top" wrapText="1"/>
    </xf>
    <xf numFmtId="0" fontId="2360" fillId="5" borderId="3" xfId="0" applyFont="1" applyFill="1" applyBorder="1" applyAlignment="1">
      <alignment horizontal="left" vertical="top" wrapText="1"/>
    </xf>
    <xf numFmtId="0" fontId="2361" fillId="5" borderId="3" xfId="0" applyFont="1" applyFill="1" applyBorder="1" applyAlignment="1">
      <alignment horizontal="left" vertical="top" wrapText="1"/>
    </xf>
    <xf numFmtId="0" fontId="2362" fillId="5" borderId="3" xfId="0" applyFont="1" applyFill="1" applyBorder="1" applyAlignment="1">
      <alignment horizontal="left" vertical="top" wrapText="1"/>
    </xf>
    <xf numFmtId="0" fontId="2363" fillId="5" borderId="3" xfId="0" applyFont="1" applyFill="1" applyBorder="1" applyAlignment="1">
      <alignment horizontal="left" vertical="top" wrapText="1"/>
    </xf>
    <xf numFmtId="0" fontId="2364" fillId="5" borderId="3" xfId="0" applyFont="1" applyFill="1" applyBorder="1" applyAlignment="1">
      <alignment horizontal="left" vertical="top" wrapText="1"/>
    </xf>
    <xf numFmtId="0" fontId="2365" fillId="5" borderId="3" xfId="0" applyFont="1" applyFill="1" applyBorder="1" applyAlignment="1">
      <alignment horizontal="left" vertical="top" wrapText="1"/>
    </xf>
    <xf numFmtId="0" fontId="2366" fillId="5" borderId="3" xfId="0" applyFont="1" applyFill="1" applyBorder="1" applyAlignment="1">
      <alignment horizontal="left" vertical="top" wrapText="1"/>
    </xf>
    <xf numFmtId="0" fontId="2367" fillId="5" borderId="3" xfId="0" applyFont="1" applyFill="1" applyBorder="1" applyAlignment="1">
      <alignment horizontal="left" vertical="top" wrapText="1"/>
    </xf>
    <xf numFmtId="0" fontId="2368" fillId="5" borderId="3" xfId="0" applyFont="1" applyFill="1" applyBorder="1" applyAlignment="1">
      <alignment horizontal="left" vertical="top" wrapText="1"/>
    </xf>
    <xf numFmtId="0" fontId="2369" fillId="5" borderId="3" xfId="0" applyFont="1" applyFill="1" applyBorder="1" applyAlignment="1">
      <alignment horizontal="left" vertical="top" wrapText="1"/>
    </xf>
    <xf numFmtId="0" fontId="2370" fillId="5" borderId="3" xfId="0" applyFont="1" applyFill="1" applyBorder="1" applyAlignment="1">
      <alignment horizontal="left" vertical="top" wrapText="1"/>
    </xf>
    <xf numFmtId="0" fontId="2371" fillId="5" borderId="3" xfId="0" applyFont="1" applyFill="1" applyBorder="1" applyAlignment="1">
      <alignment horizontal="left" vertical="top" wrapText="1"/>
    </xf>
    <xf numFmtId="0" fontId="2372" fillId="5" borderId="3" xfId="0" applyFont="1" applyFill="1" applyBorder="1" applyAlignment="1">
      <alignment horizontal="left" vertical="top" wrapText="1"/>
    </xf>
    <xf numFmtId="0" fontId="2373" fillId="5" borderId="3" xfId="0" applyFont="1" applyFill="1" applyBorder="1" applyAlignment="1">
      <alignment horizontal="left" vertical="top" wrapText="1"/>
    </xf>
    <xf numFmtId="0" fontId="2374" fillId="5" borderId="3" xfId="0" applyFont="1" applyFill="1" applyBorder="1" applyAlignment="1">
      <alignment horizontal="left" vertical="top" wrapText="1"/>
    </xf>
    <xf numFmtId="0" fontId="2375" fillId="5" borderId="3" xfId="0" applyFont="1" applyFill="1" applyBorder="1" applyAlignment="1">
      <alignment horizontal="left" vertical="top" wrapText="1"/>
    </xf>
    <xf numFmtId="0" fontId="2376" fillId="5" borderId="3" xfId="0" applyFont="1" applyFill="1" applyBorder="1" applyAlignment="1">
      <alignment horizontal="left" vertical="top" wrapText="1"/>
    </xf>
    <xf numFmtId="0" fontId="2377" fillId="5" borderId="3" xfId="0" applyFont="1" applyFill="1" applyBorder="1" applyAlignment="1">
      <alignment horizontal="left" vertical="top" wrapText="1"/>
    </xf>
    <xf numFmtId="0" fontId="2378" fillId="5" borderId="3" xfId="0" applyFont="1" applyFill="1" applyBorder="1" applyAlignment="1">
      <alignment horizontal="left" vertical="top" wrapText="1"/>
    </xf>
    <xf numFmtId="0" fontId="2379" fillId="5" borderId="3" xfId="0" applyFont="1" applyFill="1" applyBorder="1" applyAlignment="1">
      <alignment horizontal="left" vertical="top" wrapText="1"/>
    </xf>
    <xf numFmtId="0" fontId="2380" fillId="5" borderId="3" xfId="0" applyFont="1" applyFill="1" applyBorder="1" applyAlignment="1">
      <alignment horizontal="left" vertical="top" wrapText="1"/>
    </xf>
    <xf numFmtId="0" fontId="2381" fillId="5" borderId="3" xfId="0" applyFont="1" applyFill="1" applyBorder="1" applyAlignment="1">
      <alignment horizontal="left" vertical="top" wrapText="1"/>
    </xf>
    <xf numFmtId="0" fontId="2382" fillId="5" borderId="3" xfId="0" applyFont="1" applyFill="1" applyBorder="1" applyAlignment="1">
      <alignment horizontal="left" vertical="top" wrapText="1"/>
    </xf>
    <xf numFmtId="0" fontId="2383" fillId="5" borderId="3" xfId="0" applyFont="1" applyFill="1" applyBorder="1" applyAlignment="1">
      <alignment horizontal="left" vertical="top" wrapText="1"/>
    </xf>
    <xf numFmtId="0" fontId="2384" fillId="5" borderId="3" xfId="0" applyFont="1" applyFill="1" applyBorder="1" applyAlignment="1">
      <alignment horizontal="left" vertical="top" wrapText="1"/>
    </xf>
    <xf numFmtId="0" fontId="2385" fillId="5" borderId="3" xfId="0" applyFont="1" applyFill="1" applyBorder="1" applyAlignment="1">
      <alignment horizontal="left" vertical="top" wrapText="1"/>
    </xf>
    <xf numFmtId="0" fontId="2386" fillId="5" borderId="3" xfId="0" applyFont="1" applyFill="1" applyBorder="1" applyAlignment="1">
      <alignment horizontal="left" vertical="top" wrapText="1"/>
    </xf>
    <xf numFmtId="0" fontId="2387" fillId="5" borderId="3" xfId="0" applyFont="1" applyFill="1" applyBorder="1" applyAlignment="1">
      <alignment horizontal="left" vertical="top" wrapText="1"/>
    </xf>
    <xf numFmtId="0" fontId="2388" fillId="5" borderId="3" xfId="0" applyFont="1" applyFill="1" applyBorder="1" applyAlignment="1">
      <alignment horizontal="left" vertical="top" wrapText="1"/>
    </xf>
    <xf numFmtId="0" fontId="2389" fillId="5" borderId="3" xfId="0" applyFont="1" applyFill="1" applyBorder="1" applyAlignment="1">
      <alignment horizontal="left" vertical="top" wrapText="1"/>
    </xf>
    <xf numFmtId="0" fontId="2390" fillId="5" borderId="3" xfId="0" applyFont="1" applyFill="1" applyBorder="1" applyAlignment="1">
      <alignment horizontal="left" vertical="top" wrapText="1"/>
    </xf>
    <xf numFmtId="0" fontId="2391" fillId="5" borderId="3" xfId="0" applyFont="1" applyFill="1" applyBorder="1" applyAlignment="1">
      <alignment horizontal="left" vertical="top" wrapText="1"/>
    </xf>
    <xf numFmtId="0" fontId="2392" fillId="5" borderId="3" xfId="0" applyFont="1" applyFill="1" applyBorder="1" applyAlignment="1">
      <alignment horizontal="left" vertical="top" wrapText="1"/>
    </xf>
    <xf numFmtId="0" fontId="2393" fillId="5" borderId="3" xfId="0" applyFont="1" applyFill="1" applyBorder="1" applyAlignment="1">
      <alignment horizontal="left" vertical="top" wrapText="1"/>
    </xf>
    <xf numFmtId="0" fontId="2394" fillId="5" borderId="3" xfId="0" applyFont="1" applyFill="1" applyBorder="1" applyAlignment="1">
      <alignment horizontal="left" vertical="top" wrapText="1"/>
    </xf>
    <xf numFmtId="0" fontId="2395" fillId="5" borderId="3" xfId="0" applyFont="1" applyFill="1" applyBorder="1" applyAlignment="1">
      <alignment horizontal="left" vertical="top" wrapText="1"/>
    </xf>
    <xf numFmtId="0" fontId="2396" fillId="5" borderId="3" xfId="0" applyFont="1" applyFill="1" applyBorder="1" applyAlignment="1">
      <alignment horizontal="left" vertical="top" wrapText="1"/>
    </xf>
    <xf numFmtId="0" fontId="2397" fillId="5" borderId="3" xfId="0" applyFont="1" applyFill="1" applyBorder="1" applyAlignment="1">
      <alignment horizontal="left" vertical="top" wrapText="1"/>
    </xf>
    <xf numFmtId="0" fontId="2398" fillId="5" borderId="3" xfId="0" applyFont="1" applyFill="1" applyBorder="1" applyAlignment="1">
      <alignment horizontal="left" vertical="top" wrapText="1"/>
    </xf>
    <xf numFmtId="0" fontId="2399" fillId="5" borderId="3" xfId="0" applyFont="1" applyFill="1" applyBorder="1" applyAlignment="1">
      <alignment horizontal="left" vertical="top" wrapText="1"/>
    </xf>
    <xf numFmtId="0" fontId="2400" fillId="5" borderId="3" xfId="0" applyFont="1" applyFill="1" applyBorder="1" applyAlignment="1">
      <alignment horizontal="left" vertical="top" wrapText="1"/>
    </xf>
    <xf numFmtId="0" fontId="2401" fillId="5" borderId="3" xfId="0" applyFont="1" applyFill="1" applyBorder="1" applyAlignment="1">
      <alignment horizontal="left" vertical="top" wrapText="1"/>
    </xf>
    <xf numFmtId="0" fontId="2402" fillId="5" borderId="3" xfId="0" applyFont="1" applyFill="1" applyBorder="1" applyAlignment="1">
      <alignment horizontal="left" vertical="top" wrapText="1"/>
    </xf>
    <xf numFmtId="0" fontId="2403" fillId="5" borderId="3" xfId="0" applyFont="1" applyFill="1" applyBorder="1" applyAlignment="1">
      <alignment horizontal="left" vertical="top" wrapText="1"/>
    </xf>
    <xf numFmtId="0" fontId="2404" fillId="5" borderId="3" xfId="0" applyFont="1" applyFill="1" applyBorder="1" applyAlignment="1">
      <alignment horizontal="left" vertical="top" wrapText="1"/>
    </xf>
    <xf numFmtId="0" fontId="2405" fillId="5" borderId="3" xfId="0" applyFont="1" applyFill="1" applyBorder="1" applyAlignment="1">
      <alignment horizontal="left" vertical="top" wrapText="1"/>
    </xf>
    <xf numFmtId="0" fontId="2406" fillId="5" borderId="3" xfId="0" applyFont="1" applyFill="1" applyBorder="1" applyAlignment="1">
      <alignment horizontal="left" vertical="top" wrapText="1"/>
    </xf>
    <xf numFmtId="0" fontId="2407" fillId="5" borderId="3" xfId="0" applyFont="1" applyFill="1" applyBorder="1" applyAlignment="1">
      <alignment horizontal="left" vertical="top" wrapText="1"/>
    </xf>
    <xf numFmtId="0" fontId="2408" fillId="5" borderId="3" xfId="0" applyFont="1" applyFill="1" applyBorder="1" applyAlignment="1">
      <alignment horizontal="left" vertical="top" wrapText="1"/>
    </xf>
    <xf numFmtId="0" fontId="2409" fillId="5" borderId="3" xfId="0" applyFont="1" applyFill="1" applyBorder="1" applyAlignment="1">
      <alignment horizontal="left" vertical="top" wrapText="1"/>
    </xf>
    <xf numFmtId="0" fontId="2410" fillId="5" borderId="3" xfId="0" applyFont="1" applyFill="1" applyBorder="1" applyAlignment="1">
      <alignment horizontal="left" vertical="top" wrapText="1"/>
    </xf>
    <xf numFmtId="0" fontId="2411" fillId="5" borderId="3" xfId="0" applyFont="1" applyFill="1" applyBorder="1" applyAlignment="1">
      <alignment horizontal="left" vertical="top" wrapText="1"/>
    </xf>
    <xf numFmtId="0" fontId="2412" fillId="5" borderId="3" xfId="0" applyFont="1" applyFill="1" applyBorder="1" applyAlignment="1">
      <alignment horizontal="left" vertical="top" wrapText="1"/>
    </xf>
    <xf numFmtId="0" fontId="2413" fillId="5" borderId="3" xfId="0" applyFont="1" applyFill="1" applyBorder="1" applyAlignment="1">
      <alignment horizontal="left" vertical="top" wrapText="1"/>
    </xf>
    <xf numFmtId="0" fontId="2414" fillId="5" borderId="3" xfId="0" applyFont="1" applyFill="1" applyBorder="1" applyAlignment="1">
      <alignment horizontal="left" vertical="top" wrapText="1"/>
    </xf>
    <xf numFmtId="0" fontId="2415" fillId="5" borderId="3" xfId="0" applyFont="1" applyFill="1" applyBorder="1" applyAlignment="1">
      <alignment horizontal="left" vertical="top" wrapText="1"/>
    </xf>
    <xf numFmtId="0" fontId="2416" fillId="5" borderId="3" xfId="0" applyFont="1" applyFill="1" applyBorder="1" applyAlignment="1">
      <alignment horizontal="left" vertical="top" wrapText="1"/>
    </xf>
    <xf numFmtId="0" fontId="2417" fillId="5" borderId="3" xfId="0" applyFont="1" applyFill="1" applyBorder="1" applyAlignment="1">
      <alignment horizontal="left" vertical="top" wrapText="1"/>
    </xf>
    <xf numFmtId="0" fontId="2418" fillId="5" borderId="3" xfId="0" applyFont="1" applyFill="1" applyBorder="1" applyAlignment="1">
      <alignment horizontal="left" vertical="top" wrapText="1"/>
    </xf>
    <xf numFmtId="0" fontId="2419" fillId="5" borderId="3" xfId="0" applyFont="1" applyFill="1" applyBorder="1" applyAlignment="1">
      <alignment horizontal="left" vertical="top" wrapText="1"/>
    </xf>
    <xf numFmtId="0" fontId="2420" fillId="5" borderId="3" xfId="0" applyFont="1" applyFill="1" applyBorder="1" applyAlignment="1">
      <alignment horizontal="left" vertical="top" wrapText="1"/>
    </xf>
    <xf numFmtId="0" fontId="2421" fillId="5" borderId="3" xfId="0" applyFont="1" applyFill="1" applyBorder="1" applyAlignment="1">
      <alignment horizontal="left" vertical="top" wrapText="1"/>
    </xf>
    <xf numFmtId="0" fontId="2422" fillId="5" borderId="3" xfId="0" applyFont="1" applyFill="1" applyBorder="1" applyAlignment="1">
      <alignment horizontal="left" vertical="top" wrapText="1"/>
    </xf>
    <xf numFmtId="0" fontId="2423" fillId="5" borderId="3" xfId="0" applyFont="1" applyFill="1" applyBorder="1" applyAlignment="1">
      <alignment horizontal="left" vertical="top" wrapText="1"/>
    </xf>
    <xf numFmtId="0" fontId="2424" fillId="5" borderId="3" xfId="0" applyFont="1" applyFill="1" applyBorder="1" applyAlignment="1">
      <alignment horizontal="left" vertical="top" wrapText="1"/>
    </xf>
    <xf numFmtId="0" fontId="2425" fillId="5" borderId="3" xfId="0" applyFont="1" applyFill="1" applyBorder="1" applyAlignment="1">
      <alignment horizontal="left" vertical="top" wrapText="1"/>
    </xf>
    <xf numFmtId="0" fontId="2426" fillId="5" borderId="3" xfId="0" applyFont="1" applyFill="1" applyBorder="1" applyAlignment="1">
      <alignment horizontal="left" vertical="top" wrapText="1"/>
    </xf>
    <xf numFmtId="0" fontId="2427" fillId="5" borderId="3" xfId="0" applyFont="1" applyFill="1" applyBorder="1" applyAlignment="1">
      <alignment horizontal="left" vertical="top" wrapText="1"/>
    </xf>
    <xf numFmtId="0" fontId="2428" fillId="5" borderId="3" xfId="0" applyFont="1" applyFill="1" applyBorder="1" applyAlignment="1">
      <alignment horizontal="left" vertical="top" wrapText="1"/>
    </xf>
    <xf numFmtId="0" fontId="2429" fillId="5" borderId="3" xfId="0" applyFont="1" applyFill="1" applyBorder="1" applyAlignment="1">
      <alignment horizontal="left" vertical="top" wrapText="1"/>
    </xf>
    <xf numFmtId="0" fontId="2430" fillId="5" borderId="3" xfId="0" applyFont="1" applyFill="1" applyBorder="1" applyAlignment="1">
      <alignment horizontal="left" vertical="top" wrapText="1"/>
    </xf>
    <xf numFmtId="0" fontId="2431" fillId="5" borderId="3" xfId="0" applyFont="1" applyFill="1" applyBorder="1" applyAlignment="1">
      <alignment horizontal="left" vertical="top" wrapText="1"/>
    </xf>
    <xf numFmtId="0" fontId="2432" fillId="5" borderId="3" xfId="0" applyFont="1" applyFill="1" applyBorder="1" applyAlignment="1">
      <alignment horizontal="left" vertical="top" wrapText="1"/>
    </xf>
    <xf numFmtId="0" fontId="2433" fillId="5" borderId="3" xfId="0" applyFont="1" applyFill="1" applyBorder="1" applyAlignment="1">
      <alignment horizontal="left" vertical="top" wrapText="1"/>
    </xf>
    <xf numFmtId="0" fontId="2434" fillId="5" borderId="3" xfId="0" applyFont="1" applyFill="1" applyBorder="1" applyAlignment="1">
      <alignment horizontal="left" vertical="top" wrapText="1"/>
    </xf>
    <xf numFmtId="0" fontId="2435" fillId="5" borderId="3" xfId="0" applyFont="1" applyFill="1" applyBorder="1" applyAlignment="1">
      <alignment horizontal="left" vertical="top" wrapText="1"/>
    </xf>
    <xf numFmtId="0" fontId="2436" fillId="5" borderId="3" xfId="0" applyFont="1" applyFill="1" applyBorder="1" applyAlignment="1">
      <alignment horizontal="center" vertical="top"/>
    </xf>
    <xf numFmtId="0" fontId="2437" fillId="5" borderId="3" xfId="0" applyFont="1" applyFill="1" applyBorder="1" applyAlignment="1">
      <alignment horizontal="left" vertical="top" wrapText="1"/>
    </xf>
    <xf numFmtId="0" fontId="2438" fillId="5" borderId="3" xfId="0" applyFont="1" applyFill="1" applyBorder="1" applyAlignment="1">
      <alignment horizontal="left" vertical="top" wrapText="1"/>
    </xf>
    <xf numFmtId="0" fontId="2439" fillId="5" borderId="3" xfId="0" applyFont="1" applyFill="1" applyBorder="1" applyAlignment="1">
      <alignment horizontal="left" vertical="top" wrapText="1"/>
    </xf>
    <xf numFmtId="0" fontId="2440" fillId="5" borderId="3" xfId="0" applyFont="1" applyFill="1" applyBorder="1" applyAlignment="1">
      <alignment horizontal="left" vertical="top" wrapText="1"/>
    </xf>
    <xf numFmtId="0" fontId="2441" fillId="5" borderId="3" xfId="0" applyFont="1" applyFill="1" applyBorder="1" applyAlignment="1">
      <alignment horizontal="left" vertical="top" wrapText="1"/>
    </xf>
    <xf numFmtId="0" fontId="2442" fillId="5" borderId="3" xfId="0" applyFont="1" applyFill="1" applyBorder="1" applyAlignment="1">
      <alignment horizontal="left" vertical="top" wrapText="1"/>
    </xf>
    <xf numFmtId="0" fontId="2443" fillId="5" borderId="3" xfId="0" applyFont="1" applyFill="1" applyBorder="1" applyAlignment="1">
      <alignment horizontal="left" vertical="top" wrapText="1"/>
    </xf>
    <xf numFmtId="0" fontId="2444" fillId="5" borderId="3" xfId="0" applyFont="1" applyFill="1" applyBorder="1" applyAlignment="1">
      <alignment horizontal="left" vertical="top" wrapText="1"/>
    </xf>
    <xf numFmtId="0" fontId="2445" fillId="5" borderId="3" xfId="0" applyFont="1" applyFill="1" applyBorder="1" applyAlignment="1">
      <alignment horizontal="left" vertical="top" wrapText="1"/>
    </xf>
    <xf numFmtId="0" fontId="2446" fillId="5" borderId="3" xfId="0" applyFont="1" applyFill="1" applyBorder="1" applyAlignment="1">
      <alignment horizontal="left" vertical="top" wrapText="1"/>
    </xf>
    <xf numFmtId="0" fontId="2447" fillId="5" borderId="3" xfId="0" applyFont="1" applyFill="1" applyBorder="1" applyAlignment="1">
      <alignment horizontal="left" vertical="top" wrapText="1"/>
    </xf>
    <xf numFmtId="0" fontId="2448" fillId="5" borderId="3" xfId="0" applyFont="1" applyFill="1" applyBorder="1" applyAlignment="1">
      <alignment horizontal="left" vertical="top" wrapText="1"/>
    </xf>
    <xf numFmtId="0" fontId="2449" fillId="5" borderId="3" xfId="0" applyFont="1" applyFill="1" applyBorder="1" applyAlignment="1">
      <alignment horizontal="left" vertical="top" wrapText="1"/>
    </xf>
    <xf numFmtId="0" fontId="2450" fillId="5" borderId="3" xfId="0" applyFont="1" applyFill="1" applyBorder="1" applyAlignment="1">
      <alignment horizontal="left" vertical="top" wrapText="1"/>
    </xf>
    <xf numFmtId="0" fontId="2451" fillId="5" borderId="3" xfId="0" applyFont="1" applyFill="1" applyBorder="1" applyAlignment="1">
      <alignment horizontal="left" vertical="top" wrapText="1"/>
    </xf>
    <xf numFmtId="0" fontId="2452" fillId="5" borderId="3" xfId="0" applyFont="1" applyFill="1" applyBorder="1" applyAlignment="1">
      <alignment horizontal="left" vertical="top" wrapText="1"/>
    </xf>
    <xf numFmtId="0" fontId="2453" fillId="5" borderId="3" xfId="0" applyFont="1" applyFill="1" applyBorder="1" applyAlignment="1">
      <alignment horizontal="left" vertical="top" wrapText="1"/>
    </xf>
    <xf numFmtId="0" fontId="2454" fillId="5" borderId="3" xfId="0" applyFont="1" applyFill="1" applyBorder="1" applyAlignment="1">
      <alignment horizontal="left" vertical="top" wrapText="1"/>
    </xf>
    <xf numFmtId="0" fontId="2455" fillId="5" borderId="3" xfId="0" applyFont="1" applyFill="1" applyBorder="1" applyAlignment="1">
      <alignment horizontal="left" vertical="top" wrapText="1"/>
    </xf>
    <xf numFmtId="0" fontId="2456" fillId="5" borderId="3" xfId="0" applyFont="1" applyFill="1" applyBorder="1" applyAlignment="1">
      <alignment horizontal="left" vertical="top" wrapText="1"/>
    </xf>
    <xf numFmtId="0" fontId="2457" fillId="5" borderId="3" xfId="0" applyFont="1" applyFill="1" applyBorder="1" applyAlignment="1">
      <alignment horizontal="left" vertical="top" wrapText="1"/>
    </xf>
    <xf numFmtId="0" fontId="2458" fillId="5" borderId="3" xfId="0" applyFont="1" applyFill="1" applyBorder="1" applyAlignment="1">
      <alignment horizontal="left" vertical="top" wrapText="1"/>
    </xf>
    <xf numFmtId="0" fontId="2459" fillId="5" borderId="3" xfId="0" applyFont="1" applyFill="1" applyBorder="1" applyAlignment="1">
      <alignment horizontal="left" vertical="top" wrapText="1"/>
    </xf>
    <xf numFmtId="0" fontId="2460" fillId="5" borderId="3" xfId="0" applyFont="1" applyFill="1" applyBorder="1" applyAlignment="1">
      <alignment horizontal="left" vertical="top" wrapText="1"/>
    </xf>
    <xf numFmtId="0" fontId="2461" fillId="5" borderId="3" xfId="0" applyFont="1" applyFill="1" applyBorder="1" applyAlignment="1">
      <alignment horizontal="left" vertical="top" wrapText="1"/>
    </xf>
    <xf numFmtId="0" fontId="2462" fillId="5" borderId="3" xfId="0" applyFont="1" applyFill="1" applyBorder="1" applyAlignment="1">
      <alignment horizontal="left" vertical="top" wrapText="1"/>
    </xf>
    <xf numFmtId="0" fontId="2463" fillId="5" borderId="3" xfId="0" applyFont="1" applyFill="1" applyBorder="1" applyAlignment="1">
      <alignment horizontal="left" vertical="top" wrapText="1"/>
    </xf>
    <xf numFmtId="0" fontId="2464" fillId="5" borderId="3" xfId="0" applyFont="1" applyFill="1" applyBorder="1" applyAlignment="1">
      <alignment horizontal="left" vertical="top" wrapText="1"/>
    </xf>
    <xf numFmtId="0" fontId="2465" fillId="5" borderId="3" xfId="0" applyFont="1" applyFill="1" applyBorder="1" applyAlignment="1">
      <alignment horizontal="left" vertical="top" wrapText="1"/>
    </xf>
    <xf numFmtId="0" fontId="2466" fillId="5" borderId="3" xfId="0" applyFont="1" applyFill="1" applyBorder="1" applyAlignment="1">
      <alignment horizontal="left" vertical="top" wrapText="1"/>
    </xf>
    <xf numFmtId="0" fontId="2467" fillId="5" borderId="3" xfId="0" applyFont="1" applyFill="1" applyBorder="1" applyAlignment="1">
      <alignment horizontal="left" vertical="top" wrapText="1"/>
    </xf>
    <xf numFmtId="0" fontId="2468" fillId="5" borderId="3" xfId="0" applyFont="1" applyFill="1" applyBorder="1" applyAlignment="1">
      <alignment horizontal="left" vertical="top" wrapText="1"/>
    </xf>
    <xf numFmtId="0" fontId="2469" fillId="5" borderId="3" xfId="0" applyFont="1" applyFill="1" applyBorder="1" applyAlignment="1">
      <alignment horizontal="left" vertical="top" wrapText="1"/>
    </xf>
    <xf numFmtId="0" fontId="2470" fillId="5" borderId="3" xfId="0" applyFont="1" applyFill="1" applyBorder="1" applyAlignment="1">
      <alignment horizontal="left" vertical="top" wrapText="1"/>
    </xf>
    <xf numFmtId="0" fontId="2471" fillId="5" borderId="3" xfId="0" applyFont="1" applyFill="1" applyBorder="1" applyAlignment="1">
      <alignment horizontal="left" vertical="top" wrapText="1"/>
    </xf>
    <xf numFmtId="0" fontId="2472" fillId="5" borderId="3" xfId="0" applyFont="1" applyFill="1" applyBorder="1" applyAlignment="1">
      <alignment horizontal="left" vertical="top" wrapText="1"/>
    </xf>
    <xf numFmtId="0" fontId="2473" fillId="5" borderId="3" xfId="0" applyFont="1" applyFill="1" applyBorder="1" applyAlignment="1">
      <alignment horizontal="left" vertical="top" wrapText="1"/>
    </xf>
    <xf numFmtId="0" fontId="2474" fillId="5" borderId="3" xfId="0" applyFont="1" applyFill="1" applyBorder="1" applyAlignment="1">
      <alignment horizontal="left" vertical="top" wrapText="1"/>
    </xf>
    <xf numFmtId="0" fontId="2475" fillId="5" borderId="3" xfId="0" applyFont="1" applyFill="1" applyBorder="1" applyAlignment="1">
      <alignment horizontal="left" vertical="top" wrapText="1"/>
    </xf>
    <xf numFmtId="0" fontId="2476" fillId="5" borderId="3" xfId="0" applyFont="1" applyFill="1" applyBorder="1" applyAlignment="1">
      <alignment horizontal="left" vertical="top" wrapText="1"/>
    </xf>
    <xf numFmtId="0" fontId="2477" fillId="5" borderId="3" xfId="0" applyFont="1" applyFill="1" applyBorder="1" applyAlignment="1">
      <alignment horizontal="left" vertical="top" wrapText="1"/>
    </xf>
    <xf numFmtId="0" fontId="2478" fillId="5" borderId="3" xfId="0" applyFont="1" applyFill="1" applyBorder="1" applyAlignment="1">
      <alignment horizontal="left" vertical="top" wrapText="1"/>
    </xf>
    <xf numFmtId="0" fontId="2479" fillId="5" borderId="3" xfId="0" applyFont="1" applyFill="1" applyBorder="1" applyAlignment="1">
      <alignment horizontal="left" vertical="top" wrapText="1"/>
    </xf>
    <xf numFmtId="0" fontId="2480" fillId="5" borderId="3" xfId="0" applyFont="1" applyFill="1" applyBorder="1" applyAlignment="1">
      <alignment horizontal="left" vertical="top" wrapText="1"/>
    </xf>
    <xf numFmtId="0" fontId="2481" fillId="5" borderId="3" xfId="0" applyFont="1" applyFill="1" applyBorder="1" applyAlignment="1">
      <alignment horizontal="left" vertical="top" wrapText="1"/>
    </xf>
    <xf numFmtId="0" fontId="2482" fillId="5" borderId="3" xfId="0" applyFont="1" applyFill="1" applyBorder="1" applyAlignment="1">
      <alignment horizontal="left" vertical="top" wrapText="1"/>
    </xf>
    <xf numFmtId="0" fontId="2483" fillId="5" borderId="3" xfId="0" applyFont="1" applyFill="1" applyBorder="1" applyAlignment="1">
      <alignment horizontal="left" vertical="top" wrapText="1"/>
    </xf>
    <xf numFmtId="0" fontId="2484" fillId="5" borderId="3" xfId="0" applyFont="1" applyFill="1" applyBorder="1" applyAlignment="1">
      <alignment horizontal="left" vertical="top" wrapText="1"/>
    </xf>
    <xf numFmtId="0" fontId="2485" fillId="5" borderId="3" xfId="0" applyFont="1" applyFill="1" applyBorder="1" applyAlignment="1">
      <alignment horizontal="left" vertical="top" wrapText="1"/>
    </xf>
    <xf numFmtId="0" fontId="2486" fillId="5" borderId="3" xfId="0" applyFont="1" applyFill="1" applyBorder="1" applyAlignment="1">
      <alignment horizontal="left" vertical="top" wrapText="1"/>
    </xf>
    <xf numFmtId="0" fontId="2487" fillId="5" borderId="3" xfId="0" applyFont="1" applyFill="1" applyBorder="1" applyAlignment="1">
      <alignment horizontal="left" vertical="top" wrapText="1"/>
    </xf>
    <xf numFmtId="0" fontId="2488" fillId="5" borderId="3" xfId="0" applyFont="1" applyFill="1" applyBorder="1" applyAlignment="1">
      <alignment horizontal="left" vertical="top" wrapText="1"/>
    </xf>
    <xf numFmtId="0" fontId="2489" fillId="5" borderId="3" xfId="0" applyFont="1" applyFill="1" applyBorder="1" applyAlignment="1">
      <alignment horizontal="left" vertical="top" wrapText="1"/>
    </xf>
    <xf numFmtId="0" fontId="2490" fillId="5" borderId="3" xfId="0" applyFont="1" applyFill="1" applyBorder="1" applyAlignment="1">
      <alignment horizontal="left" vertical="top" wrapText="1"/>
    </xf>
    <xf numFmtId="0" fontId="2491" fillId="5" borderId="3" xfId="0" applyFont="1" applyFill="1" applyBorder="1" applyAlignment="1">
      <alignment horizontal="left" vertical="top" wrapText="1"/>
    </xf>
    <xf numFmtId="0" fontId="2492" fillId="5" borderId="3" xfId="0" applyFont="1" applyFill="1" applyBorder="1" applyAlignment="1">
      <alignment horizontal="left" vertical="top" wrapText="1"/>
    </xf>
    <xf numFmtId="0" fontId="2493" fillId="5" borderId="3" xfId="0" applyFont="1" applyFill="1" applyBorder="1" applyAlignment="1">
      <alignment horizontal="left" vertical="top" wrapText="1"/>
    </xf>
    <xf numFmtId="0" fontId="2494" fillId="5" borderId="3" xfId="0" applyFont="1" applyFill="1" applyBorder="1" applyAlignment="1">
      <alignment horizontal="left" vertical="top" wrapText="1"/>
    </xf>
    <xf numFmtId="0" fontId="2495" fillId="5" borderId="3" xfId="0" applyFont="1" applyFill="1" applyBorder="1" applyAlignment="1">
      <alignment horizontal="left" vertical="top" wrapText="1"/>
    </xf>
    <xf numFmtId="0" fontId="2496" fillId="5" borderId="3" xfId="0" applyFont="1" applyFill="1" applyBorder="1" applyAlignment="1">
      <alignment horizontal="left" vertical="top" wrapText="1"/>
    </xf>
    <xf numFmtId="0" fontId="2497" fillId="5" borderId="3" xfId="0" applyFont="1" applyFill="1" applyBorder="1" applyAlignment="1">
      <alignment horizontal="left" vertical="top" wrapText="1"/>
    </xf>
    <xf numFmtId="0" fontId="2498" fillId="5" borderId="3" xfId="0" applyFont="1" applyFill="1" applyBorder="1" applyAlignment="1">
      <alignment horizontal="left" vertical="top" wrapText="1"/>
    </xf>
    <xf numFmtId="0" fontId="2499" fillId="5" borderId="3" xfId="0" applyFont="1" applyFill="1" applyBorder="1" applyAlignment="1">
      <alignment horizontal="left" vertical="top" wrapText="1"/>
    </xf>
    <xf numFmtId="0" fontId="2500" fillId="5" borderId="3" xfId="0" applyFont="1" applyFill="1" applyBorder="1" applyAlignment="1">
      <alignment horizontal="center" vertical="top"/>
    </xf>
    <xf numFmtId="0" fontId="2501" fillId="5" borderId="3" xfId="0" applyFont="1" applyFill="1" applyBorder="1" applyAlignment="1">
      <alignment horizontal="left" vertical="top" wrapText="1"/>
    </xf>
    <xf numFmtId="0" fontId="2502" fillId="5" borderId="3" xfId="0" applyFont="1" applyFill="1" applyBorder="1" applyAlignment="1">
      <alignment horizontal="left" vertical="top" wrapText="1"/>
    </xf>
    <xf numFmtId="0" fontId="2503" fillId="5" borderId="3" xfId="0" applyFont="1" applyFill="1" applyBorder="1" applyAlignment="1">
      <alignment horizontal="left" vertical="top" wrapText="1"/>
    </xf>
    <xf numFmtId="0" fontId="2504" fillId="5" borderId="3" xfId="0" applyFont="1" applyFill="1" applyBorder="1" applyAlignment="1">
      <alignment horizontal="left" vertical="top" wrapText="1"/>
    </xf>
    <xf numFmtId="0" fontId="2505" fillId="5" borderId="3" xfId="0" applyFont="1" applyFill="1" applyBorder="1" applyAlignment="1">
      <alignment horizontal="left" vertical="top" wrapText="1"/>
    </xf>
    <xf numFmtId="0" fontId="2506" fillId="5" borderId="3" xfId="0" applyFont="1" applyFill="1" applyBorder="1" applyAlignment="1">
      <alignment horizontal="left" vertical="top" wrapText="1"/>
    </xf>
    <xf numFmtId="0" fontId="2507" fillId="5" borderId="3" xfId="0" applyFont="1" applyFill="1" applyBorder="1" applyAlignment="1">
      <alignment horizontal="left" vertical="top" wrapText="1"/>
    </xf>
    <xf numFmtId="0" fontId="2508" fillId="5" borderId="3" xfId="0" applyFont="1" applyFill="1" applyBorder="1" applyAlignment="1">
      <alignment horizontal="left" vertical="top" wrapText="1"/>
    </xf>
    <xf numFmtId="0" fontId="2509" fillId="5" borderId="3" xfId="0" applyFont="1" applyFill="1" applyBorder="1" applyAlignment="1">
      <alignment horizontal="left" vertical="top" wrapText="1"/>
    </xf>
    <xf numFmtId="0" fontId="2510" fillId="5" borderId="3" xfId="0" applyFont="1" applyFill="1" applyBorder="1" applyAlignment="1">
      <alignment horizontal="left" vertical="top" wrapText="1"/>
    </xf>
    <xf numFmtId="0" fontId="2511" fillId="5" borderId="3" xfId="0" applyFont="1" applyFill="1" applyBorder="1" applyAlignment="1">
      <alignment horizontal="left" vertical="top" wrapText="1"/>
    </xf>
    <xf numFmtId="0" fontId="2512" fillId="5" borderId="3" xfId="0" applyFont="1" applyFill="1" applyBorder="1" applyAlignment="1">
      <alignment horizontal="left" vertical="top" wrapText="1"/>
    </xf>
    <xf numFmtId="0" fontId="2513" fillId="5" borderId="3" xfId="0" applyFont="1" applyFill="1" applyBorder="1" applyAlignment="1">
      <alignment horizontal="left" vertical="top" wrapText="1"/>
    </xf>
    <xf numFmtId="0" fontId="2514" fillId="5" borderId="3" xfId="0" applyFont="1" applyFill="1" applyBorder="1" applyAlignment="1">
      <alignment horizontal="left" vertical="top" wrapText="1"/>
    </xf>
    <xf numFmtId="0" fontId="2515" fillId="5" borderId="3" xfId="0" applyFont="1" applyFill="1" applyBorder="1" applyAlignment="1">
      <alignment horizontal="left" vertical="top" wrapText="1"/>
    </xf>
    <xf numFmtId="0" fontId="2516" fillId="5" borderId="3" xfId="0" applyFont="1" applyFill="1" applyBorder="1" applyAlignment="1">
      <alignment horizontal="left" vertical="top" wrapText="1"/>
    </xf>
    <xf numFmtId="0" fontId="2517" fillId="5" borderId="3" xfId="0" applyFont="1" applyFill="1" applyBorder="1" applyAlignment="1">
      <alignment horizontal="left" vertical="top" wrapText="1"/>
    </xf>
    <xf numFmtId="0" fontId="2518" fillId="5" borderId="3" xfId="0" applyFont="1" applyFill="1" applyBorder="1" applyAlignment="1">
      <alignment horizontal="left" vertical="top" wrapText="1"/>
    </xf>
    <xf numFmtId="0" fontId="2519" fillId="5" borderId="3" xfId="0" applyFont="1" applyFill="1" applyBorder="1" applyAlignment="1">
      <alignment horizontal="left" vertical="top" wrapText="1"/>
    </xf>
    <xf numFmtId="0" fontId="2520" fillId="5" borderId="3" xfId="0" applyFont="1" applyFill="1" applyBorder="1" applyAlignment="1">
      <alignment horizontal="left" vertical="top" wrapText="1"/>
    </xf>
    <xf numFmtId="0" fontId="2521" fillId="5" borderId="3" xfId="0" applyFont="1" applyFill="1" applyBorder="1" applyAlignment="1">
      <alignment horizontal="left" vertical="top" wrapText="1"/>
    </xf>
    <xf numFmtId="0" fontId="2522" fillId="5" borderId="3" xfId="0" applyFont="1" applyFill="1" applyBorder="1" applyAlignment="1">
      <alignment horizontal="left" vertical="top" wrapText="1"/>
    </xf>
    <xf numFmtId="0" fontId="2523" fillId="5" borderId="3" xfId="0" applyFont="1" applyFill="1" applyBorder="1" applyAlignment="1">
      <alignment horizontal="left" vertical="top" wrapText="1"/>
    </xf>
    <xf numFmtId="0" fontId="2524" fillId="5" borderId="3" xfId="0" applyFont="1" applyFill="1" applyBorder="1" applyAlignment="1">
      <alignment horizontal="left" vertical="top" wrapText="1"/>
    </xf>
    <xf numFmtId="0" fontId="2525" fillId="5" borderId="3" xfId="0" applyFont="1" applyFill="1" applyBorder="1" applyAlignment="1">
      <alignment horizontal="left" vertical="top" wrapText="1"/>
    </xf>
    <xf numFmtId="0" fontId="2526" fillId="5" borderId="3" xfId="0" applyFont="1" applyFill="1" applyBorder="1" applyAlignment="1">
      <alignment horizontal="left" vertical="top" wrapText="1"/>
    </xf>
    <xf numFmtId="0" fontId="2527" fillId="5" borderId="3" xfId="0" applyFont="1" applyFill="1" applyBorder="1" applyAlignment="1">
      <alignment horizontal="left" vertical="top" wrapText="1"/>
    </xf>
    <xf numFmtId="0" fontId="2528" fillId="5" borderId="3" xfId="0" applyFont="1" applyFill="1" applyBorder="1" applyAlignment="1">
      <alignment horizontal="left" vertical="top" wrapText="1"/>
    </xf>
    <xf numFmtId="0" fontId="2529" fillId="5" borderId="3" xfId="0" applyFont="1" applyFill="1" applyBorder="1" applyAlignment="1">
      <alignment horizontal="left" vertical="top" wrapText="1"/>
    </xf>
    <xf numFmtId="0" fontId="2530" fillId="5" borderId="3" xfId="0" applyFont="1" applyFill="1" applyBorder="1" applyAlignment="1">
      <alignment horizontal="left" vertical="top" wrapText="1"/>
    </xf>
    <xf numFmtId="49" fontId="0" fillId="0" borderId="0" xfId="0" applyNumberFormat="1"/>
    <xf numFmtId="0" fontId="3" fillId="0" borderId="0" xfId="0" applyFont="1" applyAlignment="1">
      <alignment horizontal="center"/>
    </xf>
    <xf numFmtId="0" fontId="9" fillId="0" borderId="2" xfId="0" applyFont="1" applyBorder="1" applyAlignment="1">
      <alignment horizontal="right" wrapText="1"/>
    </xf>
    <xf numFmtId="0" fontId="18" fillId="0" borderId="0" xfId="0" applyNumberFormat="1" applyFont="1" applyAlignment="1">
      <alignment horizontal="center" vertical="top" wrapText="1"/>
    </xf>
    <xf numFmtId="0" fontId="6" fillId="0" borderId="0" xfId="1" applyFont="1"/>
    <xf numFmtId="0" fontId="6" fillId="0" borderId="0" xfId="0" applyFont="1"/>
    <xf numFmtId="0" fontId="39" fillId="6" borderId="0" xfId="0" applyFont="1" applyFill="1" applyAlignment="1">
      <alignment horizontal="center"/>
    </xf>
    <xf numFmtId="0" fontId="50" fillId="6" borderId="0" xfId="0" applyFont="1" applyFill="1" applyAlignment="1">
      <alignment horizontal="center"/>
    </xf>
    <xf numFmtId="0" fontId="51" fillId="6" borderId="0" xfId="0" applyFont="1" applyFill="1" applyAlignment="1">
      <alignment horizontal="center"/>
    </xf>
    <xf numFmtId="0" fontId="716" fillId="6" borderId="0" xfId="0" applyFont="1" applyFill="1" applyAlignment="1">
      <alignment horizontal="center"/>
    </xf>
    <xf numFmtId="0" fontId="947" fillId="6" borderId="0" xfId="0" applyFont="1" applyFill="1" applyAlignment="1">
      <alignment horizontal="center"/>
    </xf>
    <xf numFmtId="0" fontId="948" fillId="6" borderId="0" xfId="0" applyFont="1" applyFill="1" applyAlignment="1">
      <alignment horizontal="center"/>
    </xf>
    <xf numFmtId="0" fontId="1297" fillId="6" borderId="0" xfId="0" applyFont="1" applyFill="1" applyAlignment="1">
      <alignment horizontal="center"/>
    </xf>
    <xf numFmtId="0" fontId="1298" fillId="6" borderId="0" xfId="0" applyFont="1" applyFill="1" applyAlignment="1">
      <alignment horizontal="center"/>
    </xf>
    <xf numFmtId="0" fontId="1518" fillId="6" borderId="0" xfId="0" applyFont="1" applyFill="1" applyAlignment="1">
      <alignment horizontal="center"/>
    </xf>
    <xf numFmtId="0" fontId="1519" fillId="6" borderId="0" xfId="0" applyFont="1" applyFill="1" applyAlignment="1">
      <alignment horizontal="center"/>
    </xf>
    <xf numFmtId="0" fontId="1701" fillId="6" borderId="0" xfId="0" applyFont="1" applyFill="1" applyAlignment="1">
      <alignment horizontal="center"/>
    </xf>
    <xf numFmtId="0" fontId="1702" fillId="6" borderId="0" xfId="0" applyFont="1" applyFill="1" applyAlignment="1">
      <alignment horizontal="center"/>
    </xf>
    <xf numFmtId="0" fontId="2082" fillId="6" borderId="0" xfId="0" applyFont="1" applyFill="1" applyAlignment="1">
      <alignment horizontal="center"/>
    </xf>
    <xf numFmtId="0" fontId="2275" fillId="4" borderId="3" xfId="0" applyFont="1" applyFill="1" applyBorder="1" applyAlignment="1">
      <alignment horizontal="center" vertical="top" wrapText="1"/>
    </xf>
    <xf numFmtId="0" fontId="2273" fillId="4" borderId="3" xfId="0" applyFont="1" applyFill="1" applyBorder="1" applyAlignment="1">
      <alignment horizontal="center" vertical="top" wrapText="1"/>
    </xf>
    <xf numFmtId="0" fontId="2276" fillId="6" borderId="0" xfId="0" applyFont="1" applyFill="1" applyAlignment="1">
      <alignment horizontal="center"/>
    </xf>
    <xf numFmtId="0" fontId="2277" fillId="6" borderId="0" xfId="0" applyFont="1" applyFill="1" applyAlignment="1">
      <alignment horizontal="center"/>
    </xf>
    <xf numFmtId="0" fontId="2274" fillId="6" borderId="0" xfId="0" applyFont="1" applyFill="1" applyAlignment="1">
      <alignment horizontal="center"/>
    </xf>
  </cellXfs>
  <cellStyles count="8">
    <cellStyle name="Comma 2" xfId="4"/>
    <cellStyle name="Comma 2 2" xfId="7"/>
    <cellStyle name="Comma 3" xfId="2"/>
    <cellStyle name="Comma 3 2" xfId="6"/>
    <cellStyle name="Normal" xfId="0" builtinId="0"/>
    <cellStyle name="Normal 2" xfId="1"/>
    <cellStyle name="Normal 42" xfId="5"/>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id="{62F939B6-93AF-4DB8-9C6B-D6C7DFDC589F}" name="Office Theme"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9"/>
  <sheetViews>
    <sheetView workbookViewId="0">
      <selection activeCell="C7" sqref="C7"/>
    </sheetView>
  </sheetViews>
  <sheetFormatPr defaultColWidth="8.85546875" defaultRowHeight="15" x14ac:dyDescent="0.25"/>
  <cols>
    <col min="1" max="1" width="3.7109375" style="1" customWidth="1"/>
    <col min="2" max="2" width="31.28515625" style="1" bestFit="1" customWidth="1"/>
    <col min="3" max="3" width="90.85546875" style="1" customWidth="1"/>
    <col min="4" max="4" width="31.28515625" style="1" bestFit="1" customWidth="1"/>
    <col min="5" max="253" width="8.85546875" style="1"/>
    <col min="254" max="254" width="3.7109375" style="1" customWidth="1"/>
    <col min="255" max="255" width="15.140625" style="1" customWidth="1"/>
    <col min="256" max="256" width="31.42578125" style="1" bestFit="1" customWidth="1"/>
    <col min="257" max="257" width="38.7109375" style="1" customWidth="1"/>
    <col min="258" max="509" width="8.85546875" style="1"/>
    <col min="510" max="510" width="3.7109375" style="1" customWidth="1"/>
    <col min="511" max="511" width="15.140625" style="1" customWidth="1"/>
    <col min="512" max="512" width="31.42578125" style="1" bestFit="1" customWidth="1"/>
    <col min="513" max="513" width="38.7109375" style="1" customWidth="1"/>
    <col min="514" max="765" width="8.85546875" style="1"/>
    <col min="766" max="766" width="3.7109375" style="1" customWidth="1"/>
    <col min="767" max="767" width="15.140625" style="1" customWidth="1"/>
    <col min="768" max="768" width="31.42578125" style="1" bestFit="1" customWidth="1"/>
    <col min="769" max="769" width="38.7109375" style="1" customWidth="1"/>
    <col min="770" max="1021" width="8.85546875" style="1"/>
    <col min="1022" max="1022" width="3.7109375" style="1" customWidth="1"/>
    <col min="1023" max="1023" width="15.140625" style="1" customWidth="1"/>
    <col min="1024" max="1024" width="31.42578125" style="1" bestFit="1" customWidth="1"/>
    <col min="1025" max="1025" width="38.7109375" style="1" customWidth="1"/>
    <col min="1026" max="1277" width="8.85546875" style="1"/>
    <col min="1278" max="1278" width="3.7109375" style="1" customWidth="1"/>
    <col min="1279" max="1279" width="15.140625" style="1" customWidth="1"/>
    <col min="1280" max="1280" width="31.42578125" style="1" bestFit="1" customWidth="1"/>
    <col min="1281" max="1281" width="38.7109375" style="1" customWidth="1"/>
    <col min="1282" max="1533" width="8.85546875" style="1"/>
    <col min="1534" max="1534" width="3.7109375" style="1" customWidth="1"/>
    <col min="1535" max="1535" width="15.140625" style="1" customWidth="1"/>
    <col min="1536" max="1536" width="31.42578125" style="1" bestFit="1" customWidth="1"/>
    <col min="1537" max="1537" width="38.7109375" style="1" customWidth="1"/>
    <col min="1538" max="1789" width="8.85546875" style="1"/>
    <col min="1790" max="1790" width="3.7109375" style="1" customWidth="1"/>
    <col min="1791" max="1791" width="15.140625" style="1" customWidth="1"/>
    <col min="1792" max="1792" width="31.42578125" style="1" bestFit="1" customWidth="1"/>
    <col min="1793" max="1793" width="38.7109375" style="1" customWidth="1"/>
    <col min="1794" max="2045" width="8.85546875" style="1"/>
    <col min="2046" max="2046" width="3.7109375" style="1" customWidth="1"/>
    <col min="2047" max="2047" width="15.140625" style="1" customWidth="1"/>
    <col min="2048" max="2048" width="31.42578125" style="1" bestFit="1" customWidth="1"/>
    <col min="2049" max="2049" width="38.7109375" style="1" customWidth="1"/>
    <col min="2050" max="2301" width="8.85546875" style="1"/>
    <col min="2302" max="2302" width="3.7109375" style="1" customWidth="1"/>
    <col min="2303" max="2303" width="15.140625" style="1" customWidth="1"/>
    <col min="2304" max="2304" width="31.42578125" style="1" bestFit="1" customWidth="1"/>
    <col min="2305" max="2305" width="38.7109375" style="1" customWidth="1"/>
    <col min="2306" max="2557" width="8.85546875" style="1"/>
    <col min="2558" max="2558" width="3.7109375" style="1" customWidth="1"/>
    <col min="2559" max="2559" width="15.140625" style="1" customWidth="1"/>
    <col min="2560" max="2560" width="31.42578125" style="1" bestFit="1" customWidth="1"/>
    <col min="2561" max="2561" width="38.7109375" style="1" customWidth="1"/>
    <col min="2562" max="2813" width="8.85546875" style="1"/>
    <col min="2814" max="2814" width="3.7109375" style="1" customWidth="1"/>
    <col min="2815" max="2815" width="15.140625" style="1" customWidth="1"/>
    <col min="2816" max="2816" width="31.42578125" style="1" bestFit="1" customWidth="1"/>
    <col min="2817" max="2817" width="38.7109375" style="1" customWidth="1"/>
    <col min="2818" max="3069" width="8.85546875" style="1"/>
    <col min="3070" max="3070" width="3.7109375" style="1" customWidth="1"/>
    <col min="3071" max="3071" width="15.140625" style="1" customWidth="1"/>
    <col min="3072" max="3072" width="31.42578125" style="1" bestFit="1" customWidth="1"/>
    <col min="3073" max="3073" width="38.7109375" style="1" customWidth="1"/>
    <col min="3074" max="3325" width="8.85546875" style="1"/>
    <col min="3326" max="3326" width="3.7109375" style="1" customWidth="1"/>
    <col min="3327" max="3327" width="15.140625" style="1" customWidth="1"/>
    <col min="3328" max="3328" width="31.42578125" style="1" bestFit="1" customWidth="1"/>
    <col min="3329" max="3329" width="38.7109375" style="1" customWidth="1"/>
    <col min="3330" max="3581" width="8.85546875" style="1"/>
    <col min="3582" max="3582" width="3.7109375" style="1" customWidth="1"/>
    <col min="3583" max="3583" width="15.140625" style="1" customWidth="1"/>
    <col min="3584" max="3584" width="31.42578125" style="1" bestFit="1" customWidth="1"/>
    <col min="3585" max="3585" width="38.7109375" style="1" customWidth="1"/>
    <col min="3586" max="3837" width="8.85546875" style="1"/>
    <col min="3838" max="3838" width="3.7109375" style="1" customWidth="1"/>
    <col min="3839" max="3839" width="15.140625" style="1" customWidth="1"/>
    <col min="3840" max="3840" width="31.42578125" style="1" bestFit="1" customWidth="1"/>
    <col min="3841" max="3841" width="38.7109375" style="1" customWidth="1"/>
    <col min="3842" max="4093" width="8.85546875" style="1"/>
    <col min="4094" max="4094" width="3.7109375" style="1" customWidth="1"/>
    <col min="4095" max="4095" width="15.140625" style="1" customWidth="1"/>
    <col min="4096" max="4096" width="31.42578125" style="1" bestFit="1" customWidth="1"/>
    <col min="4097" max="4097" width="38.7109375" style="1" customWidth="1"/>
    <col min="4098" max="4349" width="8.85546875" style="1"/>
    <col min="4350" max="4350" width="3.7109375" style="1" customWidth="1"/>
    <col min="4351" max="4351" width="15.140625" style="1" customWidth="1"/>
    <col min="4352" max="4352" width="31.42578125" style="1" bestFit="1" customWidth="1"/>
    <col min="4353" max="4353" width="38.7109375" style="1" customWidth="1"/>
    <col min="4354" max="4605" width="8.85546875" style="1"/>
    <col min="4606" max="4606" width="3.7109375" style="1" customWidth="1"/>
    <col min="4607" max="4607" width="15.140625" style="1" customWidth="1"/>
    <col min="4608" max="4608" width="31.42578125" style="1" bestFit="1" customWidth="1"/>
    <col min="4609" max="4609" width="38.7109375" style="1" customWidth="1"/>
    <col min="4610" max="4861" width="8.85546875" style="1"/>
    <col min="4862" max="4862" width="3.7109375" style="1" customWidth="1"/>
    <col min="4863" max="4863" width="15.140625" style="1" customWidth="1"/>
    <col min="4864" max="4864" width="31.42578125" style="1" bestFit="1" customWidth="1"/>
    <col min="4865" max="4865" width="38.7109375" style="1" customWidth="1"/>
    <col min="4866" max="5117" width="8.85546875" style="1"/>
    <col min="5118" max="5118" width="3.7109375" style="1" customWidth="1"/>
    <col min="5119" max="5119" width="15.140625" style="1" customWidth="1"/>
    <col min="5120" max="5120" width="31.42578125" style="1" bestFit="1" customWidth="1"/>
    <col min="5121" max="5121" width="38.7109375" style="1" customWidth="1"/>
    <col min="5122" max="5373" width="8.85546875" style="1"/>
    <col min="5374" max="5374" width="3.7109375" style="1" customWidth="1"/>
    <col min="5375" max="5375" width="15.140625" style="1" customWidth="1"/>
    <col min="5376" max="5376" width="31.42578125" style="1" bestFit="1" customWidth="1"/>
    <col min="5377" max="5377" width="38.7109375" style="1" customWidth="1"/>
    <col min="5378" max="5629" width="8.85546875" style="1"/>
    <col min="5630" max="5630" width="3.7109375" style="1" customWidth="1"/>
    <col min="5631" max="5631" width="15.140625" style="1" customWidth="1"/>
    <col min="5632" max="5632" width="31.42578125" style="1" bestFit="1" customWidth="1"/>
    <col min="5633" max="5633" width="38.7109375" style="1" customWidth="1"/>
    <col min="5634" max="5885" width="8.85546875" style="1"/>
    <col min="5886" max="5886" width="3.7109375" style="1" customWidth="1"/>
    <col min="5887" max="5887" width="15.140625" style="1" customWidth="1"/>
    <col min="5888" max="5888" width="31.42578125" style="1" bestFit="1" customWidth="1"/>
    <col min="5889" max="5889" width="38.7109375" style="1" customWidth="1"/>
    <col min="5890" max="6141" width="8.85546875" style="1"/>
    <col min="6142" max="6142" width="3.7109375" style="1" customWidth="1"/>
    <col min="6143" max="6143" width="15.140625" style="1" customWidth="1"/>
    <col min="6144" max="6144" width="31.42578125" style="1" bestFit="1" customWidth="1"/>
    <col min="6145" max="6145" width="38.7109375" style="1" customWidth="1"/>
    <col min="6146" max="6397" width="8.85546875" style="1"/>
    <col min="6398" max="6398" width="3.7109375" style="1" customWidth="1"/>
    <col min="6399" max="6399" width="15.140625" style="1" customWidth="1"/>
    <col min="6400" max="6400" width="31.42578125" style="1" bestFit="1" customWidth="1"/>
    <col min="6401" max="6401" width="38.7109375" style="1" customWidth="1"/>
    <col min="6402" max="6653" width="8.85546875" style="1"/>
    <col min="6654" max="6654" width="3.7109375" style="1" customWidth="1"/>
    <col min="6655" max="6655" width="15.140625" style="1" customWidth="1"/>
    <col min="6656" max="6656" width="31.42578125" style="1" bestFit="1" customWidth="1"/>
    <col min="6657" max="6657" width="38.7109375" style="1" customWidth="1"/>
    <col min="6658" max="6909" width="8.85546875" style="1"/>
    <col min="6910" max="6910" width="3.7109375" style="1" customWidth="1"/>
    <col min="6911" max="6911" width="15.140625" style="1" customWidth="1"/>
    <col min="6912" max="6912" width="31.42578125" style="1" bestFit="1" customWidth="1"/>
    <col min="6913" max="6913" width="38.7109375" style="1" customWidth="1"/>
    <col min="6914" max="7165" width="8.85546875" style="1"/>
    <col min="7166" max="7166" width="3.7109375" style="1" customWidth="1"/>
    <col min="7167" max="7167" width="15.140625" style="1" customWidth="1"/>
    <col min="7168" max="7168" width="31.42578125" style="1" bestFit="1" customWidth="1"/>
    <col min="7169" max="7169" width="38.7109375" style="1" customWidth="1"/>
    <col min="7170" max="7421" width="8.85546875" style="1"/>
    <col min="7422" max="7422" width="3.7109375" style="1" customWidth="1"/>
    <col min="7423" max="7423" width="15.140625" style="1" customWidth="1"/>
    <col min="7424" max="7424" width="31.42578125" style="1" bestFit="1" customWidth="1"/>
    <col min="7425" max="7425" width="38.7109375" style="1" customWidth="1"/>
    <col min="7426" max="7677" width="8.85546875" style="1"/>
    <col min="7678" max="7678" width="3.7109375" style="1" customWidth="1"/>
    <col min="7679" max="7679" width="15.140625" style="1" customWidth="1"/>
    <col min="7680" max="7680" width="31.42578125" style="1" bestFit="1" customWidth="1"/>
    <col min="7681" max="7681" width="38.7109375" style="1" customWidth="1"/>
    <col min="7682" max="7933" width="8.85546875" style="1"/>
    <col min="7934" max="7934" width="3.7109375" style="1" customWidth="1"/>
    <col min="7935" max="7935" width="15.140625" style="1" customWidth="1"/>
    <col min="7936" max="7936" width="31.42578125" style="1" bestFit="1" customWidth="1"/>
    <col min="7937" max="7937" width="38.7109375" style="1" customWidth="1"/>
    <col min="7938" max="8189" width="8.85546875" style="1"/>
    <col min="8190" max="8190" width="3.7109375" style="1" customWidth="1"/>
    <col min="8191" max="8191" width="15.140625" style="1" customWidth="1"/>
    <col min="8192" max="8192" width="31.42578125" style="1" bestFit="1" customWidth="1"/>
    <col min="8193" max="8193" width="38.7109375" style="1" customWidth="1"/>
    <col min="8194" max="8445" width="8.85546875" style="1"/>
    <col min="8446" max="8446" width="3.7109375" style="1" customWidth="1"/>
    <col min="8447" max="8447" width="15.140625" style="1" customWidth="1"/>
    <col min="8448" max="8448" width="31.42578125" style="1" bestFit="1" customWidth="1"/>
    <col min="8449" max="8449" width="38.7109375" style="1" customWidth="1"/>
    <col min="8450" max="8701" width="8.85546875" style="1"/>
    <col min="8702" max="8702" width="3.7109375" style="1" customWidth="1"/>
    <col min="8703" max="8703" width="15.140625" style="1" customWidth="1"/>
    <col min="8704" max="8704" width="31.42578125" style="1" bestFit="1" customWidth="1"/>
    <col min="8705" max="8705" width="38.7109375" style="1" customWidth="1"/>
    <col min="8706" max="8957" width="8.85546875" style="1"/>
    <col min="8958" max="8958" width="3.7109375" style="1" customWidth="1"/>
    <col min="8959" max="8959" width="15.140625" style="1" customWidth="1"/>
    <col min="8960" max="8960" width="31.42578125" style="1" bestFit="1" customWidth="1"/>
    <col min="8961" max="8961" width="38.7109375" style="1" customWidth="1"/>
    <col min="8962" max="9213" width="8.85546875" style="1"/>
    <col min="9214" max="9214" width="3.7109375" style="1" customWidth="1"/>
    <col min="9215" max="9215" width="15.140625" style="1" customWidth="1"/>
    <col min="9216" max="9216" width="31.42578125" style="1" bestFit="1" customWidth="1"/>
    <col min="9217" max="9217" width="38.7109375" style="1" customWidth="1"/>
    <col min="9218" max="9469" width="8.85546875" style="1"/>
    <col min="9470" max="9470" width="3.7109375" style="1" customWidth="1"/>
    <col min="9471" max="9471" width="15.140625" style="1" customWidth="1"/>
    <col min="9472" max="9472" width="31.42578125" style="1" bestFit="1" customWidth="1"/>
    <col min="9473" max="9473" width="38.7109375" style="1" customWidth="1"/>
    <col min="9474" max="9725" width="8.85546875" style="1"/>
    <col min="9726" max="9726" width="3.7109375" style="1" customWidth="1"/>
    <col min="9727" max="9727" width="15.140625" style="1" customWidth="1"/>
    <col min="9728" max="9728" width="31.42578125" style="1" bestFit="1" customWidth="1"/>
    <col min="9729" max="9729" width="38.7109375" style="1" customWidth="1"/>
    <col min="9730" max="9981" width="8.85546875" style="1"/>
    <col min="9982" max="9982" width="3.7109375" style="1" customWidth="1"/>
    <col min="9983" max="9983" width="15.140625" style="1" customWidth="1"/>
    <col min="9984" max="9984" width="31.42578125" style="1" bestFit="1" customWidth="1"/>
    <col min="9985" max="9985" width="38.7109375" style="1" customWidth="1"/>
    <col min="9986" max="10237" width="8.85546875" style="1"/>
    <col min="10238" max="10238" width="3.7109375" style="1" customWidth="1"/>
    <col min="10239" max="10239" width="15.140625" style="1" customWidth="1"/>
    <col min="10240" max="10240" width="31.42578125" style="1" bestFit="1" customWidth="1"/>
    <col min="10241" max="10241" width="38.7109375" style="1" customWidth="1"/>
    <col min="10242" max="10493" width="8.85546875" style="1"/>
    <col min="10494" max="10494" width="3.7109375" style="1" customWidth="1"/>
    <col min="10495" max="10495" width="15.140625" style="1" customWidth="1"/>
    <col min="10496" max="10496" width="31.42578125" style="1" bestFit="1" customWidth="1"/>
    <col min="10497" max="10497" width="38.7109375" style="1" customWidth="1"/>
    <col min="10498" max="10749" width="8.85546875" style="1"/>
    <col min="10750" max="10750" width="3.7109375" style="1" customWidth="1"/>
    <col min="10751" max="10751" width="15.140625" style="1" customWidth="1"/>
    <col min="10752" max="10752" width="31.42578125" style="1" bestFit="1" customWidth="1"/>
    <col min="10753" max="10753" width="38.7109375" style="1" customWidth="1"/>
    <col min="10754" max="11005" width="8.85546875" style="1"/>
    <col min="11006" max="11006" width="3.7109375" style="1" customWidth="1"/>
    <col min="11007" max="11007" width="15.140625" style="1" customWidth="1"/>
    <col min="11008" max="11008" width="31.42578125" style="1" bestFit="1" customWidth="1"/>
    <col min="11009" max="11009" width="38.7109375" style="1" customWidth="1"/>
    <col min="11010" max="11261" width="8.85546875" style="1"/>
    <col min="11262" max="11262" width="3.7109375" style="1" customWidth="1"/>
    <col min="11263" max="11263" width="15.140625" style="1" customWidth="1"/>
    <col min="11264" max="11264" width="31.42578125" style="1" bestFit="1" customWidth="1"/>
    <col min="11265" max="11265" width="38.7109375" style="1" customWidth="1"/>
    <col min="11266" max="11517" width="8.85546875" style="1"/>
    <col min="11518" max="11518" width="3.7109375" style="1" customWidth="1"/>
    <col min="11519" max="11519" width="15.140625" style="1" customWidth="1"/>
    <col min="11520" max="11520" width="31.42578125" style="1" bestFit="1" customWidth="1"/>
    <col min="11521" max="11521" width="38.7109375" style="1" customWidth="1"/>
    <col min="11522" max="11773" width="8.85546875" style="1"/>
    <col min="11774" max="11774" width="3.7109375" style="1" customWidth="1"/>
    <col min="11775" max="11775" width="15.140625" style="1" customWidth="1"/>
    <col min="11776" max="11776" width="31.42578125" style="1" bestFit="1" customWidth="1"/>
    <col min="11777" max="11777" width="38.7109375" style="1" customWidth="1"/>
    <col min="11778" max="12029" width="8.85546875" style="1"/>
    <col min="12030" max="12030" width="3.7109375" style="1" customWidth="1"/>
    <col min="12031" max="12031" width="15.140625" style="1" customWidth="1"/>
    <col min="12032" max="12032" width="31.42578125" style="1" bestFit="1" customWidth="1"/>
    <col min="12033" max="12033" width="38.7109375" style="1" customWidth="1"/>
    <col min="12034" max="12285" width="8.85546875" style="1"/>
    <col min="12286" max="12286" width="3.7109375" style="1" customWidth="1"/>
    <col min="12287" max="12287" width="15.140625" style="1" customWidth="1"/>
    <col min="12288" max="12288" width="31.42578125" style="1" bestFit="1" customWidth="1"/>
    <col min="12289" max="12289" width="38.7109375" style="1" customWidth="1"/>
    <col min="12290" max="12541" width="8.85546875" style="1"/>
    <col min="12542" max="12542" width="3.7109375" style="1" customWidth="1"/>
    <col min="12543" max="12543" width="15.140625" style="1" customWidth="1"/>
    <col min="12544" max="12544" width="31.42578125" style="1" bestFit="1" customWidth="1"/>
    <col min="12545" max="12545" width="38.7109375" style="1" customWidth="1"/>
    <col min="12546" max="12797" width="8.85546875" style="1"/>
    <col min="12798" max="12798" width="3.7109375" style="1" customWidth="1"/>
    <col min="12799" max="12799" width="15.140625" style="1" customWidth="1"/>
    <col min="12800" max="12800" width="31.42578125" style="1" bestFit="1" customWidth="1"/>
    <col min="12801" max="12801" width="38.7109375" style="1" customWidth="1"/>
    <col min="12802" max="13053" width="8.85546875" style="1"/>
    <col min="13054" max="13054" width="3.7109375" style="1" customWidth="1"/>
    <col min="13055" max="13055" width="15.140625" style="1" customWidth="1"/>
    <col min="13056" max="13056" width="31.42578125" style="1" bestFit="1" customWidth="1"/>
    <col min="13057" max="13057" width="38.7109375" style="1" customWidth="1"/>
    <col min="13058" max="13309" width="8.85546875" style="1"/>
    <col min="13310" max="13310" width="3.7109375" style="1" customWidth="1"/>
    <col min="13311" max="13311" width="15.140625" style="1" customWidth="1"/>
    <col min="13312" max="13312" width="31.42578125" style="1" bestFit="1" customWidth="1"/>
    <col min="13313" max="13313" width="38.7109375" style="1" customWidth="1"/>
    <col min="13314" max="13565" width="8.85546875" style="1"/>
    <col min="13566" max="13566" width="3.7109375" style="1" customWidth="1"/>
    <col min="13567" max="13567" width="15.140625" style="1" customWidth="1"/>
    <col min="13568" max="13568" width="31.42578125" style="1" bestFit="1" customWidth="1"/>
    <col min="13569" max="13569" width="38.7109375" style="1" customWidth="1"/>
    <col min="13570" max="13821" width="8.85546875" style="1"/>
    <col min="13822" max="13822" width="3.7109375" style="1" customWidth="1"/>
    <col min="13823" max="13823" width="15.140625" style="1" customWidth="1"/>
    <col min="13824" max="13824" width="31.42578125" style="1" bestFit="1" customWidth="1"/>
    <col min="13825" max="13825" width="38.7109375" style="1" customWidth="1"/>
    <col min="13826" max="14077" width="8.85546875" style="1"/>
    <col min="14078" max="14078" width="3.7109375" style="1" customWidth="1"/>
    <col min="14079" max="14079" width="15.140625" style="1" customWidth="1"/>
    <col min="14080" max="14080" width="31.42578125" style="1" bestFit="1" customWidth="1"/>
    <col min="14081" max="14081" width="38.7109375" style="1" customWidth="1"/>
    <col min="14082" max="14333" width="8.85546875" style="1"/>
    <col min="14334" max="14334" width="3.7109375" style="1" customWidth="1"/>
    <col min="14335" max="14335" width="15.140625" style="1" customWidth="1"/>
    <col min="14336" max="14336" width="31.42578125" style="1" bestFit="1" customWidth="1"/>
    <col min="14337" max="14337" width="38.7109375" style="1" customWidth="1"/>
    <col min="14338" max="14589" width="8.85546875" style="1"/>
    <col min="14590" max="14590" width="3.7109375" style="1" customWidth="1"/>
    <col min="14591" max="14591" width="15.140625" style="1" customWidth="1"/>
    <col min="14592" max="14592" width="31.42578125" style="1" bestFit="1" customWidth="1"/>
    <col min="14593" max="14593" width="38.7109375" style="1" customWidth="1"/>
    <col min="14594" max="14845" width="8.85546875" style="1"/>
    <col min="14846" max="14846" width="3.7109375" style="1" customWidth="1"/>
    <col min="14847" max="14847" width="15.140625" style="1" customWidth="1"/>
    <col min="14848" max="14848" width="31.42578125" style="1" bestFit="1" customWidth="1"/>
    <col min="14849" max="14849" width="38.7109375" style="1" customWidth="1"/>
    <col min="14850" max="15101" width="8.85546875" style="1"/>
    <col min="15102" max="15102" width="3.7109375" style="1" customWidth="1"/>
    <col min="15103" max="15103" width="15.140625" style="1" customWidth="1"/>
    <col min="15104" max="15104" width="31.42578125" style="1" bestFit="1" customWidth="1"/>
    <col min="15105" max="15105" width="38.7109375" style="1" customWidth="1"/>
    <col min="15106" max="15357" width="8.85546875" style="1"/>
    <col min="15358" max="15358" width="3.7109375" style="1" customWidth="1"/>
    <col min="15359" max="15359" width="15.140625" style="1" customWidth="1"/>
    <col min="15360" max="15360" width="31.42578125" style="1" bestFit="1" customWidth="1"/>
    <col min="15361" max="15361" width="38.7109375" style="1" customWidth="1"/>
    <col min="15362" max="15613" width="8.85546875" style="1"/>
    <col min="15614" max="15614" width="3.7109375" style="1" customWidth="1"/>
    <col min="15615" max="15615" width="15.140625" style="1" customWidth="1"/>
    <col min="15616" max="15616" width="31.42578125" style="1" bestFit="1" customWidth="1"/>
    <col min="15617" max="15617" width="38.7109375" style="1" customWidth="1"/>
    <col min="15618" max="15869" width="8.85546875" style="1"/>
    <col min="15870" max="15870" width="3.7109375" style="1" customWidth="1"/>
    <col min="15871" max="15871" width="15.140625" style="1" customWidth="1"/>
    <col min="15872" max="15872" width="31.42578125" style="1" bestFit="1" customWidth="1"/>
    <col min="15873" max="15873" width="38.7109375" style="1" customWidth="1"/>
    <col min="15874" max="16125" width="8.85546875" style="1"/>
    <col min="16126" max="16126" width="3.7109375" style="1" customWidth="1"/>
    <col min="16127" max="16127" width="15.140625" style="1" customWidth="1"/>
    <col min="16128" max="16128" width="31.42578125" style="1" bestFit="1" customWidth="1"/>
    <col min="16129" max="16129" width="38.7109375" style="1" customWidth="1"/>
    <col min="16130" max="16384" width="8.85546875" style="1"/>
  </cols>
  <sheetData>
    <row r="2" spans="1:4" x14ac:dyDescent="0.25">
      <c r="B2" s="11"/>
      <c r="D2" s="6"/>
    </row>
    <row r="3" spans="1:4" x14ac:dyDescent="0.25">
      <c r="B3" s="9"/>
      <c r="D3" s="3"/>
    </row>
    <row r="4" spans="1:4" ht="16.5" x14ac:dyDescent="0.25">
      <c r="B4" s="15"/>
      <c r="C4" s="16"/>
    </row>
    <row r="7" spans="1:4" ht="15.75" x14ac:dyDescent="0.25">
      <c r="B7" s="2"/>
      <c r="C7" s="2"/>
    </row>
    <row r="8" spans="1:4" ht="15.75" x14ac:dyDescent="0.25">
      <c r="A8" s="2"/>
      <c r="B8" s="2523" t="s">
        <v>2</v>
      </c>
      <c r="C8" s="2524" t="s">
        <v>2</v>
      </c>
      <c r="D8" s="2525"/>
    </row>
    <row r="9" spans="1:4" ht="15.75" x14ac:dyDescent="0.25">
      <c r="A9" s="2"/>
      <c r="B9" s="2"/>
      <c r="C9" s="2"/>
      <c r="D9" s="2"/>
    </row>
    <row r="10" spans="1:4" ht="18.75" x14ac:dyDescent="0.3">
      <c r="A10" s="2"/>
      <c r="B10" s="2521" t="s">
        <v>6</v>
      </c>
      <c r="C10" s="2521"/>
      <c r="D10" s="2521"/>
    </row>
    <row r="11" spans="1:4" ht="15.75" x14ac:dyDescent="0.25">
      <c r="A11" s="2"/>
      <c r="B11" s="2"/>
      <c r="C11" s="2"/>
      <c r="D11" s="2"/>
    </row>
    <row r="12" spans="1:4" ht="15.75" x14ac:dyDescent="0.25">
      <c r="A12" s="2"/>
      <c r="B12" s="2522" t="s">
        <v>7</v>
      </c>
      <c r="C12" s="2522"/>
      <c r="D12" s="2522"/>
    </row>
    <row r="13" spans="1:4" ht="15.75" x14ac:dyDescent="0.25">
      <c r="A13" s="2"/>
      <c r="B13" s="5" t="s">
        <v>0</v>
      </c>
      <c r="C13" s="4" t="s">
        <v>4</v>
      </c>
      <c r="D13" s="4" t="s">
        <v>3</v>
      </c>
    </row>
    <row r="14" spans="1:4" x14ac:dyDescent="0.25">
      <c r="B14" s="17">
        <v>1</v>
      </c>
      <c r="C14" s="13" t="s">
        <v>8</v>
      </c>
      <c r="D14" s="18" t="s">
        <v>9</v>
      </c>
    </row>
    <row r="15" spans="1:4" x14ac:dyDescent="0.25">
      <c r="B15" s="19">
        <v>2</v>
      </c>
      <c r="C15" s="13" t="s">
        <v>10</v>
      </c>
      <c r="D15" s="20" t="s">
        <v>11</v>
      </c>
    </row>
    <row r="16" spans="1:4" x14ac:dyDescent="0.25">
      <c r="B16" s="21">
        <v>3</v>
      </c>
      <c r="C16" s="13" t="s">
        <v>12</v>
      </c>
      <c r="D16" s="22" t="s">
        <v>13</v>
      </c>
    </row>
    <row r="17" spans="1:4" x14ac:dyDescent="0.25">
      <c r="B17" s="23">
        <v>4</v>
      </c>
      <c r="C17" s="13" t="s">
        <v>14</v>
      </c>
      <c r="D17" s="24" t="s">
        <v>15</v>
      </c>
    </row>
    <row r="18" spans="1:4" x14ac:dyDescent="0.25">
      <c r="B18" s="25">
        <v>5</v>
      </c>
      <c r="C18" s="13" t="s">
        <v>16</v>
      </c>
      <c r="D18" s="26" t="s">
        <v>17</v>
      </c>
    </row>
    <row r="19" spans="1:4" x14ac:dyDescent="0.25">
      <c r="B19" s="27">
        <v>6</v>
      </c>
      <c r="C19" s="13" t="s">
        <v>18</v>
      </c>
      <c r="D19" s="28" t="s">
        <v>19</v>
      </c>
    </row>
    <row r="20" spans="1:4" x14ac:dyDescent="0.25">
      <c r="B20" s="29">
        <v>7</v>
      </c>
      <c r="C20" s="13" t="s">
        <v>20</v>
      </c>
      <c r="D20" s="30" t="s">
        <v>21</v>
      </c>
    </row>
    <row r="21" spans="1:4" x14ac:dyDescent="0.25">
      <c r="B21" s="31">
        <v>8</v>
      </c>
      <c r="C21" s="13" t="s">
        <v>22</v>
      </c>
      <c r="D21" s="32" t="s">
        <v>23</v>
      </c>
    </row>
    <row r="22" spans="1:4" x14ac:dyDescent="0.25">
      <c r="B22" s="33">
        <v>9</v>
      </c>
      <c r="C22" s="13" t="s">
        <v>24</v>
      </c>
      <c r="D22" s="34" t="s">
        <v>25</v>
      </c>
    </row>
    <row r="24" spans="1:4" ht="15.75" x14ac:dyDescent="0.25">
      <c r="A24" s="2"/>
      <c r="B24" s="10" t="s">
        <v>1</v>
      </c>
      <c r="C24" s="7"/>
    </row>
    <row r="25" spans="1:4" ht="90" x14ac:dyDescent="0.25">
      <c r="B25" s="35" t="s">
        <v>26</v>
      </c>
    </row>
    <row r="26" spans="1:4" x14ac:dyDescent="0.25">
      <c r="A26" s="8"/>
      <c r="B26" s="8"/>
      <c r="C26" s="8"/>
      <c r="D26" s="8"/>
    </row>
    <row r="27" spans="1:4" x14ac:dyDescent="0.25">
      <c r="A27" s="8"/>
      <c r="B27" s="8"/>
      <c r="C27" s="8"/>
      <c r="D27" s="8" t="s">
        <v>27</v>
      </c>
    </row>
    <row r="28" spans="1:4" x14ac:dyDescent="0.25">
      <c r="A28" s="8"/>
      <c r="B28" s="14" t="s">
        <v>28</v>
      </c>
      <c r="C28" s="14" t="s">
        <v>29</v>
      </c>
      <c r="D28" s="14" t="s">
        <v>30</v>
      </c>
    </row>
    <row r="29" spans="1:4" x14ac:dyDescent="0.25">
      <c r="A29" s="8"/>
      <c r="B29" s="8" t="s">
        <v>31</v>
      </c>
      <c r="C29" s="8" t="s">
        <v>31</v>
      </c>
      <c r="D29" s="8" t="s">
        <v>32</v>
      </c>
    </row>
    <row r="30" spans="1:4" x14ac:dyDescent="0.25">
      <c r="A30" s="8"/>
      <c r="B30" s="8"/>
      <c r="C30" s="8"/>
      <c r="D30" s="8"/>
    </row>
    <row r="31" spans="1:4" x14ac:dyDescent="0.25">
      <c r="A31" s="8"/>
      <c r="B31" s="8"/>
      <c r="C31" s="8"/>
      <c r="D31" s="8"/>
    </row>
    <row r="32" spans="1:4" x14ac:dyDescent="0.25">
      <c r="A32" s="8"/>
      <c r="B32" s="8"/>
      <c r="C32" s="8"/>
      <c r="D32" s="8"/>
    </row>
    <row r="33" spans="1:4" x14ac:dyDescent="0.25">
      <c r="A33" s="8"/>
      <c r="B33" s="8"/>
      <c r="C33" s="8"/>
      <c r="D33" s="8"/>
    </row>
    <row r="34" spans="1:4" x14ac:dyDescent="0.25">
      <c r="A34" s="8"/>
      <c r="B34" s="8"/>
      <c r="C34" s="8"/>
      <c r="D34" s="8"/>
    </row>
    <row r="35" spans="1:4" x14ac:dyDescent="0.25">
      <c r="A35" s="8"/>
      <c r="B35" s="8"/>
      <c r="C35" s="8"/>
      <c r="D35" s="8"/>
    </row>
    <row r="36" spans="1:4" x14ac:dyDescent="0.25">
      <c r="A36" s="8"/>
      <c r="B36" s="8"/>
      <c r="C36" s="8"/>
      <c r="D36" s="8"/>
    </row>
    <row r="37" spans="1:4" x14ac:dyDescent="0.25">
      <c r="A37" s="8"/>
      <c r="B37" s="8"/>
      <c r="C37" s="8"/>
      <c r="D37" s="8"/>
    </row>
    <row r="38" spans="1:4" x14ac:dyDescent="0.25">
      <c r="A38" s="8"/>
      <c r="B38" s="8"/>
      <c r="C38" s="8"/>
      <c r="D38" s="8"/>
    </row>
    <row r="39" spans="1:4" x14ac:dyDescent="0.25">
      <c r="A39" s="8"/>
      <c r="B39" s="8"/>
      <c r="C39" s="8"/>
      <c r="D39" s="8"/>
    </row>
  </sheetData>
  <mergeCells count="3">
    <mergeCell ref="B10:D10"/>
    <mergeCell ref="B12:D12"/>
    <mergeCell ref="B8:D8"/>
  </mergeCells>
  <hyperlinks>
    <hyperlink ref="D14" location="'KT_06618'!A1" display="KT_06618"/>
    <hyperlink ref="D15" location="'BCTCR_06608'!A1" display="BCTCR_06608"/>
    <hyperlink ref="D16" location="'CCTTCR_06609'!A1" display="CCTTCR_06609"/>
    <hyperlink ref="D17" location="'BCKQHDR_06610'!A1" display="BCKQHDR_06610"/>
    <hyperlink ref="D18" location="'BCLCTTRTT_06611'!A1" display="BCLCTTRTT_06611"/>
    <hyperlink ref="D19" location="'PLCTTHDMGUTCKHTT_06612'!A1" display="PLCTTHDMGUTCKHTT_06612"/>
    <hyperlink ref="D20" location="'BCLCTTRGT_06613'!A1" display="BCLCTTRGT_06613"/>
    <hyperlink ref="D21" location="'PLCTTHDMGUTCKHGT_06614'!A1" display="PLCTTHDMGUTCKHGT_06614"/>
    <hyperlink ref="D22" location="'BCTHBDVCSH_06615'!A1" display="BCTHBDVCSH_06615"/>
  </hyperlink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74"/>
  <sheetViews>
    <sheetView workbookViewId="0"/>
  </sheetViews>
  <sheetFormatPr defaultRowHeight="15" x14ac:dyDescent="0.25"/>
  <cols>
    <col min="1" max="1" width="1" style="1291" bestFit="1" customWidth="1"/>
    <col min="2" max="5" width="1" bestFit="1" customWidth="1"/>
  </cols>
  <sheetData>
    <row r="5" spans="1:5" x14ac:dyDescent="0.25">
      <c r="A5" t="str">
        <f>CONCATENATE(610423,",",ROW(BCKQHDR_06610!A5),"|",COLUMN(BCKQHDR_06610!A5),",0",",0")</f>
        <v>610423,5|1,0,0</v>
      </c>
      <c r="B5" t="str">
        <f>CONCATENATE(610455,",",ROW(BCKQHDR_06610!B5),"|",COLUMN(BCKQHDR_06610!B5),",0",",0")</f>
        <v>610455,5|2,0,0</v>
      </c>
      <c r="C5" t="str">
        <f>CONCATENATE(610403,",",ROW(BCKQHDR_06610!C5),"|",COLUMN(BCKQHDR_06610!C5),",0",",0")</f>
        <v>610403,5|3,0,0</v>
      </c>
      <c r="D5" t="str">
        <f>CONCATENATE(610456,",",ROW(BCKQHDR_06610!D5),"|",COLUMN(BCKQHDR_06610!D5),",0",",0")</f>
        <v>610456,5|4,0,0</v>
      </c>
      <c r="E5" t="str">
        <f>CONCATENATE(610404,",",ROW(BCKQHDR_06610!E5),"|",COLUMN(BCKQHDR_06610!E5),",0",",0")</f>
        <v>610404,5|5,0,0</v>
      </c>
    </row>
    <row r="6" spans="1:5" x14ac:dyDescent="0.25">
      <c r="A6" t="str">
        <f>CONCATENATE(610581,",",ROW(BCKQHDR_06610!A6),"|",COLUMN(BCKQHDR_06610!A6),",0",",0")</f>
        <v>610581,6|1,0,0</v>
      </c>
      <c r="B6" t="str">
        <f>CONCATENATE(610409,",",ROW(BCKQHDR_06610!B6),"|",COLUMN(BCKQHDR_06610!B6),",0",",0")</f>
        <v>610409,6|2,0,0</v>
      </c>
      <c r="C6" t="str">
        <f>CONCATENATE(610597,",",ROW(BCKQHDR_06610!C6),"|",COLUMN(BCKQHDR_06610!C6),",0",",0")</f>
        <v>610597,6|3,0,0</v>
      </c>
      <c r="D6" t="str">
        <f>CONCATENATE(610575,",",ROW(BCKQHDR_06610!D6),"|",COLUMN(BCKQHDR_06610!D6),",0",",0")</f>
        <v>610575,6|4,0,0</v>
      </c>
      <c r="E6" t="str">
        <f>CONCATENATE(610612,",",ROW(BCKQHDR_06610!E6),"|",COLUMN(BCKQHDR_06610!E6),",0",",0")</f>
        <v>610612,6|5,0,0</v>
      </c>
    </row>
    <row r="7" spans="1:5" x14ac:dyDescent="0.25">
      <c r="A7" t="str">
        <f>CONCATENATE(610405,",",ROW(BCKQHDR_06610!A7),"|",COLUMN(BCKQHDR_06610!A7),",0",",0")</f>
        <v>610405,7|1,0,0</v>
      </c>
      <c r="B7" t="str">
        <f>CONCATENATE(610534,",",ROW(BCKQHDR_06610!B7),"|",COLUMN(BCKQHDR_06610!B7),",0",",0")</f>
        <v>610534,7|2,0,0</v>
      </c>
      <c r="C7" t="str">
        <f>CONCATENATE(610715,",",ROW(BCKQHDR_06610!C7),"|",COLUMN(BCKQHDR_06610!C7),",0",",0")</f>
        <v>610715,7|3,0,0</v>
      </c>
      <c r="D7" t="str">
        <f>CONCATENATE(610484,",",ROW(BCKQHDR_06610!D7),"|",COLUMN(BCKQHDR_06610!D7),",0",",0")</f>
        <v>610484,7|4,0,0</v>
      </c>
      <c r="E7" t="str">
        <f>CONCATENATE(610522,",",ROW(BCKQHDR_06610!E7),"|",COLUMN(BCKQHDR_06610!E7),",0",",0")</f>
        <v>610522,7|5,0,0</v>
      </c>
    </row>
    <row r="8" spans="1:5" x14ac:dyDescent="0.25">
      <c r="A8" t="str">
        <f>CONCATENATE(610698,",",ROW(BCKQHDR_06610!A8),"|",COLUMN(BCKQHDR_06610!A8),",0",",0")</f>
        <v>610698,8|1,0,0</v>
      </c>
      <c r="B8" t="str">
        <f>CONCATENATE(610535,",",ROW(BCKQHDR_06610!B8),"|",COLUMN(BCKQHDR_06610!B8),",0",",0")</f>
        <v>610535,8|2,0,0</v>
      </c>
      <c r="C8" t="str">
        <f>CONCATENATE(610690,",",ROW(BCKQHDR_06610!C8),"|",COLUMN(BCKQHDR_06610!C8),",0",",0")</f>
        <v>610690,8|3,0,0</v>
      </c>
      <c r="D8" t="str">
        <f>CONCATENATE(610485,",",ROW(BCKQHDR_06610!D8),"|",COLUMN(BCKQHDR_06610!D8),",0",",0")</f>
        <v>610485,8|4,0,0</v>
      </c>
      <c r="E8" t="str">
        <f>CONCATENATE(610523,",",ROW(BCKQHDR_06610!E8),"|",COLUMN(BCKQHDR_06610!E8),",0",",0")</f>
        <v>610523,8|5,0,0</v>
      </c>
    </row>
    <row r="9" spans="1:5" x14ac:dyDescent="0.25">
      <c r="A9" t="str">
        <f>CONCATENATE(610582,",",ROW(BCKQHDR_06610!A9),"|",COLUMN(BCKQHDR_06610!A9),",0",",0")</f>
        <v>610582,9|1,0,0</v>
      </c>
      <c r="B9" t="str">
        <f>CONCATENATE(610644,",",ROW(BCKQHDR_06610!B9),"|",COLUMN(BCKQHDR_06610!B9),",0",",0")</f>
        <v>610644,9|2,0,0</v>
      </c>
      <c r="C9" t="str">
        <f>CONCATENATE(610691,",",ROW(BCKQHDR_06610!C9),"|",COLUMN(BCKQHDR_06610!C9),",0",",0")</f>
        <v>610691,9|3,0,0</v>
      </c>
      <c r="D9" t="str">
        <f>CONCATENATE(610486,",",ROW(BCKQHDR_06610!D9),"|",COLUMN(BCKQHDR_06610!D9),",0",",0")</f>
        <v>610486,9|4,0,0</v>
      </c>
      <c r="E9" t="str">
        <f>CONCATENATE(610524,",",ROW(BCKQHDR_06610!E9),"|",COLUMN(BCKQHDR_06610!E9),",0",",0")</f>
        <v>610524,9|5,0,0</v>
      </c>
    </row>
    <row r="10" spans="1:5" x14ac:dyDescent="0.25">
      <c r="A10" t="str">
        <f>CONCATENATE(610424,",",ROW(BCKQHDR_06610!A10),"|",COLUMN(BCKQHDR_06610!A10),",0",",0")</f>
        <v>610424,10|1,0,0</v>
      </c>
      <c r="B10" t="str">
        <f>CONCATENATE(610507,",",ROW(BCKQHDR_06610!B10),"|",COLUMN(BCKQHDR_06610!B10),",0",",0")</f>
        <v>610507,10|2,0,0</v>
      </c>
      <c r="C10" t="str">
        <f>CONCATENATE(610427,",",ROW(BCKQHDR_06610!C10),"|",COLUMN(BCKQHDR_06610!C10),",0",",0")</f>
        <v>610427,10|3,0,0</v>
      </c>
      <c r="D10" t="str">
        <f>CONCATENATE(610487,",",ROW(BCKQHDR_06610!D10),"|",COLUMN(BCKQHDR_06610!D10),",0",",0")</f>
        <v>610487,10|4,0,0</v>
      </c>
      <c r="E10" t="str">
        <f>CONCATENATE(610525,",",ROW(BCKQHDR_06610!E10),"|",COLUMN(BCKQHDR_06610!E10),",0",",0")</f>
        <v>610525,10|5,0,0</v>
      </c>
    </row>
    <row r="11" spans="1:5" x14ac:dyDescent="0.25">
      <c r="A11" t="str">
        <f>CONCATENATE(610699,",",ROW(BCKQHDR_06610!A11),"|",COLUMN(BCKQHDR_06610!A11),",0",",0")</f>
        <v>610699,11|1,0,0</v>
      </c>
      <c r="B11" t="str">
        <f>CONCATENATE(610682,",",ROW(BCKQHDR_06610!B11),"|",COLUMN(BCKQHDR_06610!B11),",0",",0")</f>
        <v>610682,11|2,0,0</v>
      </c>
      <c r="C11" t="str">
        <f>CONCATENATE(610428,",",ROW(BCKQHDR_06610!C11),"|",COLUMN(BCKQHDR_06610!C11),",0",",0")</f>
        <v>610428,11|3,0,0</v>
      </c>
      <c r="D11" t="str">
        <f>CONCATENATE(610488,",",ROW(BCKQHDR_06610!D11),"|",COLUMN(BCKQHDR_06610!D11),",0",",0")</f>
        <v>610488,11|4,0,0</v>
      </c>
      <c r="E11" t="str">
        <f>CONCATENATE(610526,",",ROW(BCKQHDR_06610!E11),"|",COLUMN(BCKQHDR_06610!E11),",0",",0")</f>
        <v>610526,11|5,0,0</v>
      </c>
    </row>
    <row r="12" spans="1:5" x14ac:dyDescent="0.25">
      <c r="A12" t="str">
        <f>CONCATENATE(610552,",",ROW(BCKQHDR_06610!A12),"|",COLUMN(BCKQHDR_06610!A12),",0",",0")</f>
        <v>610552,12|1,0,0</v>
      </c>
      <c r="B12" t="str">
        <f>CONCATENATE(610536,",",ROW(BCKQHDR_06610!B12),"|",COLUMN(BCKQHDR_06610!B12),",0",",0")</f>
        <v>610536,12|2,0,0</v>
      </c>
      <c r="C12" t="str">
        <f>CONCATENATE(610429,",",ROW(BCKQHDR_06610!C12),"|",COLUMN(BCKQHDR_06610!C12),",0",",0")</f>
        <v>610429,12|3,0,0</v>
      </c>
      <c r="D12" t="str">
        <f>CONCATENATE(610489,",",ROW(BCKQHDR_06610!D12),"|",COLUMN(BCKQHDR_06610!D12),",0",",0")</f>
        <v>610489,12|4,0,0</v>
      </c>
      <c r="E12" t="str">
        <f>CONCATENATE(610527,",",ROW(BCKQHDR_06610!E12),"|",COLUMN(BCKQHDR_06610!E12),",0",",0")</f>
        <v>610527,12|5,0,0</v>
      </c>
    </row>
    <row r="13" spans="1:5" x14ac:dyDescent="0.25">
      <c r="A13" t="str">
        <f>CONCATENATE(610406,",",ROW(BCKQHDR_06610!A13),"|",COLUMN(BCKQHDR_06610!A13),",0",",0")</f>
        <v>610406,13|1,0,0</v>
      </c>
      <c r="B13" t="str">
        <f>CONCATENATE(610537,",",ROW(BCKQHDR_06610!B13),"|",COLUMN(BCKQHDR_06610!B13),",0",",0")</f>
        <v>610537,13|2,0,0</v>
      </c>
      <c r="C13" t="str">
        <f>CONCATENATE(610430,",",ROW(BCKQHDR_06610!C13),"|",COLUMN(BCKQHDR_06610!C13),",0",",0")</f>
        <v>610430,13|3,0,0</v>
      </c>
      <c r="D13" t="str">
        <f>CONCATENATE(610490,",",ROW(BCKQHDR_06610!D13),"|",COLUMN(BCKQHDR_06610!D13),",0",",0")</f>
        <v>610490,13|4,0,0</v>
      </c>
      <c r="E13" t="str">
        <f>CONCATENATE(610617,",",ROW(BCKQHDR_06610!E13),"|",COLUMN(BCKQHDR_06610!E13),",0",",0")</f>
        <v>610617,13|5,0,0</v>
      </c>
    </row>
    <row r="14" spans="1:5" x14ac:dyDescent="0.25">
      <c r="A14" t="str">
        <f>CONCATENATE(610407,",",ROW(BCKQHDR_06610!A14),"|",COLUMN(BCKQHDR_06610!A14),",0",",0")</f>
        <v>610407,14|1,0,0</v>
      </c>
      <c r="B14" t="str">
        <f>CONCATENATE(610508,",",ROW(BCKQHDR_06610!B14),"|",COLUMN(BCKQHDR_06610!B14),",0",",0")</f>
        <v>610508,14|2,0,0</v>
      </c>
      <c r="C14" t="str">
        <f>CONCATENATE(610431,",",ROW(BCKQHDR_06610!C14),"|",COLUMN(BCKQHDR_06610!C14),",0",",0")</f>
        <v>610431,14|3,0,0</v>
      </c>
      <c r="D14" t="str">
        <f>CONCATENATE(610491,",",ROW(BCKQHDR_06610!D14),"|",COLUMN(BCKQHDR_06610!D14),",0",",0")</f>
        <v>610491,14|4,0,0</v>
      </c>
      <c r="E14" t="str">
        <f>CONCATENATE(610618,",",ROW(BCKQHDR_06610!E14),"|",COLUMN(BCKQHDR_06610!E14),",0",",0")</f>
        <v>610618,14|5,0,0</v>
      </c>
    </row>
    <row r="15" spans="1:5" x14ac:dyDescent="0.25">
      <c r="A15" t="str">
        <f>CONCATENATE(610583,",",ROW(BCKQHDR_06610!A15),"|",COLUMN(BCKQHDR_06610!A15),",0",",0")</f>
        <v>610583,15|1,0,0</v>
      </c>
      <c r="B15" t="str">
        <f>CONCATENATE(610410,",",ROW(BCKQHDR_06610!B15),"|",COLUMN(BCKQHDR_06610!B15),",0",",0")</f>
        <v>610410,15|2,0,0</v>
      </c>
      <c r="C15" t="str">
        <f>CONCATENATE(610432,",",ROW(BCKQHDR_06610!C15),"|",COLUMN(BCKQHDR_06610!C15),",0",",0")</f>
        <v>610432,15|3,0,0</v>
      </c>
      <c r="D15" t="str">
        <f>CONCATENATE(610492,",",ROW(BCKQHDR_06610!D15),"|",COLUMN(BCKQHDR_06610!D15),",0",",0")</f>
        <v>610492,15|4,0,0</v>
      </c>
      <c r="E15" t="str">
        <f>CONCATENATE(610619,",",ROW(BCKQHDR_06610!E15),"|",COLUMN(BCKQHDR_06610!E15),",0",",0")</f>
        <v>610619,15|5,0,0</v>
      </c>
    </row>
    <row r="16" spans="1:5" x14ac:dyDescent="0.25">
      <c r="A16" t="str">
        <f>CONCATENATE(610670,",",ROW(BCKQHDR_06610!A16),"|",COLUMN(BCKQHDR_06610!A16),",0",",0")</f>
        <v>610670,16|1,0,0</v>
      </c>
      <c r="B16" t="str">
        <f>CONCATENATE(610645,",",ROW(BCKQHDR_06610!B16),"|",COLUMN(BCKQHDR_06610!B16),",0",",0")</f>
        <v>610645,16|2,0,0</v>
      </c>
      <c r="C16" t="str">
        <f>CONCATENATE(610433,",",ROW(BCKQHDR_06610!C16),"|",COLUMN(BCKQHDR_06610!C16),",0",",0")</f>
        <v>610433,16|3,0,0</v>
      </c>
      <c r="D16" t="str">
        <f>CONCATENATE(610493,",",ROW(BCKQHDR_06610!D16),"|",COLUMN(BCKQHDR_06610!D16),",0",",0")</f>
        <v>610493,16|4,0,0</v>
      </c>
      <c r="E16" t="str">
        <f>CONCATENATE(610620,",",ROW(BCKQHDR_06610!E16),"|",COLUMN(BCKQHDR_06610!E16),",0",",0")</f>
        <v>610620,16|5,0,0</v>
      </c>
    </row>
    <row r="17" spans="1:5" x14ac:dyDescent="0.25">
      <c r="A17" t="str">
        <f>CONCATENATE(610584,",",ROW(BCKQHDR_06610!A17),"|",COLUMN(BCKQHDR_06610!A17),",0",",0")</f>
        <v>610584,17|1,0,0</v>
      </c>
      <c r="B17" t="str">
        <f>CONCATENATE(610412,",",ROW(BCKQHDR_06610!B17),"|",COLUMN(BCKQHDR_06610!B17),",0",",0")</f>
        <v>610412,17|2,0,0</v>
      </c>
      <c r="C17" t="str">
        <f>CONCATENATE(610434,",",ROW(BCKQHDR_06610!C17),"|",COLUMN(BCKQHDR_06610!C17),",0",",0")</f>
        <v>610434,17|3,0,0</v>
      </c>
      <c r="D17" t="str">
        <f>CONCATENATE(610494,",",ROW(BCKQHDR_06610!D17),"|",COLUMN(BCKQHDR_06610!D17),",0",",0")</f>
        <v>610494,17|4,0,0</v>
      </c>
      <c r="E17" t="str">
        <f>CONCATENATE(610621,",",ROW(BCKQHDR_06610!E17),"|",COLUMN(BCKQHDR_06610!E17),",0",",0")</f>
        <v>610621,17|5,0,0</v>
      </c>
    </row>
    <row r="18" spans="1:5" x14ac:dyDescent="0.25">
      <c r="A18" t="str">
        <f>CONCATENATE(610457,",",ROW(BCKQHDR_06610!A18),"|",COLUMN(BCKQHDR_06610!A18),",0",",0")</f>
        <v>610457,18|1,0,0</v>
      </c>
      <c r="B18" t="str">
        <f>CONCATENATE(610413,",",ROW(BCKQHDR_06610!B18),"|",COLUMN(BCKQHDR_06610!B18),",0",",0")</f>
        <v>610413,18|2,0,0</v>
      </c>
      <c r="C18" t="str">
        <f>CONCATENATE(610436,",",ROW(BCKQHDR_06610!C18),"|",COLUMN(BCKQHDR_06610!C18),",0",",0")</f>
        <v>610436,18|3,0,0</v>
      </c>
      <c r="D18" t="str">
        <f>CONCATENATE(610495,",",ROW(BCKQHDR_06610!D18),"|",COLUMN(BCKQHDR_06610!D18),",0",",0")</f>
        <v>610495,18|4,0,0</v>
      </c>
      <c r="E18" t="str">
        <f>CONCATENATE(610622,",",ROW(BCKQHDR_06610!E18),"|",COLUMN(BCKQHDR_06610!E18),",0",",0")</f>
        <v>610622,18|5,0,0</v>
      </c>
    </row>
    <row r="19" spans="1:5" x14ac:dyDescent="0.25">
      <c r="A19" t="str">
        <f>CONCATENATE(610458,",",ROW(BCKQHDR_06610!A19),"|",COLUMN(BCKQHDR_06610!A19),",0",",0")</f>
        <v>610458,19|1,0,0</v>
      </c>
      <c r="B19" t="str">
        <f>CONCATENATE(610683,",",ROW(BCKQHDR_06610!B19),"|",COLUMN(BCKQHDR_06610!B19),",0",",0")</f>
        <v>610683,19|2,0,0</v>
      </c>
      <c r="C19" t="str">
        <f>CONCATENATE(610435,",",ROW(BCKQHDR_06610!C19),"|",COLUMN(BCKQHDR_06610!C19),",0",",0")</f>
        <v>610435,19|3,0,0</v>
      </c>
      <c r="D19" t="str">
        <f>CONCATENATE(610496,",",ROW(BCKQHDR_06610!D19),"|",COLUMN(BCKQHDR_06610!D19),",0",",0")</f>
        <v>610496,19|4,0,0</v>
      </c>
      <c r="E19" t="str">
        <f>CONCATENATE(610623,",",ROW(BCKQHDR_06610!E19),"|",COLUMN(BCKQHDR_06610!E19),",0",",0")</f>
        <v>610623,19|5,0,0</v>
      </c>
    </row>
    <row r="20" spans="1:5" x14ac:dyDescent="0.25">
      <c r="A20" t="str">
        <f>CONCATENATE(610700,",",ROW(BCKQHDR_06610!A20),"|",COLUMN(BCKQHDR_06610!A20),",0",",0")</f>
        <v>610700,20|1,0,0</v>
      </c>
      <c r="B20" t="str">
        <f>CONCATENATE(610538,",",ROW(BCKQHDR_06610!B20),"|",COLUMN(BCKQHDR_06610!B20),",0",",0")</f>
        <v>610538,20|2,0,0</v>
      </c>
      <c r="C20" t="str">
        <f>CONCATENATE(610721,",",ROW(BCKQHDR_06610!C20),"|",COLUMN(BCKQHDR_06610!C20),",0",",0")</f>
        <v>610721,20|3,0,0</v>
      </c>
      <c r="D20" t="str">
        <f>CONCATENATE(610497,",",ROW(BCKQHDR_06610!D20),"|",COLUMN(BCKQHDR_06610!D20),",0",",0")</f>
        <v>610497,20|4,0,0</v>
      </c>
      <c r="E20" t="str">
        <f>CONCATENATE(610624,",",ROW(BCKQHDR_06610!E20),"|",COLUMN(BCKQHDR_06610!E20),",0",",0")</f>
        <v>610624,20|5,0,0</v>
      </c>
    </row>
    <row r="21" spans="1:5" x14ac:dyDescent="0.25">
      <c r="A21" t="str">
        <f>CONCATENATE(610675,",",ROW(BCKQHDR_06610!A21),"|",COLUMN(BCKQHDR_06610!A21),",0",",0")</f>
        <v>610675,21|1,0,0</v>
      </c>
      <c r="B21" t="str">
        <f>CONCATENATE(610684,",",ROW(BCKQHDR_06610!B21),"|",COLUMN(BCKQHDR_06610!B21),",0",",0")</f>
        <v>610684,21|2,0,0</v>
      </c>
      <c r="C21" t="str">
        <f>CONCATENATE(610722,",",ROW(BCKQHDR_06610!C21),"|",COLUMN(BCKQHDR_06610!C21),",0",",0")</f>
        <v>610722,21|3,0,0</v>
      </c>
      <c r="D21" t="str">
        <f>CONCATENATE(610498,",",ROW(BCKQHDR_06610!D21),"|",COLUMN(BCKQHDR_06610!D21),",0",",0")</f>
        <v>610498,21|4,0,0</v>
      </c>
      <c r="E21" t="str">
        <f>CONCATENATE(610625,",",ROW(BCKQHDR_06610!E21),"|",COLUMN(BCKQHDR_06610!E21),",0",",0")</f>
        <v>610625,21|5,0,0</v>
      </c>
    </row>
    <row r="22" spans="1:5" x14ac:dyDescent="0.25">
      <c r="A22" t="str">
        <f>CONCATENATE(610459,",",ROW(BCKQHDR_06610!A22),"|",COLUMN(BCKQHDR_06610!A22),",0",",0")</f>
        <v>610459,22|1,0,0</v>
      </c>
      <c r="B22" t="s">
        <v>5</v>
      </c>
      <c r="C22" t="str">
        <f>CONCATENATE(610723,",",ROW(BCKQHDR_06610!C22),"|",COLUMN(BCKQHDR_06610!C22),",0",",0")</f>
        <v>610723,22|3,0,0</v>
      </c>
      <c r="D22" t="str">
        <f>CONCATENATE(610499,",",ROW(BCKQHDR_06610!D22),"|",COLUMN(BCKQHDR_06610!D22),",0",",0")</f>
        <v>610499,22|4,0,0</v>
      </c>
      <c r="E22" t="str">
        <f>CONCATENATE(610626,",",ROW(BCKQHDR_06610!E22),"|",COLUMN(BCKQHDR_06610!E22),",0",",0")</f>
        <v>610626,22|5,0,0</v>
      </c>
    </row>
    <row r="23" spans="1:5" x14ac:dyDescent="0.25">
      <c r="A23" t="str">
        <f>CONCATENATE(610532,",",ROW(BCKQHDR_06610!A23),"|",COLUMN(BCKQHDR_06610!A23),",0",",0")</f>
        <v>610532,23|1,0,0</v>
      </c>
      <c r="B23" t="str">
        <f>CONCATENATE(610539,",",ROW(BCKQHDR_06610!B23),"|",COLUMN(BCKQHDR_06610!B23),",0",",0")</f>
        <v>610539,23|2,0,0</v>
      </c>
      <c r="C23" t="str">
        <f>CONCATENATE(610724,",",ROW(BCKQHDR_06610!C23),"|",COLUMN(BCKQHDR_06610!C23),",0",",0")</f>
        <v>610724,23|3,0,0</v>
      </c>
      <c r="D23" t="str">
        <f>CONCATENATE(610500,",",ROW(BCKQHDR_06610!D23),"|",COLUMN(BCKQHDR_06610!D23),",0",",0")</f>
        <v>610500,23|4,0,0</v>
      </c>
      <c r="E23" t="str">
        <f>CONCATENATE(610627,",",ROW(BCKQHDR_06610!E23),"|",COLUMN(BCKQHDR_06610!E23),",0",",0")</f>
        <v>610627,23|5,0,0</v>
      </c>
    </row>
    <row r="24" spans="1:5" x14ac:dyDescent="0.25">
      <c r="A24" t="str">
        <f>CONCATENATE(610676,",",ROW(BCKQHDR_06610!A24),"|",COLUMN(BCKQHDR_06610!A24),",0",",0")</f>
        <v>610676,24|1,0,0</v>
      </c>
      <c r="B24" t="str">
        <f>CONCATENATE(610540,",",ROW(BCKQHDR_06610!B24),"|",COLUMN(BCKQHDR_06610!B24),",0",",0")</f>
        <v>610540,24|2,0,0</v>
      </c>
      <c r="C24" t="str">
        <f>CONCATENATE(610725,",",ROW(BCKQHDR_06610!C24),"|",COLUMN(BCKQHDR_06610!C24),",0",",0")</f>
        <v>610725,24|3,0,0</v>
      </c>
      <c r="D24" t="str">
        <f>CONCATENATE(610501,",",ROW(BCKQHDR_06610!D24),"|",COLUMN(BCKQHDR_06610!D24),",0",",0")</f>
        <v>610501,24|4,0,0</v>
      </c>
      <c r="E24" t="str">
        <f>CONCATENATE(610628,",",ROW(BCKQHDR_06610!E24),"|",COLUMN(BCKQHDR_06610!E24),",0",",0")</f>
        <v>610628,24|5,0,0</v>
      </c>
    </row>
    <row r="25" spans="1:5" x14ac:dyDescent="0.25">
      <c r="A25" t="str">
        <f>CONCATENATE(610553,",",ROW(BCKQHDR_06610!A25),"|",COLUMN(BCKQHDR_06610!A25),",0",",0")</f>
        <v>610553,25|1,0,0</v>
      </c>
      <c r="B25" t="str">
        <f>CONCATENATE(610414,",",ROW(BCKQHDR_06610!B25),"|",COLUMN(BCKQHDR_06610!B25),",0",",0")</f>
        <v>610414,25|2,0,0</v>
      </c>
      <c r="C25" t="str">
        <f>CONCATENATE(610726,",",ROW(BCKQHDR_06610!C25),"|",COLUMN(BCKQHDR_06610!C25),",0",",0")</f>
        <v>610726,25|3,0,0</v>
      </c>
      <c r="D25" t="str">
        <f>CONCATENATE(610411,",",ROW(BCKQHDR_06610!D25),"|",COLUMN(BCKQHDR_06610!D25),",0",",0")</f>
        <v>610411,25|4,0,0</v>
      </c>
      <c r="E25" t="str">
        <f>CONCATENATE(610629,",",ROW(BCKQHDR_06610!E25),"|",COLUMN(BCKQHDR_06610!E25),",0",",0")</f>
        <v>610629,25|5,0,0</v>
      </c>
    </row>
    <row r="26" spans="1:5" x14ac:dyDescent="0.25">
      <c r="A26" t="str">
        <f>CONCATENATE(610528,",",ROW(BCKQHDR_06610!A26),"|",COLUMN(BCKQHDR_06610!A26),",0",",0")</f>
        <v>610528,26|1,0,0</v>
      </c>
      <c r="B26" t="str">
        <f>CONCATENATE(610415,",",ROW(BCKQHDR_06610!B26),"|",COLUMN(BCKQHDR_06610!B26),",0",",0")</f>
        <v>610415,26|2,0,0</v>
      </c>
      <c r="C26" t="str">
        <f>CONCATENATE(610727,",",ROW(BCKQHDR_06610!C26),"|",COLUMN(BCKQHDR_06610!C26),",0",",0")</f>
        <v>610727,26|3,0,0</v>
      </c>
      <c r="D26" t="str">
        <f>CONCATENATE(610502,",",ROW(BCKQHDR_06610!D26),"|",COLUMN(BCKQHDR_06610!D26),",0",",0")</f>
        <v>610502,26|4,0,0</v>
      </c>
      <c r="E26" t="str">
        <f>CONCATENATE(610630,",",ROW(BCKQHDR_06610!E26),"|",COLUMN(BCKQHDR_06610!E26),",0",",0")</f>
        <v>610630,26|5,0,0</v>
      </c>
    </row>
    <row r="27" spans="1:5" x14ac:dyDescent="0.25">
      <c r="A27" t="str">
        <f>CONCATENATE(610677,",",ROW(BCKQHDR_06610!A27),"|",COLUMN(BCKQHDR_06610!A27),",0",",0")</f>
        <v>610677,27|1,0,0</v>
      </c>
      <c r="B27" t="str">
        <f>CONCATENATE(610416,",",ROW(BCKQHDR_06610!B27),"|",COLUMN(BCKQHDR_06610!B27),",0",",0")</f>
        <v>610416,27|2,0,0</v>
      </c>
      <c r="C27" t="str">
        <f>CONCATENATE(610728,",",ROW(BCKQHDR_06610!C27),"|",COLUMN(BCKQHDR_06610!C27),",0",",0")</f>
        <v>610728,27|3,0,0</v>
      </c>
      <c r="D27" t="str">
        <f>CONCATENATE(610503,",",ROW(BCKQHDR_06610!D27),"|",COLUMN(BCKQHDR_06610!D27),",0",",0")</f>
        <v>610503,27|4,0,0</v>
      </c>
      <c r="E27" t="str">
        <f>CONCATENATE(610631,",",ROW(BCKQHDR_06610!E27),"|",COLUMN(BCKQHDR_06610!E27),",0",",0")</f>
        <v>610631,27|5,0,0</v>
      </c>
    </row>
    <row r="28" spans="1:5" x14ac:dyDescent="0.25">
      <c r="A28" t="str">
        <f>CONCATENATE(610529,",",ROW(BCKQHDR_06610!A28),"|",COLUMN(BCKQHDR_06610!A28),",0",",0")</f>
        <v>610529,28|1,0,0</v>
      </c>
      <c r="B28" t="str">
        <f>CONCATENATE(610685,",",ROW(BCKQHDR_06610!B28),"|",COLUMN(BCKQHDR_06610!B28),",0",",0")</f>
        <v>610685,28|2,0,0</v>
      </c>
      <c r="C28" t="str">
        <f>CONCATENATE(610729,",",ROW(BCKQHDR_06610!C28),"|",COLUMN(BCKQHDR_06610!C28),",0",",0")</f>
        <v>610729,28|3,0,0</v>
      </c>
      <c r="D28" t="str">
        <f>CONCATENATE(610555,",",ROW(BCKQHDR_06610!D28),"|",COLUMN(BCKQHDR_06610!D28),",0",",0")</f>
        <v>610555,28|4,0,0</v>
      </c>
      <c r="E28" t="str">
        <f>CONCATENATE(610460,",",ROW(BCKQHDR_06610!E28),"|",COLUMN(BCKQHDR_06610!E28),",0",",0")</f>
        <v>610460,28|5,0,0</v>
      </c>
    </row>
    <row r="29" spans="1:5" x14ac:dyDescent="0.25">
      <c r="A29" t="str">
        <f>CONCATENATE(610554,",",ROW(BCKQHDR_06610!A29),"|",COLUMN(BCKQHDR_06610!A29),",0",",0")</f>
        <v>610554,29|1,0,0</v>
      </c>
      <c r="B29" t="str">
        <f>CONCATENATE(610687,",",ROW(BCKQHDR_06610!B29),"|",COLUMN(BCKQHDR_06610!B29),",0",",0")</f>
        <v>610687,29|2,0,0</v>
      </c>
      <c r="C29" t="str">
        <f>CONCATENATE(610730,",",ROW(BCKQHDR_06610!C29),"|",COLUMN(BCKQHDR_06610!C29),",0",",0")</f>
        <v>610730,29|3,0,0</v>
      </c>
      <c r="D29" t="str">
        <f>CONCATENATE(610735,",",ROW(BCKQHDR_06610!D29),"|",COLUMN(BCKQHDR_06610!D29),",0",",0")</f>
        <v>610735,29|4,0,0</v>
      </c>
      <c r="E29" t="str">
        <f>CONCATENATE(610461,",",ROW(BCKQHDR_06610!E29),"|",COLUMN(BCKQHDR_06610!E29),",0",",0")</f>
        <v>610461,29|5,0,0</v>
      </c>
    </row>
    <row r="30" spans="1:5" x14ac:dyDescent="0.25">
      <c r="A30" t="str">
        <f>CONCATENATE(610549,",",ROW(BCKQHDR_06610!A30),"|",COLUMN(BCKQHDR_06610!A30),",0",",0")</f>
        <v>610549,30|1,0,0</v>
      </c>
      <c r="B30" t="str">
        <f>CONCATENATE(610688,",",ROW(BCKQHDR_06610!B30),"|",COLUMN(BCKQHDR_06610!B30),",0",",0")</f>
        <v>610688,30|2,0,0</v>
      </c>
      <c r="C30" t="str">
        <f>CONCATENATE(610731,",",ROW(BCKQHDR_06610!C30),"|",COLUMN(BCKQHDR_06610!C30),",0",",0")</f>
        <v>610731,30|3,0,0</v>
      </c>
      <c r="D30" t="str">
        <f>CONCATENATE(610556,",",ROW(BCKQHDR_06610!D30),"|",COLUMN(BCKQHDR_06610!D30),",0",",0")</f>
        <v>610556,30|4,0,0</v>
      </c>
      <c r="E30" t="str">
        <f>CONCATENATE(610633,",",ROW(BCKQHDR_06610!E30),"|",COLUMN(BCKQHDR_06610!E30),",0",",0")</f>
        <v>610633,30|5,0,0</v>
      </c>
    </row>
    <row r="31" spans="1:5" x14ac:dyDescent="0.25">
      <c r="A31" t="str">
        <f>CONCATENATE(610550,",",ROW(BCKQHDR_06610!A31),"|",COLUMN(BCKQHDR_06610!A31),",0",",0")</f>
        <v>610550,31|1,0,0</v>
      </c>
      <c r="B31" t="str">
        <f>CONCATENATE(610646,",",ROW(BCKQHDR_06610!B31),"|",COLUMN(BCKQHDR_06610!B31),",0",",0")</f>
        <v>610646,31|2,0,0</v>
      </c>
      <c r="C31" t="str">
        <f>CONCATENATE(610732,",",ROW(BCKQHDR_06610!C31),"|",COLUMN(BCKQHDR_06610!C31),",0",",0")</f>
        <v>610732,31|3,0,0</v>
      </c>
      <c r="D31" t="str">
        <f>CONCATENATE(610557,",",ROW(BCKQHDR_06610!D31),"|",COLUMN(BCKQHDR_06610!D31),",0",",0")</f>
        <v>610557,31|4,0,0</v>
      </c>
      <c r="E31" t="str">
        <f>CONCATENATE(610636,",",ROW(BCKQHDR_06610!E31),"|",COLUMN(BCKQHDR_06610!E31),",0",",0")</f>
        <v>610636,31|5,0,0</v>
      </c>
    </row>
    <row r="32" spans="1:5" x14ac:dyDescent="0.25">
      <c r="A32" t="str">
        <f>CONCATENATE(610678,",",ROW(BCKQHDR_06610!A32),"|",COLUMN(BCKQHDR_06610!A32),",0",",0")</f>
        <v>610678,32|1,0,0</v>
      </c>
      <c r="B32" t="str">
        <f>CONCATENATE(610541,",",ROW(BCKQHDR_06610!B32),"|",COLUMN(BCKQHDR_06610!B32),",0",",0")</f>
        <v>610541,32|2,0,0</v>
      </c>
      <c r="C32" t="str">
        <f>CONCATENATE(610733,",",ROW(BCKQHDR_06610!C32),"|",COLUMN(BCKQHDR_06610!C32),",0",",0")</f>
        <v>610733,32|3,0,0</v>
      </c>
      <c r="D32" t="str">
        <f>CONCATENATE(610558,",",ROW(BCKQHDR_06610!D32),"|",COLUMN(BCKQHDR_06610!D32),",0",",0")</f>
        <v>610558,32|4,0,0</v>
      </c>
      <c r="E32" t="str">
        <f>CONCATENATE(610637,",",ROW(BCKQHDR_06610!E32),"|",COLUMN(BCKQHDR_06610!E32),",0",",0")</f>
        <v>610637,32|5,0,0</v>
      </c>
    </row>
    <row r="33" spans="1:5" x14ac:dyDescent="0.25">
      <c r="A33" t="str">
        <f>CONCATENATE(610638,",",ROW(BCKQHDR_06610!A33),"|",COLUMN(BCKQHDR_06610!A33),",0",",0")</f>
        <v>610638,33|1,0,0</v>
      </c>
      <c r="B33" t="str">
        <f>CONCATENATE(610417,",",ROW(BCKQHDR_06610!B33),"|",COLUMN(BCKQHDR_06610!B33),",0",",0")</f>
        <v>610417,33|2,0,0</v>
      </c>
      <c r="C33" t="str">
        <f>CONCATENATE(610734,",",ROW(BCKQHDR_06610!C33),"|",COLUMN(BCKQHDR_06610!C33),",0",",0")</f>
        <v>610734,33|3,0,0</v>
      </c>
      <c r="D33" t="str">
        <f>CONCATENATE(610559,",",ROW(BCKQHDR_06610!D33),"|",COLUMN(BCKQHDR_06610!D33),",0",",0")</f>
        <v>610559,33|4,0,0</v>
      </c>
      <c r="E33" t="str">
        <f>CONCATENATE(610437,",",ROW(BCKQHDR_06610!E33),"|",COLUMN(BCKQHDR_06610!E33),",0",",0")</f>
        <v>610437,33|5,0,0</v>
      </c>
    </row>
    <row r="34" spans="1:5" x14ac:dyDescent="0.25">
      <c r="A34" t="str">
        <f>CONCATENATE(610660,",",ROW(BCKQHDR_06610!A34),"|",COLUMN(BCKQHDR_06610!A34),",0",",0")</f>
        <v>610660,34|1,0,0</v>
      </c>
      <c r="B34" t="str">
        <f>CONCATENATE(610563,",",ROW(BCKQHDR_06610!B34),"|",COLUMN(BCKQHDR_06610!B34),",0",",0")</f>
        <v>610563,34|2,0,0</v>
      </c>
      <c r="C34" t="str">
        <f>CONCATENATE(610736,",",ROW(BCKQHDR_06610!C34),"|",COLUMN(BCKQHDR_06610!C34),",0",",0")</f>
        <v>610736,34|3,0,0</v>
      </c>
      <c r="D34" t="str">
        <f>CONCATENATE(610560,",",ROW(BCKQHDR_06610!D34),"|",COLUMN(BCKQHDR_06610!D34),",0",",0")</f>
        <v>610560,34|4,0,0</v>
      </c>
      <c r="E34" t="str">
        <f>CONCATENATE(610438,",",ROW(BCKQHDR_06610!E34),"|",COLUMN(BCKQHDR_06610!E34),",0",",0")</f>
        <v>610438,34|5,0,0</v>
      </c>
    </row>
    <row r="35" spans="1:5" x14ac:dyDescent="0.25">
      <c r="A35" t="str">
        <f>CONCATENATE(610425,",",ROW(BCKQHDR_06610!A35),"|",COLUMN(BCKQHDR_06610!A35),",0",",0")</f>
        <v>610425,35|1,0,0</v>
      </c>
      <c r="B35" t="str">
        <f>CONCATENATE(610509,",",ROW(BCKQHDR_06610!B35),"|",COLUMN(BCKQHDR_06610!B35),",0",",0")</f>
        <v>610509,35|2,0,0</v>
      </c>
      <c r="C35" t="str">
        <f>CONCATENATE(610576,",",ROW(BCKQHDR_06610!C35),"|",COLUMN(BCKQHDR_06610!C35),",0",",0")</f>
        <v>610576,35|3,0,0</v>
      </c>
      <c r="D35" t="str">
        <f>CONCATENATE(610561,",",ROW(BCKQHDR_06610!D35),"|",COLUMN(BCKQHDR_06610!D35),",0",",0")</f>
        <v>610561,35|4,0,0</v>
      </c>
      <c r="E35" t="str">
        <f>CONCATENATE(610439,",",ROW(BCKQHDR_06610!E35),"|",COLUMN(BCKQHDR_06610!E35),",0",",0")</f>
        <v>610439,35|5,0,0</v>
      </c>
    </row>
    <row r="36" spans="1:5" x14ac:dyDescent="0.25">
      <c r="A36" t="str">
        <f>CONCATENATE(610426,",",ROW(BCKQHDR_06610!A36),"|",COLUMN(BCKQHDR_06610!A36),",0",",0")</f>
        <v>610426,36|1,0,0</v>
      </c>
      <c r="B36" t="str">
        <f>CONCATENATE(610418,",",ROW(BCKQHDR_06610!B36),"|",COLUMN(BCKQHDR_06610!B36),",0",",0")</f>
        <v>610418,36|2,0,0</v>
      </c>
      <c r="C36" t="str">
        <f>CONCATENATE(610577,",",ROW(BCKQHDR_06610!C36),"|",COLUMN(BCKQHDR_06610!C36),",0",",0")</f>
        <v>610577,36|3,0,0</v>
      </c>
      <c r="D36" t="str">
        <f>CONCATENATE(610562,",",ROW(BCKQHDR_06610!D36),"|",COLUMN(BCKQHDR_06610!D36),",0",",0")</f>
        <v>610562,36|4,0,0</v>
      </c>
      <c r="E36" t="str">
        <f>CONCATENATE(610440,",",ROW(BCKQHDR_06610!E36),"|",COLUMN(BCKQHDR_06610!E36),",0",",0")</f>
        <v>610440,36|5,0,0</v>
      </c>
    </row>
    <row r="37" spans="1:5" x14ac:dyDescent="0.25">
      <c r="A37" t="str">
        <f>CONCATENATE(610530,",",ROW(BCKQHDR_06610!A37),"|",COLUMN(BCKQHDR_06610!A37),",0",",0")</f>
        <v>610530,37|1,0,0</v>
      </c>
      <c r="B37" t="str">
        <f>CONCATENATE(610419,",",ROW(BCKQHDR_06610!B37),"|",COLUMN(BCKQHDR_06610!B37),",0",",0")</f>
        <v>610419,37|2,0,0</v>
      </c>
      <c r="C37" t="str">
        <f>CONCATENATE(610585,",",ROW(BCKQHDR_06610!C37),"|",COLUMN(BCKQHDR_06610!C37),",0",",0")</f>
        <v>610585,37|3,0,0</v>
      </c>
      <c r="D37" t="str">
        <f>CONCATENATE(610564,",",ROW(BCKQHDR_06610!D37),"|",COLUMN(BCKQHDR_06610!D37),",0",",0")</f>
        <v>610564,37|4,0,0</v>
      </c>
      <c r="E37" t="str">
        <f>CONCATENATE(610441,",",ROW(BCKQHDR_06610!E37),"|",COLUMN(BCKQHDR_06610!E37),",0",",0")</f>
        <v>610441,37|5,0,0</v>
      </c>
    </row>
    <row r="38" spans="1:5" x14ac:dyDescent="0.25">
      <c r="A38" t="str">
        <f>CONCATENATE(610716,",",ROW(BCKQHDR_06610!A38),"|",COLUMN(BCKQHDR_06610!A38),",0",",0")</f>
        <v>610716,38|1,0,0</v>
      </c>
      <c r="B38" t="str">
        <f>CONCATENATE(610511,",",ROW(BCKQHDR_06610!B38),"|",COLUMN(BCKQHDR_06610!B38),",0",",0")</f>
        <v>610511,38|2,0,0</v>
      </c>
      <c r="C38" t="str">
        <f>CONCATENATE(610586,",",ROW(BCKQHDR_06610!C38),"|",COLUMN(BCKQHDR_06610!C38),",0",",0")</f>
        <v>610586,38|3,0,0</v>
      </c>
      <c r="D38" t="str">
        <f>CONCATENATE(610565,",",ROW(BCKQHDR_06610!D38),"|",COLUMN(BCKQHDR_06610!D38),",0",",0")</f>
        <v>610565,38|4,0,0</v>
      </c>
      <c r="E38" t="str">
        <f>CONCATENATE(610442,",",ROW(BCKQHDR_06610!E38),"|",COLUMN(BCKQHDR_06610!E38),",0",",0")</f>
        <v>610442,38|5,0,0</v>
      </c>
    </row>
    <row r="39" spans="1:5" x14ac:dyDescent="0.25">
      <c r="A39" t="str">
        <f>CONCATENATE(610679,",",ROW(BCKQHDR_06610!A39),"|",COLUMN(BCKQHDR_06610!A39),",0",",0")</f>
        <v>610679,39|1,0,0</v>
      </c>
      <c r="B39" t="s">
        <v>5</v>
      </c>
      <c r="C39" t="str">
        <f>CONCATENATE(610587,",",ROW(BCKQHDR_06610!C39),"|",COLUMN(BCKQHDR_06610!C39),",0",",0")</f>
        <v>610587,39|3,0,0</v>
      </c>
      <c r="D39" t="str">
        <f>CONCATENATE(610566,",",ROW(BCKQHDR_06610!D39),"|",COLUMN(BCKQHDR_06610!D39),",0",",0")</f>
        <v>610566,39|4,0,0</v>
      </c>
      <c r="E39" t="str">
        <f>CONCATENATE(610443,",",ROW(BCKQHDR_06610!E39),"|",COLUMN(BCKQHDR_06610!E39),",0",",0")</f>
        <v>610443,39|5,0,0</v>
      </c>
    </row>
    <row r="40" spans="1:5" x14ac:dyDescent="0.25">
      <c r="A40" t="str">
        <f>CONCATENATE(610717,",",ROW(BCKQHDR_06610!A40),"|",COLUMN(BCKQHDR_06610!A40),",0",",0")</f>
        <v>610717,40|1,0,0</v>
      </c>
      <c r="B40" t="str">
        <f>CONCATENATE(610393,",",ROW(BCKQHDR_06610!B40),"|",COLUMN(BCKQHDR_06610!B40),",0",",0")</f>
        <v>610393,40|2,0,0</v>
      </c>
      <c r="C40" t="str">
        <f>CONCATENATE(610588,",",ROW(BCKQHDR_06610!C40),"|",COLUMN(BCKQHDR_06610!C40),",0",",0")</f>
        <v>610588,40|3,0,0</v>
      </c>
      <c r="D40" t="str">
        <f>CONCATENATE(610567,",",ROW(BCKQHDR_06610!D40),"|",COLUMN(BCKQHDR_06610!D40),",0",",0")</f>
        <v>610567,40|4,0,0</v>
      </c>
      <c r="E40" t="str">
        <f>CONCATENATE(610444,",",ROW(BCKQHDR_06610!E40),"|",COLUMN(BCKQHDR_06610!E40),",0",",0")</f>
        <v>610444,40|5,0,0</v>
      </c>
    </row>
    <row r="41" spans="1:5" x14ac:dyDescent="0.25">
      <c r="A41" t="str">
        <f>CONCATENATE(610718,",",ROW(BCKQHDR_06610!A41),"|",COLUMN(BCKQHDR_06610!A41),",0",",0")</f>
        <v>610718,41|1,0,0</v>
      </c>
      <c r="B41" t="str">
        <f>CONCATENATE(610647,",",ROW(BCKQHDR_06610!B41),"|",COLUMN(BCKQHDR_06610!B41),",0",",0")</f>
        <v>610647,41|2,0,0</v>
      </c>
      <c r="C41" t="str">
        <f>CONCATENATE(610590,",",ROW(BCKQHDR_06610!C41),"|",COLUMN(BCKQHDR_06610!C41),",0",",0")</f>
        <v>610590,41|3,0,0</v>
      </c>
      <c r="D41" t="str">
        <f>CONCATENATE(610568,",",ROW(BCKQHDR_06610!D41),"|",COLUMN(BCKQHDR_06610!D41),",0",",0")</f>
        <v>610568,41|4,0,0</v>
      </c>
      <c r="E41" t="str">
        <f>CONCATENATE(610445,",",ROW(BCKQHDR_06610!E41),"|",COLUMN(BCKQHDR_06610!E41),",0",",0")</f>
        <v>610445,41|5,0,0</v>
      </c>
    </row>
    <row r="42" spans="1:5" x14ac:dyDescent="0.25">
      <c r="A42" t="str">
        <f>CONCATENATE(610680,",",ROW(BCKQHDR_06610!A42),"|",COLUMN(BCKQHDR_06610!A42),",0",",0")</f>
        <v>610680,42|1,0,0</v>
      </c>
      <c r="B42" t="str">
        <f>CONCATENATE(610689,",",ROW(BCKQHDR_06610!B42),"|",COLUMN(BCKQHDR_06610!B42),",0",",0")</f>
        <v>610689,42|2,0,0</v>
      </c>
      <c r="C42" t="str">
        <f>CONCATENATE(610591,",",ROW(BCKQHDR_06610!C42),"|",COLUMN(BCKQHDR_06610!C42),",0",",0")</f>
        <v>610591,42|3,0,0</v>
      </c>
      <c r="D42" t="str">
        <f>CONCATENATE(610569,",",ROW(BCKQHDR_06610!D42),"|",COLUMN(BCKQHDR_06610!D42),",0",",0")</f>
        <v>610569,42|4,0,0</v>
      </c>
      <c r="E42" t="str">
        <f>CONCATENATE(610446,",",ROW(BCKQHDR_06610!E42),"|",COLUMN(BCKQHDR_06610!E42),",0",",0")</f>
        <v>610446,42|5,0,0</v>
      </c>
    </row>
    <row r="43" spans="1:5" x14ac:dyDescent="0.25">
      <c r="A43" t="str">
        <f>CONCATENATE(610692,",",ROW(BCKQHDR_06610!A43),"|",COLUMN(BCKQHDR_06610!A43),",0",",0")</f>
        <v>610692,43|1,0,0</v>
      </c>
      <c r="B43" t="str">
        <f>CONCATENATE(610542,",",ROW(BCKQHDR_06610!B43),"|",COLUMN(BCKQHDR_06610!B43),",0",",0")</f>
        <v>610542,43|2,0,0</v>
      </c>
      <c r="C43" t="str">
        <f>CONCATENATE(610592,",",ROW(BCKQHDR_06610!C43),"|",COLUMN(BCKQHDR_06610!C43),",0",",0")</f>
        <v>610592,43|3,0,0</v>
      </c>
      <c r="D43" t="str">
        <f>CONCATENATE(610570,",",ROW(BCKQHDR_06610!D43),"|",COLUMN(BCKQHDR_06610!D43),",0",",0")</f>
        <v>610570,43|4,0,0</v>
      </c>
      <c r="E43" t="str">
        <f>CONCATENATE(610447,",",ROW(BCKQHDR_06610!E43),"|",COLUMN(BCKQHDR_06610!E43),",0",",0")</f>
        <v>610447,43|5,0,0</v>
      </c>
    </row>
    <row r="44" spans="1:5" x14ac:dyDescent="0.25">
      <c r="A44" t="str">
        <f>CONCATENATE(610719,",",ROW(BCKQHDR_06610!A44),"|",COLUMN(BCKQHDR_06610!A44),",0",",0")</f>
        <v>610719,44|1,0,0</v>
      </c>
      <c r="B44" t="str">
        <f>CONCATENATE(610394,",",ROW(BCKQHDR_06610!B44),"|",COLUMN(BCKQHDR_06610!B44),",0",",0")</f>
        <v>610394,44|2,0,0</v>
      </c>
      <c r="C44" t="str">
        <f>CONCATENATE(610593,",",ROW(BCKQHDR_06610!C44),"|",COLUMN(BCKQHDR_06610!C44),",0",",0")</f>
        <v>610593,44|3,0,0</v>
      </c>
      <c r="D44" t="str">
        <f>CONCATENATE(610571,",",ROW(BCKQHDR_06610!D44),"|",COLUMN(BCKQHDR_06610!D44),",0",",0")</f>
        <v>610571,44|4,0,0</v>
      </c>
      <c r="E44" t="str">
        <f>CONCATENATE(610608,",",ROW(BCKQHDR_06610!E44),"|",COLUMN(BCKQHDR_06610!E44),",0",",0")</f>
        <v>610608,44|5,0,0</v>
      </c>
    </row>
    <row r="45" spans="1:5" x14ac:dyDescent="0.25">
      <c r="A45" t="str">
        <f>CONCATENATE(610693,",",ROW(BCKQHDR_06610!A45),"|",COLUMN(BCKQHDR_06610!A45),",0",",0")</f>
        <v>610693,45|1,0,0</v>
      </c>
      <c r="B45" t="s">
        <v>5</v>
      </c>
      <c r="C45" t="str">
        <f>CONCATENATE(610594,",",ROW(BCKQHDR_06610!C45),"|",COLUMN(BCKQHDR_06610!C45),",0",",0")</f>
        <v>610594,45|3,0,0</v>
      </c>
      <c r="D45" t="str">
        <f>CONCATENATE(610572,",",ROW(BCKQHDR_06610!D45),"|",COLUMN(BCKQHDR_06610!D45),",0",",0")</f>
        <v>610572,45|4,0,0</v>
      </c>
      <c r="E45" t="str">
        <f>CONCATENATE(610609,",",ROW(BCKQHDR_06610!E45),"|",COLUMN(BCKQHDR_06610!E45),",0",",0")</f>
        <v>610609,45|5,0,0</v>
      </c>
    </row>
    <row r="46" spans="1:5" x14ac:dyDescent="0.25">
      <c r="A46" t="str">
        <f>CONCATENATE(610448,",",ROW(BCKQHDR_06610!A46),"|",COLUMN(BCKQHDR_06610!A46),",0",",0")</f>
        <v>610448,46|1,0,0</v>
      </c>
      <c r="B46" t="str">
        <f>CONCATENATE(610543,",",ROW(BCKQHDR_06610!B46),"|",COLUMN(BCKQHDR_06610!B46),",0",",0")</f>
        <v>610543,46|2,0,0</v>
      </c>
      <c r="C46" t="str">
        <f>CONCATENATE(610595,",",ROW(BCKQHDR_06610!C46),"|",COLUMN(BCKQHDR_06610!C46),",0",",0")</f>
        <v>610595,46|3,0,0</v>
      </c>
      <c r="D46" t="str">
        <f>CONCATENATE(610573,",",ROW(BCKQHDR_06610!D46),"|",COLUMN(BCKQHDR_06610!D46),",0",",0")</f>
        <v>610573,46|4,0,0</v>
      </c>
      <c r="E46" t="str">
        <f>CONCATENATE(610610,",",ROW(BCKQHDR_06610!E46),"|",COLUMN(BCKQHDR_06610!E46),",0",",0")</f>
        <v>610610,46|5,0,0</v>
      </c>
    </row>
    <row r="47" spans="1:5" x14ac:dyDescent="0.25">
      <c r="A47" t="str">
        <f>CONCATENATE(610449,",",ROW(BCKQHDR_06610!A47),"|",COLUMN(BCKQHDR_06610!A47),",0",",0")</f>
        <v>610449,47|1,0,0</v>
      </c>
      <c r="B47" t="str">
        <f>CONCATENATE(610395,",",ROW(BCKQHDR_06610!B47),"|",COLUMN(BCKQHDR_06610!B47),",0",",0")</f>
        <v>610395,47|2,0,0</v>
      </c>
      <c r="C47" t="str">
        <f>CONCATENATE(610596,",",ROW(BCKQHDR_06610!C47),"|",COLUMN(BCKQHDR_06610!C47),",0",",0")</f>
        <v>610596,47|3,0,0</v>
      </c>
      <c r="D47" t="str">
        <f>CONCATENATE(610574,",",ROW(BCKQHDR_06610!D47),"|",COLUMN(BCKQHDR_06610!D47),",0",",0")</f>
        <v>610574,47|4,0,0</v>
      </c>
      <c r="E47" t="str">
        <f>CONCATENATE(610611,",",ROW(BCKQHDR_06610!E47),"|",COLUMN(BCKQHDR_06610!E47),",0",",0")</f>
        <v>610611,47|5,0,0</v>
      </c>
    </row>
    <row r="48" spans="1:5" x14ac:dyDescent="0.25">
      <c r="A48" t="str">
        <f>CONCATENATE(610639,",",ROW(BCKQHDR_06610!A48),"|",COLUMN(BCKQHDR_06610!A48),",0",",0")</f>
        <v>610639,48|1,0,0</v>
      </c>
      <c r="B48" t="str">
        <f>CONCATENATE(610396,",",ROW(BCKQHDR_06610!B48),"|",COLUMN(BCKQHDR_06610!B48),",0",",0")</f>
        <v>610396,48|2,0,0</v>
      </c>
      <c r="C48" t="str">
        <f>CONCATENATE(610589,",",ROW(BCKQHDR_06610!C48),"|",COLUMN(BCKQHDR_06610!C48),",0",",0")</f>
        <v>610589,48|3,0,0</v>
      </c>
      <c r="D48" t="str">
        <f>CONCATENATE(610613,",",ROW(BCKQHDR_06610!D48),"|",COLUMN(BCKQHDR_06610!D48),",0",",0")</f>
        <v>610613,48|4,0,0</v>
      </c>
      <c r="E48" t="str">
        <f>CONCATENATE(610598,",",ROW(BCKQHDR_06610!E48),"|",COLUMN(BCKQHDR_06610!E48),",0",",0")</f>
        <v>610598,48|5,0,0</v>
      </c>
    </row>
    <row r="49" spans="1:5" x14ac:dyDescent="0.25">
      <c r="A49" t="str">
        <f>CONCATENATE(610603,",",ROW(BCKQHDR_06610!A49),"|",COLUMN(BCKQHDR_06610!A49),",0",",0")</f>
        <v>610603,49|1,0,0</v>
      </c>
      <c r="B49" t="str">
        <f>CONCATENATE(610650,",",ROW(BCKQHDR_06610!B49),"|",COLUMN(BCKQHDR_06610!B49),",0",",0")</f>
        <v>610650,49|2,0,0</v>
      </c>
      <c r="C49" t="str">
        <f>CONCATENATE(610651,",",ROW(BCKQHDR_06610!C49),"|",COLUMN(BCKQHDR_06610!C49),",0",",0")</f>
        <v>610651,49|3,0,0</v>
      </c>
      <c r="D49" t="str">
        <f>CONCATENATE(610634,",",ROW(BCKQHDR_06610!D49),"|",COLUMN(BCKQHDR_06610!D49),",0",",0")</f>
        <v>610634,49|4,0,0</v>
      </c>
      <c r="E49" t="str">
        <f>CONCATENATE(610599,",",ROW(BCKQHDR_06610!E49),"|",COLUMN(BCKQHDR_06610!E49),",0",",0")</f>
        <v>610599,49|5,0,0</v>
      </c>
    </row>
    <row r="50" spans="1:5" x14ac:dyDescent="0.25">
      <c r="A50" t="str">
        <f>CONCATENATE(610450,",",ROW(BCKQHDR_06610!A50),"|",COLUMN(BCKQHDR_06610!A50),",0",",0")</f>
        <v>610450,50|1,0,0</v>
      </c>
      <c r="B50" t="str">
        <f>CONCATENATE(610648,",",ROW(BCKQHDR_06610!B50),"|",COLUMN(BCKQHDR_06610!B50),",0",",0")</f>
        <v>610648,50|2,0,0</v>
      </c>
      <c r="C50" t="str">
        <f>CONCATENATE(610652,",",ROW(BCKQHDR_06610!C50),"|",COLUMN(BCKQHDR_06610!C50),",0",",0")</f>
        <v>610652,50|3,0,0</v>
      </c>
      <c r="D50" t="str">
        <f>CONCATENATE(610614,",",ROW(BCKQHDR_06610!D50),"|",COLUMN(BCKQHDR_06610!D50),",0",",0")</f>
        <v>610614,50|4,0,0</v>
      </c>
      <c r="E50" t="str">
        <f>CONCATENATE(610600,",",ROW(BCKQHDR_06610!E50),"|",COLUMN(BCKQHDR_06610!E50),",0",",0")</f>
        <v>610600,50|5,0,0</v>
      </c>
    </row>
    <row r="51" spans="1:5" x14ac:dyDescent="0.25">
      <c r="A51" t="str">
        <f>CONCATENATE(610640,",",ROW(BCKQHDR_06610!A51),"|",COLUMN(BCKQHDR_06610!A51),",0",",0")</f>
        <v>610640,51|1,0,0</v>
      </c>
      <c r="B51" t="str">
        <f>CONCATENATE(610649,",",ROW(BCKQHDR_06610!B51),"|",COLUMN(BCKQHDR_06610!B51),",0",",0")</f>
        <v>610649,51|2,0,0</v>
      </c>
      <c r="C51" t="str">
        <f>CONCATENATE(610653,",",ROW(BCKQHDR_06610!C51),"|",COLUMN(BCKQHDR_06610!C51),",0",",0")</f>
        <v>610653,51|3,0,0</v>
      </c>
      <c r="D51" t="str">
        <f>CONCATENATE(610615,",",ROW(BCKQHDR_06610!D51),"|",COLUMN(BCKQHDR_06610!D51),",0",",0")</f>
        <v>610615,51|4,0,0</v>
      </c>
      <c r="E51" t="str">
        <f>CONCATENATE(610601,",",ROW(BCKQHDR_06610!E51),"|",COLUMN(BCKQHDR_06610!E51),",0",",0")</f>
        <v>610601,51|5,0,0</v>
      </c>
    </row>
    <row r="52" spans="1:5" x14ac:dyDescent="0.25">
      <c r="A52" t="str">
        <f>CONCATENATE(610451,",",ROW(BCKQHDR_06610!A52),"|",COLUMN(BCKQHDR_06610!A52),",0",",0")</f>
        <v>610451,52|1,0,0</v>
      </c>
      <c r="B52" t="str">
        <f>CONCATENATE(610420,",",ROW(BCKQHDR_06610!B52),"|",COLUMN(BCKQHDR_06610!B52),",0",",0")</f>
        <v>610420,52|2,0,0</v>
      </c>
      <c r="C52" t="str">
        <f>CONCATENATE(610654,",",ROW(BCKQHDR_06610!C52),"|",COLUMN(BCKQHDR_06610!C52),",0",",0")</f>
        <v>610654,52|3,0,0</v>
      </c>
      <c r="D52" t="str">
        <f>CONCATENATE(610616,",",ROW(BCKQHDR_06610!D52),"|",COLUMN(BCKQHDR_06610!D52),",0",",0")</f>
        <v>610616,52|4,0,0</v>
      </c>
      <c r="E52" t="str">
        <f>CONCATENATE(610547,",",ROW(BCKQHDR_06610!E52),"|",COLUMN(BCKQHDR_06610!E52),",0",",0")</f>
        <v>610547,52|5,0,0</v>
      </c>
    </row>
    <row r="53" spans="1:5" x14ac:dyDescent="0.25">
      <c r="A53" t="str">
        <f>CONCATENATE(610666,",",ROW(BCKQHDR_06610!A53),"|",COLUMN(BCKQHDR_06610!A53),",0",",0")</f>
        <v>610666,53|1,0,0</v>
      </c>
      <c r="B53" t="str">
        <f>CONCATENATE(610544,",",ROW(BCKQHDR_06610!B53),"|",COLUMN(BCKQHDR_06610!B53),",0",",0")</f>
        <v>610544,53|2,0,0</v>
      </c>
      <c r="C53" t="str">
        <f>CONCATENATE(610655,",",ROW(BCKQHDR_06610!C53),"|",COLUMN(BCKQHDR_06610!C53),",0",",0")</f>
        <v>610655,53|3,0,0</v>
      </c>
      <c r="D53" t="str">
        <f>CONCATENATE(610462,",",ROW(BCKQHDR_06610!D53),"|",COLUMN(BCKQHDR_06610!D53),",0",",0")</f>
        <v>610462,53|4,0,0</v>
      </c>
      <c r="E53" t="str">
        <f>CONCATENATE(610671,",",ROW(BCKQHDR_06610!E53),"|",COLUMN(BCKQHDR_06610!E53),",0",",0")</f>
        <v>610671,53|5,0,0</v>
      </c>
    </row>
    <row r="54" spans="1:5" x14ac:dyDescent="0.25">
      <c r="A54" t="str">
        <f>CONCATENATE(610465,",",ROW(BCKQHDR_06610!A54),"|",COLUMN(BCKQHDR_06610!A54),",0",",0")</f>
        <v>610465,54|1,0,0</v>
      </c>
      <c r="B54" t="str">
        <f>CONCATENATE(610578,",",ROW(BCKQHDR_06610!B54),"|",COLUMN(BCKQHDR_06610!B54),",0",",0")</f>
        <v>610578,54|2,0,0</v>
      </c>
      <c r="C54" t="str">
        <f>CONCATENATE(610656,",",ROW(BCKQHDR_06610!C54),"|",COLUMN(BCKQHDR_06610!C54),",0",",0")</f>
        <v>610656,54|3,0,0</v>
      </c>
      <c r="D54" t="str">
        <f>CONCATENATE(610463,",",ROW(BCKQHDR_06610!D54),"|",COLUMN(BCKQHDR_06610!D54),",0",",0")</f>
        <v>610463,54|4,0,0</v>
      </c>
      <c r="E54" t="str">
        <f>CONCATENATE(610672,",",ROW(BCKQHDR_06610!E54),"|",COLUMN(BCKQHDR_06610!E54),",0",",0")</f>
        <v>610672,54|5,0,0</v>
      </c>
    </row>
    <row r="55" spans="1:5" x14ac:dyDescent="0.25">
      <c r="A55" t="str">
        <f>CONCATENATE(610667,",",ROW(BCKQHDR_06610!A55),"|",COLUMN(BCKQHDR_06610!A55),",0",",0")</f>
        <v>610667,55|1,0,0</v>
      </c>
      <c r="B55" t="s">
        <v>5</v>
      </c>
      <c r="C55" t="str">
        <f>CONCATENATE(610657,",",ROW(BCKQHDR_06610!C55),"|",COLUMN(BCKQHDR_06610!C55),",0",",0")</f>
        <v>610657,55|3,0,0</v>
      </c>
      <c r="D55" t="str">
        <f>CONCATENATE(610464,",",ROW(BCKQHDR_06610!D55),"|",COLUMN(BCKQHDR_06610!D55),",0",",0")</f>
        <v>610464,55|4,0,0</v>
      </c>
      <c r="E55" t="str">
        <f>CONCATENATE(610673,",",ROW(BCKQHDR_06610!E55),"|",COLUMN(BCKQHDR_06610!E55),",0",",0")</f>
        <v>610673,55|5,0,0</v>
      </c>
    </row>
    <row r="56" spans="1:5" x14ac:dyDescent="0.25">
      <c r="A56" t="str">
        <f>CONCATENATE(610720,",",ROW(BCKQHDR_06610!A56),"|",COLUMN(BCKQHDR_06610!A56),",0",",0")</f>
        <v>610720,56|1,0,0</v>
      </c>
      <c r="B56" t="str">
        <f>CONCATENATE(610579,",",ROW(BCKQHDR_06610!B56),"|",COLUMN(BCKQHDR_06610!B56),",0",",0")</f>
        <v>610579,56|2,0,0</v>
      </c>
      <c r="C56" t="str">
        <f>CONCATENATE(610658,",",ROW(BCKQHDR_06610!C56),"|",COLUMN(BCKQHDR_06610!C56),",0",",0")</f>
        <v>610658,56|3,0,0</v>
      </c>
      <c r="D56" t="str">
        <f>CONCATENATE(610510,",",ROW(BCKQHDR_06610!D56),"|",COLUMN(BCKQHDR_06610!D56),",0",",0")</f>
        <v>610510,56|4,0,0</v>
      </c>
      <c r="E56" t="str">
        <f>CONCATENATE(610674,",",ROW(BCKQHDR_06610!E56),"|",COLUMN(BCKQHDR_06610!E56),",0",",0")</f>
        <v>610674,56|5,0,0</v>
      </c>
    </row>
    <row r="57" spans="1:5" x14ac:dyDescent="0.25">
      <c r="A57" t="str">
        <f>CONCATENATE(610668,",",ROW(BCKQHDR_06610!A57),"|",COLUMN(BCKQHDR_06610!A57),",0",",0")</f>
        <v>610668,57|1,0,0</v>
      </c>
      <c r="B57" t="str">
        <f>CONCATENATE(610397,",",ROW(BCKQHDR_06610!B57),"|",COLUMN(BCKQHDR_06610!B57),",0",",0")</f>
        <v>610397,57|2,0,0</v>
      </c>
      <c r="C57" t="str">
        <f>CONCATENATE(610659,",",ROW(BCKQHDR_06610!C57),"|",COLUMN(BCKQHDR_06610!C57),",0",",0")</f>
        <v>610659,57|3,0,0</v>
      </c>
      <c r="D57" t="str">
        <f>CONCATENATE(610466,",",ROW(BCKQHDR_06610!D57),"|",COLUMN(BCKQHDR_06610!D57),",0",",0")</f>
        <v>610466,57|4,0,0</v>
      </c>
      <c r="E57" t="str">
        <f>CONCATENATE(610604,",",ROW(BCKQHDR_06610!E57),"|",COLUMN(BCKQHDR_06610!E57),",0",",0")</f>
        <v>610604,57|5,0,0</v>
      </c>
    </row>
    <row r="58" spans="1:5" x14ac:dyDescent="0.25">
      <c r="A58" t="str">
        <f>CONCATENATE(610512,",",ROW(BCKQHDR_06610!A58),"|",COLUMN(BCKQHDR_06610!A58),",0",",0")</f>
        <v>610512,58|1,0,0</v>
      </c>
      <c r="B58" t="str">
        <f>CONCATENATE(610398,",",ROW(BCKQHDR_06610!B58),"|",COLUMN(BCKQHDR_06610!B58),",0",",0")</f>
        <v>610398,58|2,0,0</v>
      </c>
      <c r="C58" t="str">
        <f>CONCATENATE(610602,",",ROW(BCKQHDR_06610!C58),"|",COLUMN(BCKQHDR_06610!C58),",0",",0")</f>
        <v>610602,58|3,0,0</v>
      </c>
      <c r="D58" t="str">
        <f>CONCATENATE(610467,",",ROW(BCKQHDR_06610!D58),"|",COLUMN(BCKQHDR_06610!D58),",0",",0")</f>
        <v>610467,58|4,0,0</v>
      </c>
      <c r="E58" t="str">
        <f>CONCATENATE(610605,",",ROW(BCKQHDR_06610!E58),"|",COLUMN(BCKQHDR_06610!E58),",0",",0")</f>
        <v>610605,58|5,0,0</v>
      </c>
    </row>
    <row r="59" spans="1:5" x14ac:dyDescent="0.25">
      <c r="A59" t="str">
        <f>CONCATENATE(610504,",",ROW(BCKQHDR_06610!A59),"|",COLUMN(BCKQHDR_06610!A59),",0",",0")</f>
        <v>610504,59|1,0,0</v>
      </c>
      <c r="B59" t="str">
        <f>CONCATENATE(610399,",",ROW(BCKQHDR_06610!B59),"|",COLUMN(BCKQHDR_06610!B59),",0",",0")</f>
        <v>610399,59|2,0,0</v>
      </c>
      <c r="C59" t="str">
        <f>CONCATENATE(610694,",",ROW(BCKQHDR_06610!C59),"|",COLUMN(BCKQHDR_06610!C59),",0",",0")</f>
        <v>610694,59|3,0,0</v>
      </c>
      <c r="D59" t="str">
        <f>CONCATENATE(610468,",",ROW(BCKQHDR_06610!D59),"|",COLUMN(BCKQHDR_06610!D59),",0",",0")</f>
        <v>610468,59|4,0,0</v>
      </c>
      <c r="E59" t="str">
        <f>CONCATENATE(610513,",",ROW(BCKQHDR_06610!E59),"|",COLUMN(BCKQHDR_06610!E59),",0",",0")</f>
        <v>610513,59|5,0,0</v>
      </c>
    </row>
    <row r="60" spans="1:5" x14ac:dyDescent="0.25">
      <c r="A60" t="str">
        <f>CONCATENATE(610505,",",ROW(BCKQHDR_06610!A60),"|",COLUMN(BCKQHDR_06610!A60),",0",",0")</f>
        <v>610505,60|1,0,0</v>
      </c>
      <c r="B60" t="str">
        <f>CONCATENATE(610421,",",ROW(BCKQHDR_06610!B60),"|",COLUMN(BCKQHDR_06610!B60),",0",",0")</f>
        <v>610421,60|2,0,0</v>
      </c>
      <c r="C60" t="str">
        <f>CONCATENATE(610695,",",ROW(BCKQHDR_06610!C60),"|",COLUMN(BCKQHDR_06610!C60),",0",",0")</f>
        <v>610695,60|3,0,0</v>
      </c>
      <c r="D60" t="str">
        <f>CONCATENATE(610469,",",ROW(BCKQHDR_06610!D60),"|",COLUMN(BCKQHDR_06610!D60),",0",",0")</f>
        <v>610469,60|4,0,0</v>
      </c>
      <c r="E60" t="str">
        <f>CONCATENATE(610514,",",ROW(BCKQHDR_06610!E60),"|",COLUMN(BCKQHDR_06610!E60),",0",",0")</f>
        <v>610514,60|5,0,0</v>
      </c>
    </row>
    <row r="61" spans="1:5" x14ac:dyDescent="0.25">
      <c r="A61" t="str">
        <f>CONCATENATE(610641,",",ROW(BCKQHDR_06610!A61),"|",COLUMN(BCKQHDR_06610!A61),",0",",0")</f>
        <v>610641,61|1,0,0</v>
      </c>
      <c r="B61" t="str">
        <f>CONCATENATE(610635,",",ROW(BCKQHDR_06610!B61),"|",COLUMN(BCKQHDR_06610!B61),",0",",0")</f>
        <v>610635,61|2,0,0</v>
      </c>
      <c r="C61" t="str">
        <f>CONCATENATE(610701,",",ROW(BCKQHDR_06610!C61),"|",COLUMN(BCKQHDR_06610!C61),",0",",0")</f>
        <v>610701,61|3,0,0</v>
      </c>
      <c r="D61" t="str">
        <f>CONCATENATE(610470,",",ROW(BCKQHDR_06610!D61),"|",COLUMN(BCKQHDR_06610!D61),",0",",0")</f>
        <v>610470,61|4,0,0</v>
      </c>
      <c r="E61" t="str">
        <f>CONCATENATE(610515,",",ROW(BCKQHDR_06610!E61),"|",COLUMN(BCKQHDR_06610!E61),",0",",0")</f>
        <v>610515,61|5,0,0</v>
      </c>
    </row>
    <row r="62" spans="1:5" x14ac:dyDescent="0.25">
      <c r="A62" t="str">
        <f>CONCATENATE(610506,",",ROW(BCKQHDR_06610!A62),"|",COLUMN(BCKQHDR_06610!A62),",0",",0")</f>
        <v>610506,62|1,0,0</v>
      </c>
      <c r="B62" t="str">
        <f>CONCATENATE(610545,",",ROW(BCKQHDR_06610!B62),"|",COLUMN(BCKQHDR_06610!B62),",0",",0")</f>
        <v>610545,62|2,0,0</v>
      </c>
      <c r="C62" t="str">
        <f>CONCATENATE(610702,",",ROW(BCKQHDR_06610!C62),"|",COLUMN(BCKQHDR_06610!C62),",0",",0")</f>
        <v>610702,62|3,0,0</v>
      </c>
      <c r="D62" t="str">
        <f>CONCATENATE(610471,",",ROW(BCKQHDR_06610!D62),"|",COLUMN(BCKQHDR_06610!D62),",0",",0")</f>
        <v>610471,62|4,0,0</v>
      </c>
      <c r="E62" t="str">
        <f>CONCATENATE(610516,",",ROW(BCKQHDR_06610!E62),"|",COLUMN(BCKQHDR_06610!E62),",0",",0")</f>
        <v>610516,62|5,0,0</v>
      </c>
    </row>
    <row r="63" spans="1:5" x14ac:dyDescent="0.25">
      <c r="A63" t="str">
        <f>CONCATENATE(610452,",",ROW(BCKQHDR_06610!A63),"|",COLUMN(BCKQHDR_06610!A63),",0",",0")</f>
        <v>610452,63|1,0,0</v>
      </c>
      <c r="B63" t="str">
        <f>CONCATENATE(610422,",",ROW(BCKQHDR_06610!B63),"|",COLUMN(BCKQHDR_06610!B63),",0",",0")</f>
        <v>610422,63|2,0,0</v>
      </c>
      <c r="C63" t="str">
        <f>CONCATENATE(610703,",",ROW(BCKQHDR_06610!C63),"|",COLUMN(BCKQHDR_06610!C63),",0",",0")</f>
        <v>610703,63|3,0,0</v>
      </c>
      <c r="D63" t="str">
        <f>CONCATENATE(610472,",",ROW(BCKQHDR_06610!D63),"|",COLUMN(BCKQHDR_06610!D63),",0",",0")</f>
        <v>610472,63|4,0,0</v>
      </c>
      <c r="E63" t="str">
        <f>CONCATENATE(610661,",",ROW(BCKQHDR_06610!E63),"|",COLUMN(BCKQHDR_06610!E63),",0",",0")</f>
        <v>610661,63|5,0,0</v>
      </c>
    </row>
    <row r="64" spans="1:5" x14ac:dyDescent="0.25">
      <c r="A64" t="str">
        <f>CONCATENATE(610669,",",ROW(BCKQHDR_06610!A64),"|",COLUMN(BCKQHDR_06610!A64),",0",",0")</f>
        <v>610669,64|1,0,0</v>
      </c>
      <c r="B64" t="str">
        <f>CONCATENATE(610580,",",ROW(BCKQHDR_06610!B64),"|",COLUMN(BCKQHDR_06610!B64),",0",",0")</f>
        <v>610580,64|2,0,0</v>
      </c>
      <c r="C64" t="str">
        <f>CONCATENATE(610704,",",ROW(BCKQHDR_06610!C64),"|",COLUMN(BCKQHDR_06610!C64),",0",",0")</f>
        <v>610704,64|3,0,0</v>
      </c>
      <c r="D64" t="str">
        <f>CONCATENATE(610473,",",ROW(BCKQHDR_06610!D64),"|",COLUMN(BCKQHDR_06610!D64),",0",",0")</f>
        <v>610473,64|4,0,0</v>
      </c>
      <c r="E64" t="str">
        <f>CONCATENATE(610662,",",ROW(BCKQHDR_06610!E64),"|",COLUMN(BCKQHDR_06610!E64),",0",",0")</f>
        <v>610662,64|5,0,0</v>
      </c>
    </row>
    <row r="65" spans="1:5" x14ac:dyDescent="0.25">
      <c r="A65" t="str">
        <f>CONCATENATE(610696,",",ROW(BCKQHDR_06610!A65),"|",COLUMN(BCKQHDR_06610!A65),",0",",0")</f>
        <v>610696,65|1,0,0</v>
      </c>
      <c r="B65" t="str">
        <f>CONCATENATE(610546,",",ROW(BCKQHDR_06610!B65),"|",COLUMN(BCKQHDR_06610!B65),",0",",0")</f>
        <v>610546,65|2,0,0</v>
      </c>
      <c r="C65" t="str">
        <f>CONCATENATE(610705,",",ROW(BCKQHDR_06610!C65),"|",COLUMN(BCKQHDR_06610!C65),",0",",0")</f>
        <v>610705,65|3,0,0</v>
      </c>
      <c r="D65" t="str">
        <f>CONCATENATE(610474,",",ROW(BCKQHDR_06610!D65),"|",COLUMN(BCKQHDR_06610!D65),",0",",0")</f>
        <v>610474,65|4,0,0</v>
      </c>
      <c r="E65" t="str">
        <f>CONCATENATE(610663,",",ROW(BCKQHDR_06610!E65),"|",COLUMN(BCKQHDR_06610!E65),",0",",0")</f>
        <v>610663,65|5,0,0</v>
      </c>
    </row>
    <row r="66" spans="1:5" x14ac:dyDescent="0.25">
      <c r="A66" t="str">
        <f>CONCATENATE(610453,",",ROW(BCKQHDR_06610!A66),"|",COLUMN(BCKQHDR_06610!A66),",0",",0")</f>
        <v>610453,66|1,0,0</v>
      </c>
      <c r="B66" t="str">
        <f>CONCATENATE(610400,",",ROW(BCKQHDR_06610!B66),"|",COLUMN(BCKQHDR_06610!B66),",0",",0")</f>
        <v>610400,66|2,0,0</v>
      </c>
      <c r="C66" t="str">
        <f>CONCATENATE(610706,",",ROW(BCKQHDR_06610!C66),"|",COLUMN(BCKQHDR_06610!C66),",0",",0")</f>
        <v>610706,66|3,0,0</v>
      </c>
      <c r="D66" t="str">
        <f>CONCATENATE(610475,",",ROW(BCKQHDR_06610!D66),"|",COLUMN(BCKQHDR_06610!D66),",0",",0")</f>
        <v>610475,66|4,0,0</v>
      </c>
      <c r="E66" t="str">
        <f>CONCATENATE(610664,",",ROW(BCKQHDR_06610!E66),"|",COLUMN(BCKQHDR_06610!E66),",0",",0")</f>
        <v>610664,66|5,0,0</v>
      </c>
    </row>
    <row r="67" spans="1:5" x14ac:dyDescent="0.25">
      <c r="A67" t="str">
        <f>CONCATENATE(610697,",",ROW(BCKQHDR_06610!A67),"|",COLUMN(BCKQHDR_06610!A67),",0",",0")</f>
        <v>610697,67|1,0,0</v>
      </c>
      <c r="B67" t="str">
        <f>CONCATENATE(610391,",",ROW(BCKQHDR_06610!B67),"|",COLUMN(BCKQHDR_06610!B67),",0",",0")</f>
        <v>610391,67|2,0,0</v>
      </c>
      <c r="C67" t="str">
        <f>CONCATENATE(610707,",",ROW(BCKQHDR_06610!C67),"|",COLUMN(BCKQHDR_06610!C67),",0",",0")</f>
        <v>610707,67|3,0,0</v>
      </c>
      <c r="D67" t="str">
        <f>CONCATENATE(610476,",",ROW(BCKQHDR_06610!D67),"|",COLUMN(BCKQHDR_06610!D67),",0",",0")</f>
        <v>610476,67|4,0,0</v>
      </c>
      <c r="E67" t="str">
        <f>CONCATENATE(610665,",",ROW(BCKQHDR_06610!E67),"|",COLUMN(BCKQHDR_06610!E67),",0",",0")</f>
        <v>610665,67|5,0,0</v>
      </c>
    </row>
    <row r="68" spans="1:5" x14ac:dyDescent="0.25">
      <c r="A68" t="str">
        <f>CONCATENATE(610551,",",ROW(BCKQHDR_06610!A68),"|",COLUMN(BCKQHDR_06610!A68),",0",",0")</f>
        <v>610551,68|1,0,0</v>
      </c>
      <c r="B68" t="str">
        <f>CONCATENATE(610606,",",ROW(BCKQHDR_06610!B68),"|",COLUMN(BCKQHDR_06610!B68),",0",",0")</f>
        <v>610606,68|2,0,0</v>
      </c>
      <c r="C68" t="str">
        <f>CONCATENATE(610708,",",ROW(BCKQHDR_06610!C68),"|",COLUMN(BCKQHDR_06610!C68),",0",",0")</f>
        <v>610708,68|3,0,0</v>
      </c>
      <c r="D68" t="str">
        <f>CONCATENATE(610477,",",ROW(BCKQHDR_06610!D68),"|",COLUMN(BCKQHDR_06610!D68),",0",",0")</f>
        <v>610477,68|4,0,0</v>
      </c>
      <c r="E68" t="str">
        <f>CONCATENATE(610632,",",ROW(BCKQHDR_06610!E68),"|",COLUMN(BCKQHDR_06610!E68),",0",",0")</f>
        <v>610632,68|5,0,0</v>
      </c>
    </row>
    <row r="69" spans="1:5" x14ac:dyDescent="0.25">
      <c r="A69" t="str">
        <f>CONCATENATE(610642,",",ROW(BCKQHDR_06610!A69),"|",COLUMN(BCKQHDR_06610!A69),",0",",0")</f>
        <v>610642,69|1,0,0</v>
      </c>
      <c r="B69" t="str">
        <f>CONCATENATE(610548,",",ROW(BCKQHDR_06610!B69),"|",COLUMN(BCKQHDR_06610!B69),",0",",0")</f>
        <v>610548,69|2,0,0</v>
      </c>
      <c r="C69" t="str">
        <f>CONCATENATE(610709,",",ROW(BCKQHDR_06610!C69),"|",COLUMN(BCKQHDR_06610!C69),",0",",0")</f>
        <v>610709,69|3,0,0</v>
      </c>
      <c r="D69" t="str">
        <f>CONCATENATE(610478,",",ROW(BCKQHDR_06610!D69),"|",COLUMN(BCKQHDR_06610!D69),",0",",0")</f>
        <v>610478,69|4,0,0</v>
      </c>
      <c r="E69" t="str">
        <f>CONCATENATE(610517,",",ROW(BCKQHDR_06610!E69),"|",COLUMN(BCKQHDR_06610!E69),",0",",0")</f>
        <v>610517,69|5,0,0</v>
      </c>
    </row>
    <row r="70" spans="1:5" x14ac:dyDescent="0.25">
      <c r="A70" t="str">
        <f>CONCATENATE(610454,",",ROW(BCKQHDR_06610!A70),"|",COLUMN(BCKQHDR_06610!A70),",0",",0")</f>
        <v>610454,70|1,0,0</v>
      </c>
      <c r="B70" t="str">
        <f>CONCATENATE(610686,",",ROW(BCKQHDR_06610!B70),"|",COLUMN(BCKQHDR_06610!B70),",0",",0")</f>
        <v>610686,70|2,0,0</v>
      </c>
      <c r="C70" t="str">
        <f>CONCATENATE(610710,",",ROW(BCKQHDR_06610!C70),"|",COLUMN(BCKQHDR_06610!C70),",0",",0")</f>
        <v>610710,70|3,0,0</v>
      </c>
      <c r="D70" t="str">
        <f>CONCATENATE(610479,",",ROW(BCKQHDR_06610!D70),"|",COLUMN(BCKQHDR_06610!D70),",0",",0")</f>
        <v>610479,70|4,0,0</v>
      </c>
      <c r="E70" t="str">
        <f>CONCATENATE(610518,",",ROW(BCKQHDR_06610!E70),"|",COLUMN(BCKQHDR_06610!E70),",0",",0")</f>
        <v>610518,70|5,0,0</v>
      </c>
    </row>
    <row r="71" spans="1:5" x14ac:dyDescent="0.25">
      <c r="A71" t="str">
        <f>CONCATENATE(610533,",",ROW(BCKQHDR_06610!A71),"|",COLUMN(BCKQHDR_06610!A71),",0",",0")</f>
        <v>610533,71|1,0,0</v>
      </c>
      <c r="B71" t="str">
        <f>CONCATENATE(610401,",",ROW(BCKQHDR_06610!B71),"|",COLUMN(BCKQHDR_06610!B71),",0",",0")</f>
        <v>610401,71|2,0,0</v>
      </c>
      <c r="C71" t="str">
        <f>CONCATENATE(610711,",",ROW(BCKQHDR_06610!C71),"|",COLUMN(BCKQHDR_06610!C71),",0",",0")</f>
        <v>610711,71|3,0,0</v>
      </c>
      <c r="D71" t="str">
        <f>CONCATENATE(610480,",",ROW(BCKQHDR_06610!D71),"|",COLUMN(BCKQHDR_06610!D71),",0",",0")</f>
        <v>610480,71|4,0,0</v>
      </c>
      <c r="E71" t="str">
        <f>CONCATENATE(610519,",",ROW(BCKQHDR_06610!E71),"|",COLUMN(BCKQHDR_06610!E71),",0",",0")</f>
        <v>610519,71|5,0,0</v>
      </c>
    </row>
    <row r="72" spans="1:5" x14ac:dyDescent="0.25">
      <c r="A72" t="str">
        <f>CONCATENATE(610643,",",ROW(BCKQHDR_06610!A72),"|",COLUMN(BCKQHDR_06610!A72),",0",",0")</f>
        <v>610643,72|1,0,0</v>
      </c>
      <c r="B72" t="str">
        <f>CONCATENATE(610392,",",ROW(BCKQHDR_06610!B72),"|",COLUMN(BCKQHDR_06610!B72),",0",",0")</f>
        <v>610392,72|2,0,0</v>
      </c>
      <c r="C72" t="str">
        <f>CONCATENATE(610712,",",ROW(BCKQHDR_06610!C72),"|",COLUMN(BCKQHDR_06610!C72),",0",",0")</f>
        <v>610712,72|3,0,0</v>
      </c>
      <c r="D72" t="str">
        <f>CONCATENATE(610481,",",ROW(BCKQHDR_06610!D72),"|",COLUMN(BCKQHDR_06610!D72),",0",",0")</f>
        <v>610481,72|4,0,0</v>
      </c>
      <c r="E72" t="str">
        <f>CONCATENATE(610520,",",ROW(BCKQHDR_06610!E72),"|",COLUMN(BCKQHDR_06610!E72),",0",",0")</f>
        <v>610520,72|5,0,0</v>
      </c>
    </row>
    <row r="73" spans="1:5" x14ac:dyDescent="0.25">
      <c r="A73" t="str">
        <f>CONCATENATE(610681,",",ROW(BCKQHDR_06610!A73),"|",COLUMN(BCKQHDR_06610!A73),",0",",0")</f>
        <v>610681,73|1,0,0</v>
      </c>
      <c r="B73" t="str">
        <f>CONCATENATE(610402,",",ROW(BCKQHDR_06610!B73),"|",COLUMN(BCKQHDR_06610!B73),",0",",0")</f>
        <v>610402,73|2,0,0</v>
      </c>
      <c r="C73" t="str">
        <f>CONCATENATE(610713,",",ROW(BCKQHDR_06610!C73),"|",COLUMN(BCKQHDR_06610!C73),",0",",0")</f>
        <v>610713,73|3,0,0</v>
      </c>
      <c r="D73" t="str">
        <f>CONCATENATE(610482,",",ROW(BCKQHDR_06610!D73),"|",COLUMN(BCKQHDR_06610!D73),",0",",0")</f>
        <v>610482,73|4,0,0</v>
      </c>
      <c r="E73" t="str">
        <f>CONCATENATE(610521,",",ROW(BCKQHDR_06610!E73),"|",COLUMN(BCKQHDR_06610!E73),",0",",0")</f>
        <v>610521,73|5,0,0</v>
      </c>
    </row>
    <row r="74" spans="1:5" x14ac:dyDescent="0.25">
      <c r="A74" t="str">
        <f>CONCATENATE(610408,",",ROW(BCKQHDR_06610!A74),"|",COLUMN(BCKQHDR_06610!A74),",0",",0")</f>
        <v>610408,74|1,0,0</v>
      </c>
      <c r="B74" t="str">
        <f>CONCATENATE(610607,",",ROW(BCKQHDR_06610!B74),"|",COLUMN(BCKQHDR_06610!B74),",0",",0")</f>
        <v>610607,74|2,0,0</v>
      </c>
      <c r="C74" t="str">
        <f>CONCATENATE(610714,",",ROW(BCKQHDR_06610!C74),"|",COLUMN(BCKQHDR_06610!C74),",0",",0")</f>
        <v>610714,74|3,0,0</v>
      </c>
      <c r="D74" t="str">
        <f>CONCATENATE(610483,",",ROW(BCKQHDR_06610!D74),"|",COLUMN(BCKQHDR_06610!D74),",0",",0")</f>
        <v>610483,74|4,0,0</v>
      </c>
      <c r="E74" t="str">
        <f>CONCATENATE(610531,",",ROW(BCKQHDR_06610!E74),"|",COLUMN(BCKQHDR_06610!E74),",0",",0")</f>
        <v>610531,74|5,0,0</v>
      </c>
    </row>
  </sheetData>
  <sheetProtection password="CB7D" sheet="1" objects="1" scenarios="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workbookViewId="0">
      <selection sqref="A1:E1"/>
    </sheetView>
  </sheetViews>
  <sheetFormatPr defaultRowHeight="15" x14ac:dyDescent="0.25"/>
  <cols>
    <col min="1" max="1" width="31.28515625" bestFit="1" customWidth="1"/>
    <col min="2" max="2" width="12.7109375" bestFit="1" customWidth="1"/>
    <col min="3" max="3" width="16.7109375" bestFit="1" customWidth="1"/>
    <col min="4" max="4" width="12.7109375" bestFit="1" customWidth="1"/>
    <col min="5" max="5" width="14.42578125" bestFit="1" customWidth="1"/>
  </cols>
  <sheetData>
    <row r="1" spans="1:5" ht="20.25" x14ac:dyDescent="0.3">
      <c r="A1" s="2532" t="s">
        <v>16</v>
      </c>
      <c r="B1" s="2532" t="s">
        <v>5</v>
      </c>
      <c r="C1" s="2532" t="s">
        <v>5</v>
      </c>
      <c r="D1" s="2532" t="s">
        <v>5</v>
      </c>
      <c r="E1" s="2532" t="s">
        <v>5</v>
      </c>
    </row>
    <row r="2" spans="1:5" ht="18.75" x14ac:dyDescent="0.3">
      <c r="A2" s="2533" t="s">
        <v>516</v>
      </c>
      <c r="B2" s="2533" t="s">
        <v>5</v>
      </c>
      <c r="C2" s="2533" t="s">
        <v>5</v>
      </c>
      <c r="D2" s="2533" t="s">
        <v>5</v>
      </c>
      <c r="E2" s="2533" t="s">
        <v>5</v>
      </c>
    </row>
    <row r="3" spans="1:5" ht="18.75" x14ac:dyDescent="0.3">
      <c r="A3" s="2533" t="s">
        <v>517</v>
      </c>
      <c r="B3" s="2533" t="s">
        <v>5</v>
      </c>
      <c r="C3" s="2533" t="s">
        <v>5</v>
      </c>
      <c r="D3" s="2533" t="s">
        <v>5</v>
      </c>
      <c r="E3" s="2533" t="s">
        <v>5</v>
      </c>
    </row>
    <row r="4" spans="1:5" ht="18.75" x14ac:dyDescent="0.25">
      <c r="A4" s="1293" t="s">
        <v>397</v>
      </c>
      <c r="B4" s="1293" t="s">
        <v>41</v>
      </c>
      <c r="C4" s="1293" t="s">
        <v>42</v>
      </c>
      <c r="D4" s="1293" t="s">
        <v>398</v>
      </c>
      <c r="E4" s="1293" t="s">
        <v>399</v>
      </c>
    </row>
    <row r="5" spans="1:5" ht="16.5" x14ac:dyDescent="0.25">
      <c r="A5" s="1396" t="s">
        <v>288</v>
      </c>
      <c r="B5" s="1383" t="s">
        <v>74</v>
      </c>
      <c r="C5" s="1469" t="s">
        <v>283</v>
      </c>
      <c r="D5" s="1384" t="s">
        <v>147</v>
      </c>
      <c r="E5" s="1389" t="s">
        <v>284</v>
      </c>
    </row>
    <row r="6" spans="1:5" ht="49.5" x14ac:dyDescent="0.25">
      <c r="A6" s="1385" t="s">
        <v>539</v>
      </c>
      <c r="B6" s="1292" t="s">
        <v>5</v>
      </c>
      <c r="C6" s="1432"/>
      <c r="D6" s="1309" t="s">
        <v>5</v>
      </c>
      <c r="E6" s="1487" t="s">
        <v>5</v>
      </c>
    </row>
    <row r="7" spans="1:5" ht="49.5" x14ac:dyDescent="0.25">
      <c r="A7" s="1395" t="s">
        <v>548</v>
      </c>
      <c r="B7" s="1502" t="s">
        <v>147</v>
      </c>
      <c r="C7" s="1399"/>
      <c r="D7" s="1447" t="s">
        <v>5</v>
      </c>
      <c r="E7" s="1343" t="s">
        <v>5</v>
      </c>
    </row>
    <row r="8" spans="1:5" ht="49.5" x14ac:dyDescent="0.25">
      <c r="A8" s="1390" t="s">
        <v>543</v>
      </c>
      <c r="B8" s="1503" t="s">
        <v>284</v>
      </c>
      <c r="C8" s="1411"/>
      <c r="D8" s="1294" t="s">
        <v>5</v>
      </c>
      <c r="E8" s="1355" t="s">
        <v>5</v>
      </c>
    </row>
    <row r="9" spans="1:5" ht="49.5" x14ac:dyDescent="0.25">
      <c r="A9" s="1471" t="s">
        <v>561</v>
      </c>
      <c r="B9" s="1504" t="s">
        <v>385</v>
      </c>
      <c r="C9" s="1412"/>
      <c r="D9" s="1295" t="s">
        <v>5</v>
      </c>
      <c r="E9" s="1356" t="s">
        <v>5</v>
      </c>
    </row>
    <row r="10" spans="1:5" ht="16.5" x14ac:dyDescent="0.25">
      <c r="A10" s="1386" t="s">
        <v>540</v>
      </c>
      <c r="B10" s="1505" t="s">
        <v>386</v>
      </c>
      <c r="C10" s="1414"/>
      <c r="D10" s="1296" t="s">
        <v>5</v>
      </c>
      <c r="E10" s="1357" t="s">
        <v>5</v>
      </c>
    </row>
    <row r="11" spans="1:5" ht="33" x14ac:dyDescent="0.25">
      <c r="A11" s="1472" t="s">
        <v>562</v>
      </c>
      <c r="B11" s="1506" t="s">
        <v>352</v>
      </c>
      <c r="C11" s="1415"/>
      <c r="D11" s="1297" t="s">
        <v>5</v>
      </c>
      <c r="E11" s="1358" t="s">
        <v>5</v>
      </c>
    </row>
    <row r="12" spans="1:5" ht="33" x14ac:dyDescent="0.25">
      <c r="A12" s="1473" t="s">
        <v>563</v>
      </c>
      <c r="B12" s="1507" t="s">
        <v>388</v>
      </c>
      <c r="C12" s="1416"/>
      <c r="D12" s="1298" t="s">
        <v>5</v>
      </c>
      <c r="E12" s="1359" t="s">
        <v>5</v>
      </c>
    </row>
    <row r="13" spans="1:5" ht="33" x14ac:dyDescent="0.25">
      <c r="A13" s="1391" t="s">
        <v>544</v>
      </c>
      <c r="B13" s="1335" t="s">
        <v>389</v>
      </c>
      <c r="C13" s="1434"/>
      <c r="D13" s="1312" t="s">
        <v>5</v>
      </c>
      <c r="E13" s="1490" t="s">
        <v>5</v>
      </c>
    </row>
    <row r="14" spans="1:5" ht="49.5" x14ac:dyDescent="0.25">
      <c r="A14" s="1387" t="s">
        <v>541</v>
      </c>
      <c r="B14" s="1479" t="s">
        <v>353</v>
      </c>
      <c r="C14" s="1433"/>
      <c r="D14" s="1310" t="s">
        <v>5</v>
      </c>
      <c r="E14" s="1488" t="s">
        <v>5</v>
      </c>
    </row>
    <row r="15" spans="1:5" ht="33" x14ac:dyDescent="0.25">
      <c r="A15" s="1475" t="s">
        <v>565</v>
      </c>
      <c r="B15" s="1480" t="s">
        <v>311</v>
      </c>
      <c r="C15" s="1443"/>
      <c r="D15" s="1332" t="s">
        <v>5</v>
      </c>
      <c r="E15" s="1325" t="s">
        <v>5</v>
      </c>
    </row>
    <row r="16" spans="1:5" ht="49.5" x14ac:dyDescent="0.25">
      <c r="A16" s="1329" t="s">
        <v>518</v>
      </c>
      <c r="B16" s="1481" t="s">
        <v>361</v>
      </c>
      <c r="C16" s="1400"/>
      <c r="D16" s="1448" t="s">
        <v>5</v>
      </c>
      <c r="E16" s="1344" t="s">
        <v>5</v>
      </c>
    </row>
    <row r="17" spans="1:5" ht="49.5" x14ac:dyDescent="0.25">
      <c r="A17" s="1474" t="s">
        <v>564</v>
      </c>
      <c r="B17" s="1482" t="s">
        <v>390</v>
      </c>
      <c r="C17" s="1442"/>
      <c r="D17" s="1319" t="s">
        <v>5</v>
      </c>
      <c r="E17" s="1324" t="s">
        <v>5</v>
      </c>
    </row>
    <row r="18" spans="1:5" ht="66" x14ac:dyDescent="0.25">
      <c r="A18" s="1330" t="s">
        <v>519</v>
      </c>
      <c r="B18" s="1496" t="s">
        <v>354</v>
      </c>
      <c r="C18" s="1333"/>
      <c r="D18" s="1449" t="s">
        <v>5</v>
      </c>
      <c r="E18" s="1345" t="s">
        <v>5</v>
      </c>
    </row>
    <row r="19" spans="1:5" ht="51.75" x14ac:dyDescent="0.25">
      <c r="A19" s="1331" t="s">
        <v>520</v>
      </c>
      <c r="B19" s="1336" t="s">
        <v>521</v>
      </c>
      <c r="C19" s="1401"/>
      <c r="D19" s="1450" t="s">
        <v>5</v>
      </c>
      <c r="E19" s="1346" t="s">
        <v>5</v>
      </c>
    </row>
    <row r="20" spans="1:5" ht="49.5" x14ac:dyDescent="0.25">
      <c r="A20" s="1476" t="s">
        <v>566</v>
      </c>
      <c r="B20" s="1292" t="s">
        <v>5</v>
      </c>
      <c r="C20" s="1444"/>
      <c r="D20" s="1334" t="s">
        <v>5</v>
      </c>
      <c r="E20" s="1326" t="s">
        <v>5</v>
      </c>
    </row>
    <row r="21" spans="1:5" ht="66" x14ac:dyDescent="0.25">
      <c r="A21" s="1373" t="s">
        <v>530</v>
      </c>
      <c r="B21" s="1341" t="s">
        <v>387</v>
      </c>
      <c r="C21" s="1427"/>
      <c r="D21" s="1304" t="s">
        <v>5</v>
      </c>
      <c r="E21" s="1364" t="s">
        <v>5</v>
      </c>
    </row>
    <row r="22" spans="1:5" ht="66" x14ac:dyDescent="0.25">
      <c r="A22" s="1392" t="s">
        <v>545</v>
      </c>
      <c r="B22" s="1342" t="s">
        <v>525</v>
      </c>
      <c r="C22" s="1435"/>
      <c r="D22" s="1313" t="s">
        <v>5</v>
      </c>
      <c r="E22" s="1491" t="s">
        <v>5</v>
      </c>
    </row>
    <row r="23" spans="1:5" ht="66" x14ac:dyDescent="0.25">
      <c r="A23" s="1394" t="s">
        <v>547</v>
      </c>
      <c r="B23" s="1436" t="s">
        <v>552</v>
      </c>
      <c r="C23" s="1446"/>
      <c r="D23" s="1422" t="s">
        <v>5</v>
      </c>
      <c r="E23" s="1328" t="s">
        <v>5</v>
      </c>
    </row>
    <row r="24" spans="1:5" ht="66" x14ac:dyDescent="0.25">
      <c r="A24" s="1397" t="s">
        <v>549</v>
      </c>
      <c r="B24" s="1398" t="s">
        <v>550</v>
      </c>
      <c r="C24" s="1445"/>
      <c r="D24" s="1421" t="s">
        <v>5</v>
      </c>
      <c r="E24" s="1327" t="s">
        <v>5</v>
      </c>
    </row>
    <row r="25" spans="1:5" ht="66" x14ac:dyDescent="0.25">
      <c r="A25" s="1477" t="s">
        <v>567</v>
      </c>
      <c r="B25" s="1463" t="s">
        <v>558</v>
      </c>
      <c r="C25" s="1440"/>
      <c r="D25" s="1317" t="s">
        <v>5</v>
      </c>
      <c r="E25" s="1322" t="s">
        <v>5</v>
      </c>
    </row>
    <row r="26" spans="1:5" ht="49.5" x14ac:dyDescent="0.25">
      <c r="A26" s="1374" t="s">
        <v>531</v>
      </c>
      <c r="B26" s="1497" t="s">
        <v>574</v>
      </c>
      <c r="C26" s="1406"/>
      <c r="D26" s="1455" t="s">
        <v>5</v>
      </c>
      <c r="E26" s="1350" t="s">
        <v>5</v>
      </c>
    </row>
    <row r="27" spans="1:5" ht="49.5" x14ac:dyDescent="0.25">
      <c r="A27" s="1393" t="s">
        <v>546</v>
      </c>
      <c r="B27" s="1292" t="s">
        <v>5</v>
      </c>
      <c r="C27" s="1407"/>
      <c r="D27" s="1456" t="s">
        <v>5</v>
      </c>
      <c r="E27" s="1351" t="s">
        <v>5</v>
      </c>
    </row>
    <row r="28" spans="1:5" ht="66" x14ac:dyDescent="0.25">
      <c r="A28" s="1492" t="s">
        <v>571</v>
      </c>
      <c r="B28" s="1498" t="s">
        <v>575</v>
      </c>
      <c r="C28" s="1402"/>
      <c r="D28" s="1451" t="s">
        <v>5</v>
      </c>
      <c r="E28" s="1347" t="s">
        <v>5</v>
      </c>
    </row>
    <row r="29" spans="1:5" ht="66" x14ac:dyDescent="0.25">
      <c r="A29" s="1458" t="s">
        <v>553</v>
      </c>
      <c r="B29" s="1337" t="s">
        <v>522</v>
      </c>
      <c r="C29" s="1437"/>
      <c r="D29" s="1314" t="s">
        <v>5</v>
      </c>
      <c r="E29" s="1419" t="s">
        <v>5</v>
      </c>
    </row>
    <row r="30" spans="1:5" ht="33" x14ac:dyDescent="0.25">
      <c r="A30" s="1493" t="s">
        <v>572</v>
      </c>
      <c r="B30" s="1483" t="s">
        <v>569</v>
      </c>
      <c r="C30" s="1403"/>
      <c r="D30" s="1452" t="s">
        <v>5</v>
      </c>
      <c r="E30" s="1413" t="s">
        <v>5</v>
      </c>
    </row>
    <row r="31" spans="1:5" ht="49.5" x14ac:dyDescent="0.25">
      <c r="A31" s="1459" t="s">
        <v>554</v>
      </c>
      <c r="B31" s="1368" t="s">
        <v>526</v>
      </c>
      <c r="C31" s="1423"/>
      <c r="D31" s="1299" t="s">
        <v>5</v>
      </c>
      <c r="E31" s="1360" t="s">
        <v>5</v>
      </c>
    </row>
    <row r="32" spans="1:5" ht="33" x14ac:dyDescent="0.25">
      <c r="A32" s="1375" t="s">
        <v>532</v>
      </c>
      <c r="B32" s="1338" t="s">
        <v>523</v>
      </c>
      <c r="C32" s="1428"/>
      <c r="D32" s="1305" t="s">
        <v>5</v>
      </c>
      <c r="E32" s="1365" t="s">
        <v>5</v>
      </c>
    </row>
    <row r="33" spans="1:5" ht="33" x14ac:dyDescent="0.25">
      <c r="A33" s="1494" t="s">
        <v>573</v>
      </c>
      <c r="B33" s="1464" t="s">
        <v>332</v>
      </c>
      <c r="C33" s="1404"/>
      <c r="D33" s="1453" t="s">
        <v>5</v>
      </c>
      <c r="E33" s="1348" t="s">
        <v>5</v>
      </c>
    </row>
    <row r="34" spans="1:5" ht="49.5" x14ac:dyDescent="0.25">
      <c r="A34" s="1381" t="s">
        <v>537</v>
      </c>
      <c r="B34" s="1369" t="s">
        <v>527</v>
      </c>
      <c r="C34" s="1424"/>
      <c r="D34" s="1300" t="s">
        <v>5</v>
      </c>
      <c r="E34" s="1361" t="s">
        <v>5</v>
      </c>
    </row>
    <row r="35" spans="1:5" ht="49.5" x14ac:dyDescent="0.25">
      <c r="A35" s="1460" t="s">
        <v>555</v>
      </c>
      <c r="B35" s="1499" t="s">
        <v>576</v>
      </c>
      <c r="C35" s="1408"/>
      <c r="D35" s="1457" t="s">
        <v>5</v>
      </c>
      <c r="E35" s="1352" t="s">
        <v>5</v>
      </c>
    </row>
    <row r="36" spans="1:5" ht="33" x14ac:dyDescent="0.25">
      <c r="A36" s="1461" t="s">
        <v>556</v>
      </c>
      <c r="B36" s="1339" t="s">
        <v>524</v>
      </c>
      <c r="C36" s="1438"/>
      <c r="D36" s="1315" t="s">
        <v>5</v>
      </c>
      <c r="E36" s="1320" t="s">
        <v>5</v>
      </c>
    </row>
    <row r="37" spans="1:5" ht="49.5" x14ac:dyDescent="0.25">
      <c r="A37" s="1462" t="s">
        <v>557</v>
      </c>
      <c r="B37" s="1370" t="s">
        <v>339</v>
      </c>
      <c r="C37" s="1420"/>
      <c r="D37" s="1301" t="s">
        <v>5</v>
      </c>
      <c r="E37" s="1362" t="s">
        <v>5</v>
      </c>
    </row>
    <row r="38" spans="1:5" ht="49.5" x14ac:dyDescent="0.25">
      <c r="A38" s="1382" t="s">
        <v>538</v>
      </c>
      <c r="B38" s="1500" t="s">
        <v>577</v>
      </c>
      <c r="C38" s="1409"/>
      <c r="D38" s="1509" t="s">
        <v>5</v>
      </c>
      <c r="E38" s="1353" t="s">
        <v>5</v>
      </c>
    </row>
    <row r="39" spans="1:5" ht="51.75" x14ac:dyDescent="0.25">
      <c r="A39" s="1388" t="s">
        <v>542</v>
      </c>
      <c r="B39" s="1417" t="s">
        <v>441</v>
      </c>
      <c r="C39" s="1470"/>
      <c r="D39" s="1311" t="s">
        <v>5</v>
      </c>
      <c r="E39" s="1489" t="s">
        <v>5</v>
      </c>
    </row>
    <row r="40" spans="1:5" ht="49.5" x14ac:dyDescent="0.25">
      <c r="A40" s="1376" t="s">
        <v>533</v>
      </c>
      <c r="B40" s="1371" t="s">
        <v>528</v>
      </c>
      <c r="C40" s="1425"/>
      <c r="D40" s="1302" t="s">
        <v>5</v>
      </c>
      <c r="E40" s="1363" t="s">
        <v>5</v>
      </c>
    </row>
    <row r="41" spans="1:5" ht="49.5" x14ac:dyDescent="0.25">
      <c r="A41" s="1377" t="s">
        <v>534</v>
      </c>
      <c r="B41" s="1501" t="s">
        <v>578</v>
      </c>
      <c r="C41" s="1410"/>
      <c r="D41" s="1510" t="s">
        <v>5</v>
      </c>
      <c r="E41" s="1354" t="s">
        <v>5</v>
      </c>
    </row>
    <row r="42" spans="1:5" ht="16.5" x14ac:dyDescent="0.25">
      <c r="A42" s="1508" t="s">
        <v>536</v>
      </c>
      <c r="B42" s="1372" t="s">
        <v>529</v>
      </c>
      <c r="C42" s="1426"/>
      <c r="D42" s="1303" t="s">
        <v>5</v>
      </c>
      <c r="E42" s="1340" t="s">
        <v>5</v>
      </c>
    </row>
    <row r="43" spans="1:5" ht="33" x14ac:dyDescent="0.25">
      <c r="A43" s="1378" t="s">
        <v>535</v>
      </c>
      <c r="B43" s="1465" t="s">
        <v>453</v>
      </c>
      <c r="C43" s="1429"/>
      <c r="D43" s="1306" t="s">
        <v>5</v>
      </c>
      <c r="E43" s="1366" t="s">
        <v>5</v>
      </c>
    </row>
    <row r="44" spans="1:5" ht="49.5" x14ac:dyDescent="0.25">
      <c r="A44" s="1495" t="s">
        <v>568</v>
      </c>
      <c r="B44" s="1484" t="s">
        <v>570</v>
      </c>
      <c r="C44" s="1405"/>
      <c r="D44" s="1454" t="s">
        <v>5</v>
      </c>
      <c r="E44" s="1349" t="s">
        <v>5</v>
      </c>
    </row>
    <row r="45" spans="1:5" ht="66" x14ac:dyDescent="0.25">
      <c r="A45" s="1418" t="s">
        <v>551</v>
      </c>
      <c r="B45" s="1466" t="s">
        <v>462</v>
      </c>
      <c r="C45" s="1439"/>
      <c r="D45" s="1316" t="s">
        <v>5</v>
      </c>
      <c r="E45" s="1321" t="s">
        <v>5</v>
      </c>
    </row>
    <row r="46" spans="1:5" ht="16.5" x14ac:dyDescent="0.25">
      <c r="A46" s="1379" t="s">
        <v>536</v>
      </c>
      <c r="B46" s="1485" t="s">
        <v>463</v>
      </c>
      <c r="C46" s="1430"/>
      <c r="D46" s="1307" t="s">
        <v>5</v>
      </c>
      <c r="E46" s="1367" t="s">
        <v>5</v>
      </c>
    </row>
    <row r="47" spans="1:5" ht="33" x14ac:dyDescent="0.25">
      <c r="A47" s="1380" t="s">
        <v>535</v>
      </c>
      <c r="B47" s="1467" t="s">
        <v>559</v>
      </c>
      <c r="C47" s="1431"/>
      <c r="D47" s="1308" t="s">
        <v>5</v>
      </c>
      <c r="E47" s="1486" t="s">
        <v>5</v>
      </c>
    </row>
    <row r="48" spans="1:5" ht="49.5" x14ac:dyDescent="0.25">
      <c r="A48" s="1478" t="s">
        <v>568</v>
      </c>
      <c r="B48" s="1468" t="s">
        <v>560</v>
      </c>
      <c r="C48" s="1441"/>
      <c r="D48" s="1318" t="s">
        <v>5</v>
      </c>
      <c r="E48" s="1323" t="s">
        <v>5</v>
      </c>
    </row>
  </sheetData>
  <mergeCells count="3">
    <mergeCell ref="A1:E1"/>
    <mergeCell ref="A2:E2"/>
    <mergeCell ref="A3:E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48"/>
  <sheetViews>
    <sheetView workbookViewId="0"/>
  </sheetViews>
  <sheetFormatPr defaultRowHeight="15" x14ac:dyDescent="0.25"/>
  <cols>
    <col min="1" max="1" width="1" style="1511" bestFit="1" customWidth="1"/>
    <col min="2" max="5" width="1" bestFit="1" customWidth="1"/>
  </cols>
  <sheetData>
    <row r="5" spans="1:5" x14ac:dyDescent="0.25">
      <c r="A5" t="str">
        <f>CONCATENATE(611457,",",ROW(BCLCTTRTT_06611!A5),"|",COLUMN(BCLCTTRTT_06611!A5),",0",",0")</f>
        <v>611457,5|1,0,0</v>
      </c>
      <c r="B5" t="str">
        <f>CONCATENATE(611444,",",ROW(BCLCTTRTT_06611!B5),"|",COLUMN(BCLCTTRTT_06611!B5),",0",",0")</f>
        <v>611444,5|2,0,0</v>
      </c>
      <c r="C5" t="str">
        <f>CONCATENATE(611530,",",ROW(BCLCTTRTT_06611!C5),"|",COLUMN(BCLCTTRTT_06611!C5),",0",",0")</f>
        <v>611530,5|3,0,0</v>
      </c>
      <c r="D5" t="str">
        <f>CONCATENATE(611445,",",ROW(BCLCTTRTT_06611!D5),"|",COLUMN(BCLCTTRTT_06611!D5),",0",",0")</f>
        <v>611445,5|4,0,0</v>
      </c>
      <c r="E5" t="str">
        <f>CONCATENATE(611450,",",ROW(BCLCTTRTT_06611!E5),"|",COLUMN(BCLCTTRTT_06611!E5),",0",",0")</f>
        <v>611450,5|5,0,0</v>
      </c>
    </row>
    <row r="6" spans="1:5" x14ac:dyDescent="0.25">
      <c r="A6" t="str">
        <f>CONCATENATE(611446,",",ROW(BCLCTTRTT_06611!A6),"|",COLUMN(BCLCTTRTT_06611!A6),",0",",0")</f>
        <v>611446,6|1,0,0</v>
      </c>
      <c r="B6" t="s">
        <v>5</v>
      </c>
      <c r="C6" t="str">
        <f>CONCATENATE(611493,",",ROW(BCLCTTRTT_06611!C6),"|",COLUMN(BCLCTTRTT_06611!C6),",0",",0")</f>
        <v>611493,6|3,0,0</v>
      </c>
      <c r="D6" t="str">
        <f>CONCATENATE(611370,",",ROW(BCLCTTRTT_06611!D6),"|",COLUMN(BCLCTTRTT_06611!D6),",0",",0")</f>
        <v>611370,6|4,0,0</v>
      </c>
      <c r="E6" t="str">
        <f>CONCATENATE(611548,",",ROW(BCLCTTRTT_06611!E6),"|",COLUMN(BCLCTTRTT_06611!E6),",0",",0")</f>
        <v>611548,6|5,0,0</v>
      </c>
    </row>
    <row r="7" spans="1:5" x14ac:dyDescent="0.25">
      <c r="A7" t="str">
        <f>CONCATENATE(611456,",",ROW(BCLCTTRTT_06611!A7),"|",COLUMN(BCLCTTRTT_06611!A7),",0",",0")</f>
        <v>611456,7|1,0,0</v>
      </c>
      <c r="B7" t="str">
        <f>CONCATENATE(611346,",",ROW(BCLCTTRTT_06611!B7),"|",COLUMN(BCLCTTRTT_06611!B7),",0",",0")</f>
        <v>611346,7|2,0,0</v>
      </c>
      <c r="C7" t="str">
        <f>CONCATENATE(611460,",",ROW(BCLCTTRTT_06611!C7),"|",COLUMN(BCLCTTRTT_06611!C7),",0",",0")</f>
        <v>611460,7|3,0,0</v>
      </c>
      <c r="D7" t="str">
        <f>CONCATENATE(611508,",",ROW(BCLCTTRTT_06611!D7),"|",COLUMN(BCLCTTRTT_06611!D7),",0",",0")</f>
        <v>611508,7|4,0,0</v>
      </c>
      <c r="E7" t="str">
        <f>CONCATENATE(611404,",",ROW(BCLCTTRTT_06611!E7),"|",COLUMN(BCLCTTRTT_06611!E7),",0",",0")</f>
        <v>611404,7|5,0,0</v>
      </c>
    </row>
    <row r="8" spans="1:5" x14ac:dyDescent="0.25">
      <c r="A8" t="str">
        <f>CONCATENATE(611451,",",ROW(BCLCTTRTT_06611!A8),"|",COLUMN(BCLCTTRTT_06611!A8),",0",",0")</f>
        <v>611451,8|1,0,0</v>
      </c>
      <c r="B8" t="str">
        <f>CONCATENATE(611347,",",ROW(BCLCTTRTT_06611!B8),"|",COLUMN(BCLCTTRTT_06611!B8),",0",",0")</f>
        <v>611347,8|2,0,0</v>
      </c>
      <c r="C8" t="str">
        <f>CONCATENATE(611472,",",ROW(BCLCTTRTT_06611!C8),"|",COLUMN(BCLCTTRTT_06611!C8),",0",",0")</f>
        <v>611472,8|3,0,0</v>
      </c>
      <c r="D8" t="str">
        <f>CONCATENATE(611355,",",ROW(BCLCTTRTT_06611!D8),"|",COLUMN(BCLCTTRTT_06611!D8),",0",",0")</f>
        <v>611355,8|4,0,0</v>
      </c>
      <c r="E8" t="str">
        <f>CONCATENATE(611416,",",ROW(BCLCTTRTT_06611!E8),"|",COLUMN(BCLCTTRTT_06611!E8),",0",",0")</f>
        <v>611416,8|5,0,0</v>
      </c>
    </row>
    <row r="9" spans="1:5" x14ac:dyDescent="0.25">
      <c r="A9" t="str">
        <f>CONCATENATE(611532,",",ROW(BCLCTTRTT_06611!A9),"|",COLUMN(BCLCTTRTT_06611!A9),",0",",0")</f>
        <v>611532,9|1,0,0</v>
      </c>
      <c r="B9" t="str">
        <f>CONCATENATE(611348,",",ROW(BCLCTTRTT_06611!B9),"|",COLUMN(BCLCTTRTT_06611!B9),",0",",0")</f>
        <v>611348,9|2,0,0</v>
      </c>
      <c r="C9" t="str">
        <f>CONCATENATE(611473,",",ROW(BCLCTTRTT_06611!C9),"|",COLUMN(BCLCTTRTT_06611!C9),",0",",0")</f>
        <v>611473,9|3,0,0</v>
      </c>
      <c r="D9" t="str">
        <f>CONCATENATE(611356,",",ROW(BCLCTTRTT_06611!D9),"|",COLUMN(BCLCTTRTT_06611!D9),",0",",0")</f>
        <v>611356,9|4,0,0</v>
      </c>
      <c r="E9" t="str">
        <f>CONCATENATE(611417,",",ROW(BCLCTTRTT_06611!E9),"|",COLUMN(BCLCTTRTT_06611!E9),",0",",0")</f>
        <v>611417,9|5,0,0</v>
      </c>
    </row>
    <row r="10" spans="1:5" x14ac:dyDescent="0.25">
      <c r="A10" t="str">
        <f>CONCATENATE(611447,",",ROW(BCLCTTRTT_06611!A10),"|",COLUMN(BCLCTTRTT_06611!A10),",0",",0")</f>
        <v>611447,10|1,0,0</v>
      </c>
      <c r="B10" t="str">
        <f>CONCATENATE(611349,",",ROW(BCLCTTRTT_06611!B10),"|",COLUMN(BCLCTTRTT_06611!B10),",0",",0")</f>
        <v>611349,10|2,0,0</v>
      </c>
      <c r="C10" t="str">
        <f>CONCATENATE(611475,",",ROW(BCLCTTRTT_06611!C10),"|",COLUMN(BCLCTTRTT_06611!C10),",0",",0")</f>
        <v>611475,10|3,0,0</v>
      </c>
      <c r="D10" t="str">
        <f>CONCATENATE(611357,",",ROW(BCLCTTRTT_06611!D10),"|",COLUMN(BCLCTTRTT_06611!D10),",0",",0")</f>
        <v>611357,10|4,0,0</v>
      </c>
      <c r="E10" t="str">
        <f>CONCATENATE(611418,",",ROW(BCLCTTRTT_06611!E10),"|",COLUMN(BCLCTTRTT_06611!E10),",0",",0")</f>
        <v>611418,10|5,0,0</v>
      </c>
    </row>
    <row r="11" spans="1:5" x14ac:dyDescent="0.25">
      <c r="A11" t="str">
        <f>CONCATENATE(611533,",",ROW(BCLCTTRTT_06611!A11),"|",COLUMN(BCLCTTRTT_06611!A11),",0",",0")</f>
        <v>611533,11|1,0,0</v>
      </c>
      <c r="B11" t="str">
        <f>CONCATENATE(611350,",",ROW(BCLCTTRTT_06611!B11),"|",COLUMN(BCLCTTRTT_06611!B11),",0",",0")</f>
        <v>611350,11|2,0,0</v>
      </c>
      <c r="C11" t="str">
        <f>CONCATENATE(611476,",",ROW(BCLCTTRTT_06611!C11),"|",COLUMN(BCLCTTRTT_06611!C11),",0",",0")</f>
        <v>611476,11|3,0,0</v>
      </c>
      <c r="D11" t="str">
        <f>CONCATENATE(611358,",",ROW(BCLCTTRTT_06611!D11),"|",COLUMN(BCLCTTRTT_06611!D11),",0",",0")</f>
        <v>611358,11|4,0,0</v>
      </c>
      <c r="E11" t="str">
        <f>CONCATENATE(611419,",",ROW(BCLCTTRTT_06611!E11),"|",COLUMN(BCLCTTRTT_06611!E11),",0",",0")</f>
        <v>611419,11|5,0,0</v>
      </c>
    </row>
    <row r="12" spans="1:5" x14ac:dyDescent="0.25">
      <c r="A12" t="str">
        <f>CONCATENATE(611534,",",ROW(BCLCTTRTT_06611!A12),"|",COLUMN(BCLCTTRTT_06611!A12),",0",",0")</f>
        <v>611534,12|1,0,0</v>
      </c>
      <c r="B12" t="str">
        <f>CONCATENATE(611351,",",ROW(BCLCTTRTT_06611!B12),"|",COLUMN(BCLCTTRTT_06611!B12),",0",",0")</f>
        <v>611351,12|2,0,0</v>
      </c>
      <c r="C12" t="str">
        <f>CONCATENATE(611477,",",ROW(BCLCTTRTT_06611!C12),"|",COLUMN(BCLCTTRTT_06611!C12),",0",",0")</f>
        <v>611477,12|3,0,0</v>
      </c>
      <c r="D12" t="str">
        <f>CONCATENATE(611359,",",ROW(BCLCTTRTT_06611!D12),"|",COLUMN(BCLCTTRTT_06611!D12),",0",",0")</f>
        <v>611359,12|4,0,0</v>
      </c>
      <c r="E12" t="str">
        <f>CONCATENATE(611420,",",ROW(BCLCTTRTT_06611!E12),"|",COLUMN(BCLCTTRTT_06611!E12),",0",",0")</f>
        <v>611420,12|5,0,0</v>
      </c>
    </row>
    <row r="13" spans="1:5" x14ac:dyDescent="0.25">
      <c r="A13" t="str">
        <f>CONCATENATE(611452,",",ROW(BCLCTTRTT_06611!A13),"|",COLUMN(BCLCTTRTT_06611!A13),",0",",0")</f>
        <v>611452,13|1,0,0</v>
      </c>
      <c r="B13" t="str">
        <f>CONCATENATE(611396,",",ROW(BCLCTTRTT_06611!B13),"|",COLUMN(BCLCTTRTT_06611!B13),",0",",0")</f>
        <v>611396,13|2,0,0</v>
      </c>
      <c r="C13" t="str">
        <f>CONCATENATE(611495,",",ROW(BCLCTTRTT_06611!C13),"|",COLUMN(BCLCTTRTT_06611!C13),",0",",0")</f>
        <v>611495,13|3,0,0</v>
      </c>
      <c r="D13" t="str">
        <f>CONCATENATE(611373,",",ROW(BCLCTTRTT_06611!D13),"|",COLUMN(BCLCTTRTT_06611!D13),",0",",0")</f>
        <v>611373,13|4,0,0</v>
      </c>
      <c r="E13" t="str">
        <f>CONCATENATE(611551,",",ROW(BCLCTTRTT_06611!E13),"|",COLUMN(BCLCTTRTT_06611!E13),",0",",0")</f>
        <v>611551,13|5,0,0</v>
      </c>
    </row>
    <row r="14" spans="1:5" x14ac:dyDescent="0.25">
      <c r="A14" t="str">
        <f>CONCATENATE(611448,",",ROW(BCLCTTRTT_06611!A14),"|",COLUMN(BCLCTTRTT_06611!A14),",0",",0")</f>
        <v>611448,14|1,0,0</v>
      </c>
      <c r="B14" t="str">
        <f>CONCATENATE(611540,",",ROW(BCLCTTRTT_06611!B14),"|",COLUMN(BCLCTTRTT_06611!B14),",0",",0")</f>
        <v>611540,14|2,0,0</v>
      </c>
      <c r="C14" t="str">
        <f>CONCATENATE(611494,",",ROW(BCLCTTRTT_06611!C14),"|",COLUMN(BCLCTTRTT_06611!C14),",0",",0")</f>
        <v>611494,14|3,0,0</v>
      </c>
      <c r="D14" t="str">
        <f>CONCATENATE(611371,",",ROW(BCLCTTRTT_06611!D14),"|",COLUMN(BCLCTTRTT_06611!D14),",0",",0")</f>
        <v>611371,14|4,0,0</v>
      </c>
      <c r="E14" t="str">
        <f>CONCATENATE(611549,",",ROW(BCLCTTRTT_06611!E14),"|",COLUMN(BCLCTTRTT_06611!E14),",0",",0")</f>
        <v>611549,14|5,0,0</v>
      </c>
    </row>
    <row r="15" spans="1:5" x14ac:dyDescent="0.25">
      <c r="A15" t="str">
        <f>CONCATENATE(611536,",",ROW(BCLCTTRTT_06611!A15),"|",COLUMN(BCLCTTRTT_06611!A15),",0",",0")</f>
        <v>611536,15|1,0,0</v>
      </c>
      <c r="B15" t="str">
        <f>CONCATENATE(611541,",",ROW(BCLCTTRTT_06611!B15),"|",COLUMN(BCLCTTRTT_06611!B15),",0",",0")</f>
        <v>611541,15|2,0,0</v>
      </c>
      <c r="C15" t="str">
        <f>CONCATENATE(611504,",",ROW(BCLCTTRTT_06611!C15),"|",COLUMN(BCLCTTRTT_06611!C15),",0",",0")</f>
        <v>611504,15|3,0,0</v>
      </c>
      <c r="D15" t="str">
        <f>CONCATENATE(611393,",",ROW(BCLCTTRTT_06611!D15),"|",COLUMN(BCLCTTRTT_06611!D15),",0",",0")</f>
        <v>611393,15|4,0,0</v>
      </c>
      <c r="E15" t="str">
        <f>CONCATENATE(611386,",",ROW(BCLCTTRTT_06611!E15),"|",COLUMN(BCLCTTRTT_06611!E15),",0",",0")</f>
        <v>611386,15|5,0,0</v>
      </c>
    </row>
    <row r="16" spans="1:5" x14ac:dyDescent="0.25">
      <c r="A16" t="str">
        <f>CONCATENATE(611390,",",ROW(BCLCTTRTT_06611!A16),"|",COLUMN(BCLCTTRTT_06611!A16),",0",",0")</f>
        <v>611390,16|1,0,0</v>
      </c>
      <c r="B16" t="str">
        <f>CONCATENATE(611542,",",ROW(BCLCTTRTT_06611!B16),"|",COLUMN(BCLCTTRTT_06611!B16),",0",",0")</f>
        <v>611542,16|2,0,0</v>
      </c>
      <c r="C16" t="str">
        <f>CONCATENATE(611461,",",ROW(BCLCTTRTT_06611!C16),"|",COLUMN(BCLCTTRTT_06611!C16),",0",",0")</f>
        <v>611461,16|3,0,0</v>
      </c>
      <c r="D16" t="str">
        <f>CONCATENATE(611509,",",ROW(BCLCTTRTT_06611!D16),"|",COLUMN(BCLCTTRTT_06611!D16),",0",",0")</f>
        <v>611509,16|4,0,0</v>
      </c>
      <c r="E16" t="str">
        <f>CONCATENATE(611405,",",ROW(BCLCTTRTT_06611!E16),"|",COLUMN(BCLCTTRTT_06611!E16),",0",",0")</f>
        <v>611405,16|5,0,0</v>
      </c>
    </row>
    <row r="17" spans="1:5" x14ac:dyDescent="0.25">
      <c r="A17" t="str">
        <f>CONCATENATE(611535,",",ROW(BCLCTTRTT_06611!A17),"|",COLUMN(BCLCTTRTT_06611!A17),",0",",0")</f>
        <v>611535,17|1,0,0</v>
      </c>
      <c r="B17" t="str">
        <f>CONCATENATE(611543,",",ROW(BCLCTTRTT_06611!B17),"|",COLUMN(BCLCTTRTT_06611!B17),",0",",0")</f>
        <v>611543,17|2,0,0</v>
      </c>
      <c r="C17" t="str">
        <f>CONCATENATE(611503,",",ROW(BCLCTTRTT_06611!C17),"|",COLUMN(BCLCTTRTT_06611!C17),",0",",0")</f>
        <v>611503,17|3,0,0</v>
      </c>
      <c r="D17" t="str">
        <f>CONCATENATE(611380,",",ROW(BCLCTTRTT_06611!D17),"|",COLUMN(BCLCTTRTT_06611!D17),",0",",0")</f>
        <v>611380,17|4,0,0</v>
      </c>
      <c r="E17" t="str">
        <f>CONCATENATE(611385,",",ROW(BCLCTTRTT_06611!E17),"|",COLUMN(BCLCTTRTT_06611!E17),",0",",0")</f>
        <v>611385,17|5,0,0</v>
      </c>
    </row>
    <row r="18" spans="1:5" x14ac:dyDescent="0.25">
      <c r="A18" t="str">
        <f>CONCATENATE(611391,",",ROW(BCLCTTRTT_06611!A18),"|",COLUMN(BCLCTTRTT_06611!A18),",0",",0")</f>
        <v>611391,18|1,0,0</v>
      </c>
      <c r="B18" t="str">
        <f>CONCATENATE(611340,",",ROW(BCLCTTRTT_06611!B18),"|",COLUMN(BCLCTTRTT_06611!B18),",0",",0")</f>
        <v>611340,18|2,0,0</v>
      </c>
      <c r="C18" t="str">
        <f>CONCATENATE(611394,",",ROW(BCLCTTRTT_06611!C18),"|",COLUMN(BCLCTTRTT_06611!C18),",0",",0")</f>
        <v>611394,18|3,0,0</v>
      </c>
      <c r="D18" t="str">
        <f>CONCATENATE(611510,",",ROW(BCLCTTRTT_06611!D18),"|",COLUMN(BCLCTTRTT_06611!D18),",0",",0")</f>
        <v>611510,18|4,0,0</v>
      </c>
      <c r="E18" t="str">
        <f>CONCATENATE(611406,",",ROW(BCLCTTRTT_06611!E18),"|",COLUMN(BCLCTTRTT_06611!E18),",0",",0")</f>
        <v>611406,18|5,0,0</v>
      </c>
    </row>
    <row r="19" spans="1:5" x14ac:dyDescent="0.25">
      <c r="A19" t="str">
        <f>CONCATENATE(611392,",",ROW(BCLCTTRTT_06611!A19),"|",COLUMN(BCLCTTRTT_06611!A19),",0",",0")</f>
        <v>611392,19|1,0,0</v>
      </c>
      <c r="B19" t="str">
        <f>CONCATENATE(611397,",",ROW(BCLCTTRTT_06611!B19),"|",COLUMN(BCLCTTRTT_06611!B19),",0",",0")</f>
        <v>611397,19|2,0,0</v>
      </c>
      <c r="C19" t="str">
        <f>CONCATENATE(611462,",",ROW(BCLCTTRTT_06611!C19),"|",COLUMN(BCLCTTRTT_06611!C19),",0",",0")</f>
        <v>611462,19|3,0,0</v>
      </c>
      <c r="D19" t="str">
        <f>CONCATENATE(611511,",",ROW(BCLCTTRTT_06611!D19),"|",COLUMN(BCLCTTRTT_06611!D19),",0",",0")</f>
        <v>611511,19|4,0,0</v>
      </c>
      <c r="E19" t="str">
        <f>CONCATENATE(611407,",",ROW(BCLCTTRTT_06611!E19),"|",COLUMN(BCLCTTRTT_06611!E19),",0",",0")</f>
        <v>611407,19|5,0,0</v>
      </c>
    </row>
    <row r="20" spans="1:5" x14ac:dyDescent="0.25">
      <c r="A20" t="str">
        <f>CONCATENATE(611537,",",ROW(BCLCTTRTT_06611!A20),"|",COLUMN(BCLCTTRTT_06611!A20),",0",",0")</f>
        <v>611537,20|1,0,0</v>
      </c>
      <c r="B20" t="s">
        <v>5</v>
      </c>
      <c r="C20" t="str">
        <f>CONCATENATE(611505,",",ROW(BCLCTTRTT_06611!C20),"|",COLUMN(BCLCTTRTT_06611!C20),",0",",0")</f>
        <v>611505,20|3,0,0</v>
      </c>
      <c r="D20" t="str">
        <f>CONCATENATE(611395,",",ROW(BCLCTTRTT_06611!D20),"|",COLUMN(BCLCTTRTT_06611!D20),",0",",0")</f>
        <v>611395,20|4,0,0</v>
      </c>
      <c r="E20" t="str">
        <f>CONCATENATE(611387,",",ROW(BCLCTTRTT_06611!E20),"|",COLUMN(BCLCTTRTT_06611!E20),",0",",0")</f>
        <v>611387,20|5,0,0</v>
      </c>
    </row>
    <row r="21" spans="1:5" x14ac:dyDescent="0.25">
      <c r="A21" t="str">
        <f>CONCATENATE(611434,",",ROW(BCLCTTRTT_06611!A21),"|",COLUMN(BCLCTTRTT_06611!A21),",0",",0")</f>
        <v>611434,21|1,0,0</v>
      </c>
      <c r="B21" t="str">
        <f>CONCATENATE(611402,",",ROW(BCLCTTRTT_06611!B21),"|",COLUMN(BCLCTTRTT_06611!B21),",0",",0")</f>
        <v>611402,21|2,0,0</v>
      </c>
      <c r="C21" t="str">
        <f>CONCATENATE(611488,",",ROW(BCLCTTRTT_06611!C21),"|",COLUMN(BCLCTTRTT_06611!C21),",0",",0")</f>
        <v>611488,21|3,0,0</v>
      </c>
      <c r="D21" t="str">
        <f>CONCATENATE(611365,",",ROW(BCLCTTRTT_06611!D21),"|",COLUMN(BCLCTTRTT_06611!D21),",0",",0")</f>
        <v>611365,21|4,0,0</v>
      </c>
      <c r="E21" t="str">
        <f>CONCATENATE(611425,",",ROW(BCLCTTRTT_06611!E21),"|",COLUMN(BCLCTTRTT_06611!E21),",0",",0")</f>
        <v>611425,21|5,0,0</v>
      </c>
    </row>
    <row r="22" spans="1:5" x14ac:dyDescent="0.25">
      <c r="A22" t="str">
        <f>CONCATENATE(611453,",",ROW(BCLCTTRTT_06611!A22),"|",COLUMN(BCLCTTRTT_06611!A22),",0",",0")</f>
        <v>611453,22|1,0,0</v>
      </c>
      <c r="B22" t="str">
        <f>CONCATENATE(611403,",",ROW(BCLCTTRTT_06611!B22),"|",COLUMN(BCLCTTRTT_06611!B22),",0",",0")</f>
        <v>611403,22|2,0,0</v>
      </c>
      <c r="C22" t="str">
        <f>CONCATENATE(611496,",",ROW(BCLCTTRTT_06611!C22),"|",COLUMN(BCLCTTRTT_06611!C22),",0",",0")</f>
        <v>611496,22|3,0,0</v>
      </c>
      <c r="D22" t="str">
        <f>CONCATENATE(611374,",",ROW(BCLCTTRTT_06611!D22),"|",COLUMN(BCLCTTRTT_06611!D22),",0",",0")</f>
        <v>611374,22|4,0,0</v>
      </c>
      <c r="E22" t="str">
        <f>CONCATENATE(611552,",",ROW(BCLCTTRTT_06611!E22),"|",COLUMN(BCLCTTRTT_06611!E22),",0",",0")</f>
        <v>611552,22|5,0,0</v>
      </c>
    </row>
    <row r="23" spans="1:5" x14ac:dyDescent="0.25">
      <c r="A23" t="str">
        <f>CONCATENATE(611455,",",ROW(BCLCTTRTT_06611!A23),"|",COLUMN(BCLCTTRTT_06611!A23),",0",",0")</f>
        <v>611455,23|1,0,0</v>
      </c>
      <c r="B23" t="str">
        <f>CONCATENATE(611497,",",ROW(BCLCTTRTT_06611!B23),"|",COLUMN(BCLCTTRTT_06611!B23),",0",",0")</f>
        <v>611497,23|2,0,0</v>
      </c>
      <c r="C23" t="str">
        <f>CONCATENATE(611507,",",ROW(BCLCTTRTT_06611!C23),"|",COLUMN(BCLCTTRTT_06611!C23),",0",",0")</f>
        <v>611507,23|3,0,0</v>
      </c>
      <c r="D23" t="str">
        <f>CONCATENATE(611483,",",ROW(BCLCTTRTT_06611!D23),"|",COLUMN(BCLCTTRTT_06611!D23),",0",",0")</f>
        <v>611483,23|4,0,0</v>
      </c>
      <c r="E23" t="str">
        <f>CONCATENATE(611389,",",ROW(BCLCTTRTT_06611!E23),"|",COLUMN(BCLCTTRTT_06611!E23),",0",",0")</f>
        <v>611389,23|5,0,0</v>
      </c>
    </row>
    <row r="24" spans="1:5" x14ac:dyDescent="0.25">
      <c r="A24" t="str">
        <f>CONCATENATE(611458,",",ROW(BCLCTTRTT_06611!A24),"|",COLUMN(BCLCTTRTT_06611!A24),",0",",0")</f>
        <v>611458,24|1,0,0</v>
      </c>
      <c r="B24" t="str">
        <f>CONCATENATE(611459,",",ROW(BCLCTTRTT_06611!B24),"|",COLUMN(BCLCTTRTT_06611!B24),",0",",0")</f>
        <v>611459,24|2,0,0</v>
      </c>
      <c r="C24" t="str">
        <f>CONCATENATE(611506,",",ROW(BCLCTTRTT_06611!C24),"|",COLUMN(BCLCTTRTT_06611!C24),",0",",0")</f>
        <v>611506,24|3,0,0</v>
      </c>
      <c r="D24" t="str">
        <f>CONCATENATE(611482,",",ROW(BCLCTTRTT_06611!D24),"|",COLUMN(BCLCTTRTT_06611!D24),",0",",0")</f>
        <v>611482,24|4,0,0</v>
      </c>
      <c r="E24" t="str">
        <f>CONCATENATE(611388,",",ROW(BCLCTTRTT_06611!E24),"|",COLUMN(BCLCTTRTT_06611!E24),",0",",0")</f>
        <v>611388,24|5,0,0</v>
      </c>
    </row>
    <row r="25" spans="1:5" x14ac:dyDescent="0.25">
      <c r="A25" t="str">
        <f>CONCATENATE(611538,",",ROW(BCLCTTRTT_06611!A25),"|",COLUMN(BCLCTTRTT_06611!A25),",0",",0")</f>
        <v>611538,25|1,0,0</v>
      </c>
      <c r="B25" t="str">
        <f>CONCATENATE(611524,",",ROW(BCLCTTRTT_06611!B25),"|",COLUMN(BCLCTTRTT_06611!B25),",0",",0")</f>
        <v>611524,25|2,0,0</v>
      </c>
      <c r="C25" t="str">
        <f>CONCATENATE(611501,",",ROW(BCLCTTRTT_06611!C25),"|",COLUMN(BCLCTTRTT_06611!C25),",0",",0")</f>
        <v>611501,25|3,0,0</v>
      </c>
      <c r="D25" t="str">
        <f>CONCATENATE(611378,",",ROW(BCLCTTRTT_06611!D25),"|",COLUMN(BCLCTTRTT_06611!D25),",0",",0")</f>
        <v>611378,25|4,0,0</v>
      </c>
      <c r="E25" t="str">
        <f>CONCATENATE(611383,",",ROW(BCLCTTRTT_06611!E25),"|",COLUMN(BCLCTTRTT_06611!E25),",0",",0")</f>
        <v>611383,25|5,0,0</v>
      </c>
    </row>
    <row r="26" spans="1:5" x14ac:dyDescent="0.25">
      <c r="A26" t="str">
        <f>CONCATENATE(611435,",",ROW(BCLCTTRTT_06611!A26),"|",COLUMN(BCLCTTRTT_06611!A26),",0",",0")</f>
        <v>611435,26|1,0,0</v>
      </c>
      <c r="B26" t="str">
        <f>CONCATENATE(611341,",",ROW(BCLCTTRTT_06611!B26),"|",COLUMN(BCLCTTRTT_06611!B26),",0",",0")</f>
        <v>611341,26|2,0,0</v>
      </c>
      <c r="C26" t="str">
        <f>CONCATENATE(611467,",",ROW(BCLCTTRTT_06611!C26),"|",COLUMN(BCLCTTRTT_06611!C26),",0",",0")</f>
        <v>611467,26|3,0,0</v>
      </c>
      <c r="D26" t="str">
        <f>CONCATENATE(611516,",",ROW(BCLCTTRTT_06611!D26),"|",COLUMN(BCLCTTRTT_06611!D26),",0",",0")</f>
        <v>611516,26|4,0,0</v>
      </c>
      <c r="E26" t="str">
        <f>CONCATENATE(611411,",",ROW(BCLCTTRTT_06611!E26),"|",COLUMN(BCLCTTRTT_06611!E26),",0",",0")</f>
        <v>611411,26|5,0,0</v>
      </c>
    </row>
    <row r="27" spans="1:5" x14ac:dyDescent="0.25">
      <c r="A27" t="str">
        <f>CONCATENATE(611454,",",ROW(BCLCTTRTT_06611!A27),"|",COLUMN(BCLCTTRTT_06611!A27),",0",",0")</f>
        <v>611454,27|1,0,0</v>
      </c>
      <c r="B27" t="s">
        <v>5</v>
      </c>
      <c r="C27" t="str">
        <f>CONCATENATE(611468,",",ROW(BCLCTTRTT_06611!C27),"|",COLUMN(BCLCTTRTT_06611!C27),",0",",0")</f>
        <v>611468,27|3,0,0</v>
      </c>
      <c r="D27" t="str">
        <f>CONCATENATE(611517,",",ROW(BCLCTTRTT_06611!D27),"|",COLUMN(BCLCTTRTT_06611!D27),",0",",0")</f>
        <v>611517,27|4,0,0</v>
      </c>
      <c r="E27" t="str">
        <f>CONCATENATE(611412,",",ROW(BCLCTTRTT_06611!E27),"|",COLUMN(BCLCTTRTT_06611!E27),",0",",0")</f>
        <v>611412,27|5,0,0</v>
      </c>
    </row>
    <row r="28" spans="1:5" x14ac:dyDescent="0.25">
      <c r="A28" t="str">
        <f>CONCATENATE(611336,",",ROW(BCLCTTRTT_06611!A28),"|",COLUMN(BCLCTTRTT_06611!A28),",0",",0")</f>
        <v>611336,28|1,0,0</v>
      </c>
      <c r="B28" t="str">
        <f>CONCATENATE(611342,",",ROW(BCLCTTRTT_06611!B28),"|",COLUMN(BCLCTTRTT_06611!B28),",0",",0")</f>
        <v>611342,28|2,0,0</v>
      </c>
      <c r="C28" t="str">
        <f>CONCATENATE(611463,",",ROW(BCLCTTRTT_06611!C28),"|",COLUMN(BCLCTTRTT_06611!C28),",0",",0")</f>
        <v>611463,28|3,0,0</v>
      </c>
      <c r="D28" t="str">
        <f>CONCATENATE(611512,",",ROW(BCLCTTRTT_06611!D28),"|",COLUMN(BCLCTTRTT_06611!D28),",0",",0")</f>
        <v>611512,28|4,0,0</v>
      </c>
      <c r="E28" t="str">
        <f>CONCATENATE(611408,",",ROW(BCLCTTRTT_06611!E28),"|",COLUMN(BCLCTTRTT_06611!E28),",0",",0")</f>
        <v>611408,28|5,0,0</v>
      </c>
    </row>
    <row r="29" spans="1:5" x14ac:dyDescent="0.25">
      <c r="A29" t="str">
        <f>CONCATENATE(611519,",",ROW(BCLCTTRTT_06611!A29),"|",COLUMN(BCLCTTRTT_06611!A29),",0",",0")</f>
        <v>611519,29|1,0,0</v>
      </c>
      <c r="B29" t="str">
        <f>CONCATENATE(611398,",",ROW(BCLCTTRTT_06611!B29),"|",COLUMN(BCLCTTRTT_06611!B29),",0",",0")</f>
        <v>611398,29|2,0,0</v>
      </c>
      <c r="C29" t="str">
        <f>CONCATENATE(611498,",",ROW(BCLCTTRTT_06611!C29),"|",COLUMN(BCLCTTRTT_06611!C29),",0",",0")</f>
        <v>611498,29|3,0,0</v>
      </c>
      <c r="D29" t="str">
        <f>CONCATENATE(611375,",",ROW(BCLCTTRTT_06611!D29),"|",COLUMN(BCLCTTRTT_06611!D29),",0",",0")</f>
        <v>611375,29|4,0,0</v>
      </c>
      <c r="E29" t="str">
        <f>CONCATENATE(611480,",",ROW(BCLCTTRTT_06611!E29),"|",COLUMN(BCLCTTRTT_06611!E29),",0",",0")</f>
        <v>611480,29|5,0,0</v>
      </c>
    </row>
    <row r="30" spans="1:5" x14ac:dyDescent="0.25">
      <c r="A30" t="str">
        <f>CONCATENATE(611337,",",ROW(BCLCTTRTT_06611!A30),"|",COLUMN(BCLCTTRTT_06611!A30),",0",",0")</f>
        <v>611337,30|1,0,0</v>
      </c>
      <c r="B30" t="str">
        <f>CONCATENATE(611544,",",ROW(BCLCTTRTT_06611!B30),"|",COLUMN(BCLCTTRTT_06611!B30),",0",",0")</f>
        <v>611544,30|2,0,0</v>
      </c>
      <c r="C30" t="str">
        <f>CONCATENATE(611464,",",ROW(BCLCTTRTT_06611!C30),"|",COLUMN(BCLCTTRTT_06611!C30),",0",",0")</f>
        <v>611464,30|3,0,0</v>
      </c>
      <c r="D30" t="str">
        <f>CONCATENATE(611513,",",ROW(BCLCTTRTT_06611!D30),"|",COLUMN(BCLCTTRTT_06611!D30),",0",",0")</f>
        <v>611513,30|4,0,0</v>
      </c>
      <c r="E30" t="str">
        <f>CONCATENATE(611474,",",ROW(BCLCTTRTT_06611!E30),"|",COLUMN(BCLCTTRTT_06611!E30),",0",",0")</f>
        <v>611474,30|5,0,0</v>
      </c>
    </row>
    <row r="31" spans="1:5" x14ac:dyDescent="0.25">
      <c r="A31" t="str">
        <f>CONCATENATE(611520,",",ROW(BCLCTTRTT_06611!A31),"|",COLUMN(BCLCTTRTT_06611!A31),",0",",0")</f>
        <v>611520,31|1,0,0</v>
      </c>
      <c r="B31" t="str">
        <f>CONCATENATE(611429,",",ROW(BCLCTTRTT_06611!B31),"|",COLUMN(BCLCTTRTT_06611!B31),",0",",0")</f>
        <v>611429,31|2,0,0</v>
      </c>
      <c r="C31" t="str">
        <f>CONCATENATE(611484,",",ROW(BCLCTTRTT_06611!C31),"|",COLUMN(BCLCTTRTT_06611!C31),",0",",0")</f>
        <v>611484,31|3,0,0</v>
      </c>
      <c r="D31" t="str">
        <f>CONCATENATE(611360,",",ROW(BCLCTTRTT_06611!D31),"|",COLUMN(BCLCTTRTT_06611!D31),",0",",0")</f>
        <v>611360,31|4,0,0</v>
      </c>
      <c r="E31" t="str">
        <f>CONCATENATE(611421,",",ROW(BCLCTTRTT_06611!E31),"|",COLUMN(BCLCTTRTT_06611!E31),",0",",0")</f>
        <v>611421,31|5,0,0</v>
      </c>
    </row>
    <row r="32" spans="1:5" x14ac:dyDescent="0.25">
      <c r="A32" t="str">
        <f>CONCATENATE(611436,",",ROW(BCLCTTRTT_06611!A32),"|",COLUMN(BCLCTTRTT_06611!A32),",0",",0")</f>
        <v>611436,32|1,0,0</v>
      </c>
      <c r="B32" t="str">
        <f>CONCATENATE(611399,",",ROW(BCLCTTRTT_06611!B32),"|",COLUMN(BCLCTTRTT_06611!B32),",0",",0")</f>
        <v>611399,32|2,0,0</v>
      </c>
      <c r="C32" t="str">
        <f>CONCATENATE(611489,",",ROW(BCLCTTRTT_06611!C32),"|",COLUMN(BCLCTTRTT_06611!C32),",0",",0")</f>
        <v>611489,32|3,0,0</v>
      </c>
      <c r="D32" t="str">
        <f>CONCATENATE(611366,",",ROW(BCLCTTRTT_06611!D32),"|",COLUMN(BCLCTTRTT_06611!D32),",0",",0")</f>
        <v>611366,32|4,0,0</v>
      </c>
      <c r="E32" t="str">
        <f>CONCATENATE(611426,",",ROW(BCLCTTRTT_06611!E32),"|",COLUMN(BCLCTTRTT_06611!E32),",0",",0")</f>
        <v>611426,32|5,0,0</v>
      </c>
    </row>
    <row r="33" spans="1:5" x14ac:dyDescent="0.25">
      <c r="A33" t="str">
        <f>CONCATENATE(611338,",",ROW(BCLCTTRTT_06611!A33),"|",COLUMN(BCLCTTRTT_06611!A33),",0",",0")</f>
        <v>611338,33|1,0,0</v>
      </c>
      <c r="B33" t="str">
        <f>CONCATENATE(611525,",",ROW(BCLCTTRTT_06611!B33),"|",COLUMN(BCLCTTRTT_06611!B33),",0",",0")</f>
        <v>611525,33|2,0,0</v>
      </c>
      <c r="C33" t="str">
        <f>CONCATENATE(611465,",",ROW(BCLCTTRTT_06611!C33),"|",COLUMN(BCLCTTRTT_06611!C33),",0",",0")</f>
        <v>611465,33|3,0,0</v>
      </c>
      <c r="D33" t="str">
        <f>CONCATENATE(611514,",",ROW(BCLCTTRTT_06611!D33),"|",COLUMN(BCLCTTRTT_06611!D33),",0",",0")</f>
        <v>611514,33|4,0,0</v>
      </c>
      <c r="E33" t="str">
        <f>CONCATENATE(611409,",",ROW(BCLCTTRTT_06611!E33),"|",COLUMN(BCLCTTRTT_06611!E33),",0",",0")</f>
        <v>611409,33|5,0,0</v>
      </c>
    </row>
    <row r="34" spans="1:5" x14ac:dyDescent="0.25">
      <c r="A34" t="str">
        <f>CONCATENATE(611442,",",ROW(BCLCTTRTT_06611!A34),"|",COLUMN(BCLCTTRTT_06611!A34),",0",",0")</f>
        <v>611442,34|1,0,0</v>
      </c>
      <c r="B34" t="str">
        <f>CONCATENATE(611430,",",ROW(BCLCTTRTT_06611!B34),"|",COLUMN(BCLCTTRTT_06611!B34),",0",",0")</f>
        <v>611430,34|2,0,0</v>
      </c>
      <c r="C34" t="str">
        <f>CONCATENATE(611485,",",ROW(BCLCTTRTT_06611!C34),"|",COLUMN(BCLCTTRTT_06611!C34),",0",",0")</f>
        <v>611485,34|3,0,0</v>
      </c>
      <c r="D34" t="str">
        <f>CONCATENATE(611361,",",ROW(BCLCTTRTT_06611!D34),"|",COLUMN(BCLCTTRTT_06611!D34),",0",",0")</f>
        <v>611361,34|4,0,0</v>
      </c>
      <c r="E34" t="str">
        <f>CONCATENATE(611422,",",ROW(BCLCTTRTT_06611!E34),"|",COLUMN(BCLCTTRTT_06611!E34),",0",",0")</f>
        <v>611422,34|5,0,0</v>
      </c>
    </row>
    <row r="35" spans="1:5" x14ac:dyDescent="0.25">
      <c r="A35" t="str">
        <f>CONCATENATE(611521,",",ROW(BCLCTTRTT_06611!A35),"|",COLUMN(BCLCTTRTT_06611!A35),",0",",0")</f>
        <v>611521,35|1,0,0</v>
      </c>
      <c r="B35" t="str">
        <f>CONCATENATE(611343,",",ROW(BCLCTTRTT_06611!B35),"|",COLUMN(BCLCTTRTT_06611!B35),",0",",0")</f>
        <v>611343,35|2,0,0</v>
      </c>
      <c r="C35" t="str">
        <f>CONCATENATE(611469,",",ROW(BCLCTTRTT_06611!C35),"|",COLUMN(BCLCTTRTT_06611!C35),",0",",0")</f>
        <v>611469,35|3,0,0</v>
      </c>
      <c r="D35" t="str">
        <f>CONCATENATE(611518,",",ROW(BCLCTTRTT_06611!D35),"|",COLUMN(BCLCTTRTT_06611!D35),",0",",0")</f>
        <v>611518,35|4,0,0</v>
      </c>
      <c r="E35" t="str">
        <f>CONCATENATE(611413,",",ROW(BCLCTTRTT_06611!E35),"|",COLUMN(BCLCTTRTT_06611!E35),",0",",0")</f>
        <v>611413,35|5,0,0</v>
      </c>
    </row>
    <row r="36" spans="1:5" x14ac:dyDescent="0.25">
      <c r="A36" t="str">
        <f>CONCATENATE(611522,",",ROW(BCLCTTRTT_06611!A36),"|",COLUMN(BCLCTTRTT_06611!A36),",0",",0")</f>
        <v>611522,36|1,0,0</v>
      </c>
      <c r="B36" t="str">
        <f>CONCATENATE(611400,",",ROW(BCLCTTRTT_06611!B36),"|",COLUMN(BCLCTTRTT_06611!B36),",0",",0")</f>
        <v>611400,36|2,0,0</v>
      </c>
      <c r="C36" t="str">
        <f>CONCATENATE(611499,",",ROW(BCLCTTRTT_06611!C36),"|",COLUMN(BCLCTTRTT_06611!C36),",0",",0")</f>
        <v>611499,36|3,0,0</v>
      </c>
      <c r="D36" t="str">
        <f>CONCATENATE(611376,",",ROW(BCLCTTRTT_06611!D36),"|",COLUMN(BCLCTTRTT_06611!D36),",0",",0")</f>
        <v>611376,36|4,0,0</v>
      </c>
      <c r="E36" t="str">
        <f>CONCATENATE(611381,",",ROW(BCLCTTRTT_06611!E36),"|",COLUMN(BCLCTTRTT_06611!E36),",0",",0")</f>
        <v>611381,36|5,0,0</v>
      </c>
    </row>
    <row r="37" spans="1:5" x14ac:dyDescent="0.25">
      <c r="A37" t="str">
        <f>CONCATENATE(611523,",",ROW(BCLCTTRTT_06611!A37),"|",COLUMN(BCLCTTRTT_06611!A37),",0",",0")</f>
        <v>611523,37|1,0,0</v>
      </c>
      <c r="B37" t="str">
        <f>CONCATENATE(611431,",",ROW(BCLCTTRTT_06611!B37),"|",COLUMN(BCLCTTRTT_06611!B37),",0",",0")</f>
        <v>611431,37|2,0,0</v>
      </c>
      <c r="C37" t="str">
        <f>CONCATENATE(611481,",",ROW(BCLCTTRTT_06611!C37),"|",COLUMN(BCLCTTRTT_06611!C37),",0",",0")</f>
        <v>611481,37|3,0,0</v>
      </c>
      <c r="D37" t="str">
        <f>CONCATENATE(611362,",",ROW(BCLCTTRTT_06611!D37),"|",COLUMN(BCLCTTRTT_06611!D37),",0",",0")</f>
        <v>611362,37|4,0,0</v>
      </c>
      <c r="E37" t="str">
        <f>CONCATENATE(611423,",",ROW(BCLCTTRTT_06611!E37),"|",COLUMN(BCLCTTRTT_06611!E37),",0",",0")</f>
        <v>611423,37|5,0,0</v>
      </c>
    </row>
    <row r="38" spans="1:5" x14ac:dyDescent="0.25">
      <c r="A38" t="str">
        <f>CONCATENATE(611443,",",ROW(BCLCTTRTT_06611!A38),"|",COLUMN(BCLCTTRTT_06611!A38),",0",",0")</f>
        <v>611443,38|1,0,0</v>
      </c>
      <c r="B38" t="str">
        <f>CONCATENATE(611344,",",ROW(BCLCTTRTT_06611!B38),"|",COLUMN(BCLCTTRTT_06611!B38),",0",",0")</f>
        <v>611344,38|2,0,0</v>
      </c>
      <c r="C38" t="str">
        <f>CONCATENATE(611470,",",ROW(BCLCTTRTT_06611!C38),"|",COLUMN(BCLCTTRTT_06611!C38),",0",",0")</f>
        <v>611470,38|3,0,0</v>
      </c>
      <c r="D38" t="str">
        <f>CONCATENATE(611353,",",ROW(BCLCTTRTT_06611!D38),"|",COLUMN(BCLCTTRTT_06611!D38),",0",",0")</f>
        <v>611353,38|4,0,0</v>
      </c>
      <c r="E38" t="str">
        <f>CONCATENATE(611414,",",ROW(BCLCTTRTT_06611!E38),"|",COLUMN(BCLCTTRTT_06611!E38),",0",",0")</f>
        <v>611414,38|5,0,0</v>
      </c>
    </row>
    <row r="39" spans="1:5" x14ac:dyDescent="0.25">
      <c r="A39" t="str">
        <f>CONCATENATE(611449,",",ROW(BCLCTTRTT_06611!A39),"|",COLUMN(BCLCTTRTT_06611!A39),",0",",0")</f>
        <v>611449,39|1,0,0</v>
      </c>
      <c r="B39" t="str">
        <f>CONCATENATE(611478,",",ROW(BCLCTTRTT_06611!B39),"|",COLUMN(BCLCTTRTT_06611!B39),",0",",0")</f>
        <v>611478,39|2,0,0</v>
      </c>
      <c r="C39" t="str">
        <f>CONCATENATE(611531,",",ROW(BCLCTTRTT_06611!C39),"|",COLUMN(BCLCTTRTT_06611!C39),",0",",0")</f>
        <v>611531,39|3,0,0</v>
      </c>
      <c r="D39" t="str">
        <f>CONCATENATE(611372,",",ROW(BCLCTTRTT_06611!D39),"|",COLUMN(BCLCTTRTT_06611!D39),",0",",0")</f>
        <v>611372,39|4,0,0</v>
      </c>
      <c r="E39" t="str">
        <f>CONCATENATE(611550,",",ROW(BCLCTTRTT_06611!E39),"|",COLUMN(BCLCTTRTT_06611!E39),",0",",0")</f>
        <v>611550,39|5,0,0</v>
      </c>
    </row>
    <row r="40" spans="1:5" x14ac:dyDescent="0.25">
      <c r="A40" t="str">
        <f>CONCATENATE(611437,",",ROW(BCLCTTRTT_06611!A40),"|",COLUMN(BCLCTTRTT_06611!A40),",0",",0")</f>
        <v>611437,40|1,0,0</v>
      </c>
      <c r="B40" t="str">
        <f>CONCATENATE(611432,",",ROW(BCLCTTRTT_06611!B40),"|",COLUMN(BCLCTTRTT_06611!B40),",0",",0")</f>
        <v>611432,40|2,0,0</v>
      </c>
      <c r="C40" t="str">
        <f>CONCATENATE(611486,",",ROW(BCLCTTRTT_06611!C40),"|",COLUMN(BCLCTTRTT_06611!C40),",0",",0")</f>
        <v>611486,40|3,0,0</v>
      </c>
      <c r="D40" t="str">
        <f>CONCATENATE(611363,",",ROW(BCLCTTRTT_06611!D40),"|",COLUMN(BCLCTTRTT_06611!D40),",0",",0")</f>
        <v>611363,40|4,0,0</v>
      </c>
      <c r="E40" t="str">
        <f>CONCATENATE(611424,",",ROW(BCLCTTRTT_06611!E40),"|",COLUMN(BCLCTTRTT_06611!E40),",0",",0")</f>
        <v>611424,40|5,0,0</v>
      </c>
    </row>
    <row r="41" spans="1:5" x14ac:dyDescent="0.25">
      <c r="A41" t="str">
        <f>CONCATENATE(611438,",",ROW(BCLCTTRTT_06611!A41),"|",COLUMN(BCLCTTRTT_06611!A41),",0",",0")</f>
        <v>611438,41|1,0,0</v>
      </c>
      <c r="B41" t="str">
        <f>CONCATENATE(611345,",",ROW(BCLCTTRTT_06611!B41),"|",COLUMN(BCLCTTRTT_06611!B41),",0",",0")</f>
        <v>611345,41|2,0,0</v>
      </c>
      <c r="C41" t="str">
        <f>CONCATENATE(611471,",",ROW(BCLCTTRTT_06611!C41),"|",COLUMN(BCLCTTRTT_06611!C41),",0",",0")</f>
        <v>611471,41|3,0,0</v>
      </c>
      <c r="D41" t="str">
        <f>CONCATENATE(611354,",",ROW(BCLCTTRTT_06611!D41),"|",COLUMN(BCLCTTRTT_06611!D41),",0",",0")</f>
        <v>611354,41|4,0,0</v>
      </c>
      <c r="E41" t="str">
        <f>CONCATENATE(611415,",",ROW(BCLCTTRTT_06611!E41),"|",COLUMN(BCLCTTRTT_06611!E41),",0",",0")</f>
        <v>611415,41|5,0,0</v>
      </c>
    </row>
    <row r="42" spans="1:5" x14ac:dyDescent="0.25">
      <c r="A42" t="str">
        <f>CONCATENATE(611352,",",ROW(BCLCTTRTT_06611!A42),"|",COLUMN(BCLCTTRTT_06611!A42),",0",",0")</f>
        <v>611352,42|1,0,0</v>
      </c>
      <c r="B42" t="str">
        <f>CONCATENATE(611433,",",ROW(BCLCTTRTT_06611!B42),"|",COLUMN(BCLCTTRTT_06611!B42),",0",",0")</f>
        <v>611433,42|2,0,0</v>
      </c>
      <c r="C42" t="str">
        <f>CONCATENATE(611487,",",ROW(BCLCTTRTT_06611!C42),"|",COLUMN(BCLCTTRTT_06611!C42),",0",",0")</f>
        <v>611487,42|3,0,0</v>
      </c>
      <c r="D42" t="str">
        <f>CONCATENATE(611364,",",ROW(BCLCTTRTT_06611!D42),"|",COLUMN(BCLCTTRTT_06611!D42),",0",",0")</f>
        <v>611364,42|4,0,0</v>
      </c>
      <c r="E42" t="str">
        <f>CONCATENATE(611401,",",ROW(BCLCTTRTT_06611!E42),"|",COLUMN(BCLCTTRTT_06611!E42),",0",",0")</f>
        <v>611401,42|5,0,0</v>
      </c>
    </row>
    <row r="43" spans="1:5" x14ac:dyDescent="0.25">
      <c r="A43" t="str">
        <f>CONCATENATE(611439,",",ROW(BCLCTTRTT_06611!A43),"|",COLUMN(BCLCTTRTT_06611!A43),",0",",0")</f>
        <v>611439,43|1,0,0</v>
      </c>
      <c r="B43" t="str">
        <f>CONCATENATE(611526,",",ROW(BCLCTTRTT_06611!B43),"|",COLUMN(BCLCTTRTT_06611!B43),",0",",0")</f>
        <v>611526,43|2,0,0</v>
      </c>
      <c r="C43" t="str">
        <f>CONCATENATE(611490,",",ROW(BCLCTTRTT_06611!C43),"|",COLUMN(BCLCTTRTT_06611!C43),",0",",0")</f>
        <v>611490,43|3,0,0</v>
      </c>
      <c r="D43" t="str">
        <f>CONCATENATE(611367,",",ROW(BCLCTTRTT_06611!D43),"|",COLUMN(BCLCTTRTT_06611!D43),",0",",0")</f>
        <v>611367,43|4,0,0</v>
      </c>
      <c r="E43" t="str">
        <f>CONCATENATE(611427,",",ROW(BCLCTTRTT_06611!E43),"|",COLUMN(BCLCTTRTT_06611!E43),",0",",0")</f>
        <v>611427,43|5,0,0</v>
      </c>
    </row>
    <row r="44" spans="1:5" x14ac:dyDescent="0.25">
      <c r="A44" t="str">
        <f>CONCATENATE(611339,",",ROW(BCLCTTRTT_06611!A44),"|",COLUMN(BCLCTTRTT_06611!A44),",0",",0")</f>
        <v>611339,44|1,0,0</v>
      </c>
      <c r="B44" t="str">
        <f>CONCATENATE(611545,",",ROW(BCLCTTRTT_06611!B44),"|",COLUMN(BCLCTTRTT_06611!B44),",0",",0")</f>
        <v>611545,44|2,0,0</v>
      </c>
      <c r="C44" t="str">
        <f>CONCATENATE(611466,",",ROW(BCLCTTRTT_06611!C44),"|",COLUMN(BCLCTTRTT_06611!C44),",0",",0")</f>
        <v>611466,44|3,0,0</v>
      </c>
      <c r="D44" t="str">
        <f>CONCATENATE(611515,",",ROW(BCLCTTRTT_06611!D44),"|",COLUMN(BCLCTTRTT_06611!D44),",0",",0")</f>
        <v>611515,44|4,0,0</v>
      </c>
      <c r="E44" t="str">
        <f>CONCATENATE(611410,",",ROW(BCLCTTRTT_06611!E44),"|",COLUMN(BCLCTTRTT_06611!E44),",0",",0")</f>
        <v>611410,44|5,0,0</v>
      </c>
    </row>
    <row r="45" spans="1:5" x14ac:dyDescent="0.25">
      <c r="A45" t="str">
        <f>CONCATENATE(611479,",",ROW(BCLCTTRTT_06611!A45),"|",COLUMN(BCLCTTRTT_06611!A45),",0",",0")</f>
        <v>611479,45|1,0,0</v>
      </c>
      <c r="B45" t="str">
        <f>CONCATENATE(611527,",",ROW(BCLCTTRTT_06611!B45),"|",COLUMN(BCLCTTRTT_06611!B45),",0",",0")</f>
        <v>611527,45|2,0,0</v>
      </c>
      <c r="C45" t="str">
        <f>CONCATENATE(611500,",",ROW(BCLCTTRTT_06611!C45),"|",COLUMN(BCLCTTRTT_06611!C45),",0",",0")</f>
        <v>611500,45|3,0,0</v>
      </c>
      <c r="D45" t="str">
        <f>CONCATENATE(611377,",",ROW(BCLCTTRTT_06611!D45),"|",COLUMN(BCLCTTRTT_06611!D45),",0",",0")</f>
        <v>611377,45|4,0,0</v>
      </c>
      <c r="E45" t="str">
        <f>CONCATENATE(611382,",",ROW(BCLCTTRTT_06611!E45),"|",COLUMN(BCLCTTRTT_06611!E45),",0",",0")</f>
        <v>611382,45|5,0,0</v>
      </c>
    </row>
    <row r="46" spans="1:5" x14ac:dyDescent="0.25">
      <c r="A46" t="str">
        <f>CONCATENATE(611440,",",ROW(BCLCTTRTT_06611!A46),"|",COLUMN(BCLCTTRTT_06611!A46),",0",",0")</f>
        <v>611440,46|1,0,0</v>
      </c>
      <c r="B46" t="str">
        <f>CONCATENATE(611546,",",ROW(BCLCTTRTT_06611!B46),"|",COLUMN(BCLCTTRTT_06611!B46),",0",",0")</f>
        <v>611546,46|2,0,0</v>
      </c>
      <c r="C46" t="str">
        <f>CONCATENATE(611491,",",ROW(BCLCTTRTT_06611!C46),"|",COLUMN(BCLCTTRTT_06611!C46),",0",",0")</f>
        <v>611491,46|3,0,0</v>
      </c>
      <c r="D46" t="str">
        <f>CONCATENATE(611368,",",ROW(BCLCTTRTT_06611!D46),"|",COLUMN(BCLCTTRTT_06611!D46),",0",",0")</f>
        <v>611368,46|4,0,0</v>
      </c>
      <c r="E46" t="str">
        <f>CONCATENATE(611428,",",ROW(BCLCTTRTT_06611!E46),"|",COLUMN(BCLCTTRTT_06611!E46),",0",",0")</f>
        <v>611428,46|5,0,0</v>
      </c>
    </row>
    <row r="47" spans="1:5" x14ac:dyDescent="0.25">
      <c r="A47" t="str">
        <f>CONCATENATE(611441,",",ROW(BCLCTTRTT_06611!A47),"|",COLUMN(BCLCTTRTT_06611!A47),",0",",0")</f>
        <v>611441,47|1,0,0</v>
      </c>
      <c r="B47" t="str">
        <f>CONCATENATE(611528,",",ROW(BCLCTTRTT_06611!B47),"|",COLUMN(BCLCTTRTT_06611!B47),",0",",0")</f>
        <v>611528,47|2,0,0</v>
      </c>
      <c r="C47" t="str">
        <f>CONCATENATE(611492,",",ROW(BCLCTTRTT_06611!C47),"|",COLUMN(BCLCTTRTT_06611!C47),",0",",0")</f>
        <v>611492,47|3,0,0</v>
      </c>
      <c r="D47" t="str">
        <f>CONCATENATE(611369,",",ROW(BCLCTTRTT_06611!D47),"|",COLUMN(BCLCTTRTT_06611!D47),",0",",0")</f>
        <v>611369,47|4,0,0</v>
      </c>
      <c r="E47" t="str">
        <f>CONCATENATE(611547,",",ROW(BCLCTTRTT_06611!E47),"|",COLUMN(BCLCTTRTT_06611!E47),",0",",0")</f>
        <v>611547,47|5,0,0</v>
      </c>
    </row>
    <row r="48" spans="1:5" x14ac:dyDescent="0.25">
      <c r="A48" t="str">
        <f>CONCATENATE(611539,",",ROW(BCLCTTRTT_06611!A48),"|",COLUMN(BCLCTTRTT_06611!A48),",0",",0")</f>
        <v>611539,48|1,0,0</v>
      </c>
      <c r="B48" t="str">
        <f>CONCATENATE(611529,",",ROW(BCLCTTRTT_06611!B48),"|",COLUMN(BCLCTTRTT_06611!B48),",0",",0")</f>
        <v>611529,48|2,0,0</v>
      </c>
      <c r="C48" t="str">
        <f>CONCATENATE(611502,",",ROW(BCLCTTRTT_06611!C48),"|",COLUMN(BCLCTTRTT_06611!C48),",0",",0")</f>
        <v>611502,48|3,0,0</v>
      </c>
      <c r="D48" t="str">
        <f>CONCATENATE(611379,",",ROW(BCLCTTRTT_06611!D48),"|",COLUMN(BCLCTTRTT_06611!D48),",0",",0")</f>
        <v>611379,48|4,0,0</v>
      </c>
      <c r="E48" t="str">
        <f>CONCATENATE(611384,",",ROW(BCLCTTRTT_06611!E48),"|",COLUMN(BCLCTTRTT_06611!E48),",0",",0")</f>
        <v>611384,48|5,0,0</v>
      </c>
    </row>
  </sheetData>
  <sheetProtection password="CB7D" sheet="1" objects="1" scenarios="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sqref="A1:E1"/>
    </sheetView>
  </sheetViews>
  <sheetFormatPr defaultRowHeight="15" x14ac:dyDescent="0.25"/>
  <cols>
    <col min="1" max="1" width="31.28515625" bestFit="1" customWidth="1"/>
    <col min="2" max="5" width="26.140625" bestFit="1" customWidth="1"/>
  </cols>
  <sheetData>
    <row r="1" spans="1:5" ht="20.25" x14ac:dyDescent="0.3">
      <c r="A1" s="2534" t="s">
        <v>18</v>
      </c>
      <c r="B1" s="2534" t="s">
        <v>5</v>
      </c>
      <c r="C1" s="2534" t="s">
        <v>5</v>
      </c>
      <c r="D1" s="2534" t="s">
        <v>5</v>
      </c>
      <c r="E1" s="2534" t="s">
        <v>5</v>
      </c>
    </row>
    <row r="2" spans="1:5" ht="18.75" x14ac:dyDescent="0.3">
      <c r="A2" s="2535" t="s">
        <v>579</v>
      </c>
      <c r="B2" s="2535" t="s">
        <v>5</v>
      </c>
      <c r="C2" s="2535" t="s">
        <v>5</v>
      </c>
      <c r="D2" s="2535" t="s">
        <v>5</v>
      </c>
      <c r="E2" s="2535" t="s">
        <v>5</v>
      </c>
    </row>
    <row r="3" spans="1:5" ht="18.75" x14ac:dyDescent="0.25">
      <c r="A3" s="1513" t="s">
        <v>40</v>
      </c>
      <c r="B3" s="1513" t="s">
        <v>41</v>
      </c>
      <c r="C3" s="1513" t="s">
        <v>42</v>
      </c>
      <c r="D3" s="1513" t="s">
        <v>398</v>
      </c>
      <c r="E3" s="1513" t="s">
        <v>399</v>
      </c>
    </row>
    <row r="4" spans="1:5" ht="16.5" x14ac:dyDescent="0.25">
      <c r="A4" s="1566" t="s">
        <v>333</v>
      </c>
      <c r="B4" s="1649" t="s">
        <v>608</v>
      </c>
      <c r="C4" s="1683"/>
      <c r="D4" s="1576" t="s">
        <v>147</v>
      </c>
      <c r="E4" s="1567" t="s">
        <v>284</v>
      </c>
    </row>
    <row r="5" spans="1:5" ht="66" x14ac:dyDescent="0.25">
      <c r="A5" s="1593" t="s">
        <v>604</v>
      </c>
      <c r="B5" s="1512" t="s">
        <v>5</v>
      </c>
      <c r="C5" s="1682"/>
      <c r="D5" s="1538" t="s">
        <v>5</v>
      </c>
      <c r="E5" s="1516" t="s">
        <v>5</v>
      </c>
    </row>
    <row r="6" spans="1:5" ht="49.5" x14ac:dyDescent="0.25">
      <c r="A6" s="1577" t="s">
        <v>600</v>
      </c>
      <c r="B6" s="1671" t="s">
        <v>147</v>
      </c>
      <c r="C6" s="1619"/>
      <c r="D6" s="1684" t="s">
        <v>5</v>
      </c>
      <c r="E6" s="1596" t="s">
        <v>5</v>
      </c>
    </row>
    <row r="7" spans="1:5" ht="49.5" x14ac:dyDescent="0.25">
      <c r="A7" s="1568" t="s">
        <v>595</v>
      </c>
      <c r="B7" s="1660" t="s">
        <v>284</v>
      </c>
      <c r="C7" s="1517"/>
      <c r="D7" s="1685" t="s">
        <v>5</v>
      </c>
      <c r="E7" s="1597" t="s">
        <v>5</v>
      </c>
    </row>
    <row r="8" spans="1:5" ht="49.5" x14ac:dyDescent="0.25">
      <c r="A8" s="1589" t="s">
        <v>602</v>
      </c>
      <c r="B8" s="1592" t="s">
        <v>385</v>
      </c>
      <c r="C8" s="1620"/>
      <c r="D8" s="1686" t="s">
        <v>5</v>
      </c>
      <c r="E8" s="1598" t="s">
        <v>5</v>
      </c>
    </row>
    <row r="9" spans="1:5" ht="49.5" x14ac:dyDescent="0.25">
      <c r="A9" s="1590" t="s">
        <v>603</v>
      </c>
      <c r="B9" s="1661" t="s">
        <v>386</v>
      </c>
      <c r="C9" s="1621"/>
      <c r="D9" s="1687" t="s">
        <v>5</v>
      </c>
      <c r="E9" s="1599" t="s">
        <v>5</v>
      </c>
    </row>
    <row r="10" spans="1:5" ht="49.5" x14ac:dyDescent="0.25">
      <c r="A10" s="1667" t="s">
        <v>614</v>
      </c>
      <c r="B10" s="1541" t="s">
        <v>352</v>
      </c>
      <c r="C10" s="1622"/>
      <c r="D10" s="1688" t="s">
        <v>5</v>
      </c>
      <c r="E10" s="1600" t="s">
        <v>5</v>
      </c>
    </row>
    <row r="11" spans="1:5" ht="49.5" x14ac:dyDescent="0.25">
      <c r="A11" s="1650" t="s">
        <v>609</v>
      </c>
      <c r="B11" s="1575" t="s">
        <v>388</v>
      </c>
      <c r="C11" s="1623"/>
      <c r="D11" s="1689" t="s">
        <v>5</v>
      </c>
      <c r="E11" s="1601" t="s">
        <v>5</v>
      </c>
    </row>
    <row r="12" spans="1:5" ht="49.5" x14ac:dyDescent="0.25">
      <c r="A12" s="1594" t="s">
        <v>605</v>
      </c>
      <c r="B12" s="1554" t="s">
        <v>389</v>
      </c>
      <c r="C12" s="1624"/>
      <c r="D12" s="1690" t="s">
        <v>5</v>
      </c>
      <c r="E12" s="1602" t="s">
        <v>5</v>
      </c>
    </row>
    <row r="13" spans="1:5" ht="66" x14ac:dyDescent="0.25">
      <c r="A13" s="1550" t="s">
        <v>582</v>
      </c>
      <c r="B13" s="1676" t="s">
        <v>353</v>
      </c>
      <c r="C13" s="1625"/>
      <c r="D13" s="1691" t="s">
        <v>5</v>
      </c>
      <c r="E13" s="1603" t="s">
        <v>5</v>
      </c>
    </row>
    <row r="14" spans="1:5" ht="49.5" x14ac:dyDescent="0.25">
      <c r="A14" s="1562" t="s">
        <v>591</v>
      </c>
      <c r="B14" s="1540" t="s">
        <v>311</v>
      </c>
      <c r="C14" s="1626"/>
      <c r="D14" s="1692" t="s">
        <v>5</v>
      </c>
      <c r="E14" s="1604" t="s">
        <v>5</v>
      </c>
    </row>
    <row r="15" spans="1:5" ht="49.5" x14ac:dyDescent="0.25">
      <c r="A15" s="1563" t="s">
        <v>592</v>
      </c>
      <c r="B15" s="1677" t="s">
        <v>361</v>
      </c>
      <c r="C15" s="1627"/>
      <c r="D15" s="1578" t="s">
        <v>5</v>
      </c>
      <c r="E15" s="1605" t="s">
        <v>5</v>
      </c>
    </row>
    <row r="16" spans="1:5" ht="49.5" x14ac:dyDescent="0.25">
      <c r="A16" s="1668" t="s">
        <v>615</v>
      </c>
      <c r="B16" s="1678" t="s">
        <v>390</v>
      </c>
      <c r="C16" s="1628"/>
      <c r="D16" s="1579" t="s">
        <v>5</v>
      </c>
      <c r="E16" s="1606" t="s">
        <v>5</v>
      </c>
    </row>
    <row r="17" spans="1:5" ht="49.5" x14ac:dyDescent="0.25">
      <c r="A17" s="1564" t="s">
        <v>593</v>
      </c>
      <c r="B17" s="1679" t="s">
        <v>354</v>
      </c>
      <c r="C17" s="1629"/>
      <c r="D17" s="1584" t="s">
        <v>5</v>
      </c>
      <c r="E17" s="1607" t="s">
        <v>5</v>
      </c>
    </row>
    <row r="18" spans="1:5" ht="49.5" x14ac:dyDescent="0.25">
      <c r="A18" s="1569" t="s">
        <v>596</v>
      </c>
      <c r="B18" s="1672" t="s">
        <v>355</v>
      </c>
      <c r="C18" s="1630"/>
      <c r="D18" s="1585" t="s">
        <v>5</v>
      </c>
      <c r="E18" s="1608" t="s">
        <v>5</v>
      </c>
    </row>
    <row r="19" spans="1:5" ht="16.5" x14ac:dyDescent="0.25">
      <c r="A19" s="1544" t="s">
        <v>580</v>
      </c>
      <c r="B19" s="1545" t="s">
        <v>521</v>
      </c>
      <c r="C19" s="1546"/>
      <c r="D19" s="1547" t="s">
        <v>5</v>
      </c>
      <c r="E19" s="1548" t="s">
        <v>5</v>
      </c>
    </row>
    <row r="20" spans="1:5" ht="66" x14ac:dyDescent="0.25">
      <c r="A20" s="1570" t="s">
        <v>597</v>
      </c>
      <c r="B20" s="1542" t="s">
        <v>574</v>
      </c>
      <c r="C20" s="1631"/>
      <c r="D20" s="1586" t="s">
        <v>5</v>
      </c>
      <c r="E20" s="1609" t="s">
        <v>5</v>
      </c>
    </row>
    <row r="21" spans="1:5" ht="33" x14ac:dyDescent="0.25">
      <c r="A21" s="1571" t="s">
        <v>598</v>
      </c>
      <c r="B21" s="1673" t="s">
        <v>575</v>
      </c>
      <c r="C21" s="1632"/>
      <c r="D21" s="1587" t="s">
        <v>5</v>
      </c>
      <c r="E21" s="1610" t="s">
        <v>5</v>
      </c>
    </row>
    <row r="22" spans="1:5" ht="49.5" x14ac:dyDescent="0.25">
      <c r="A22" s="1572" t="s">
        <v>599</v>
      </c>
      <c r="B22" s="1680" t="s">
        <v>522</v>
      </c>
      <c r="C22" s="1633"/>
      <c r="D22" s="1520" t="s">
        <v>5</v>
      </c>
      <c r="E22" s="1611" t="s">
        <v>5</v>
      </c>
    </row>
    <row r="23" spans="1:5" ht="33" x14ac:dyDescent="0.25">
      <c r="A23" s="1573" t="s">
        <v>583</v>
      </c>
      <c r="B23" s="1674" t="s">
        <v>522</v>
      </c>
      <c r="C23" s="1634"/>
      <c r="D23" s="1521" t="s">
        <v>5</v>
      </c>
      <c r="E23" s="1612" t="s">
        <v>5</v>
      </c>
    </row>
    <row r="24" spans="1:5" ht="49.5" x14ac:dyDescent="0.25">
      <c r="A24" s="1591" t="s">
        <v>584</v>
      </c>
      <c r="B24" s="1543" t="s">
        <v>569</v>
      </c>
      <c r="C24" s="1635"/>
      <c r="D24" s="1522" t="s">
        <v>5</v>
      </c>
      <c r="E24" s="1613" t="s">
        <v>5</v>
      </c>
    </row>
    <row r="25" spans="1:5" ht="33" x14ac:dyDescent="0.25">
      <c r="A25" s="1549" t="s">
        <v>581</v>
      </c>
      <c r="B25" s="1675" t="s">
        <v>616</v>
      </c>
      <c r="C25" s="1636"/>
      <c r="D25" s="1523" t="s">
        <v>5</v>
      </c>
      <c r="E25" s="1614" t="s">
        <v>5</v>
      </c>
    </row>
    <row r="26" spans="1:5" ht="49.5" x14ac:dyDescent="0.25">
      <c r="A26" s="1651" t="s">
        <v>610</v>
      </c>
      <c r="B26" s="1657" t="s">
        <v>606</v>
      </c>
      <c r="C26" s="1637"/>
      <c r="D26" s="1524" t="s">
        <v>5</v>
      </c>
      <c r="E26" s="1615" t="s">
        <v>5</v>
      </c>
    </row>
    <row r="27" spans="1:5" ht="33" x14ac:dyDescent="0.25">
      <c r="A27" s="1595" t="s">
        <v>583</v>
      </c>
      <c r="B27" s="1647" t="s">
        <v>606</v>
      </c>
      <c r="C27" s="1638"/>
      <c r="D27" s="1525" t="s">
        <v>5</v>
      </c>
      <c r="E27" s="1616" t="s">
        <v>5</v>
      </c>
    </row>
    <row r="28" spans="1:5" ht="33" x14ac:dyDescent="0.25">
      <c r="A28" s="1574" t="s">
        <v>535</v>
      </c>
      <c r="B28" s="1555" t="s">
        <v>585</v>
      </c>
      <c r="C28" s="1639"/>
      <c r="D28" s="1526" t="s">
        <v>5</v>
      </c>
      <c r="E28" s="1617" t="s">
        <v>5</v>
      </c>
    </row>
    <row r="29" spans="1:5" ht="49.5" x14ac:dyDescent="0.25">
      <c r="A29" s="1653" t="s">
        <v>568</v>
      </c>
      <c r="B29" s="1556" t="s">
        <v>586</v>
      </c>
      <c r="C29" s="1580"/>
      <c r="D29" s="1527" t="s">
        <v>5</v>
      </c>
      <c r="E29" s="1618" t="s">
        <v>5</v>
      </c>
    </row>
    <row r="30" spans="1:5" ht="82.5" x14ac:dyDescent="0.25">
      <c r="A30" s="1654" t="s">
        <v>612</v>
      </c>
      <c r="B30" s="1557" t="s">
        <v>587</v>
      </c>
      <c r="C30" s="1581"/>
      <c r="D30" s="1528" t="s">
        <v>5</v>
      </c>
      <c r="E30" s="1583" t="s">
        <v>5</v>
      </c>
    </row>
    <row r="31" spans="1:5" ht="33" x14ac:dyDescent="0.25">
      <c r="A31" s="1565" t="s">
        <v>594</v>
      </c>
      <c r="B31" s="1652" t="s">
        <v>611</v>
      </c>
      <c r="C31" s="1582"/>
      <c r="D31" s="1529" t="s">
        <v>5</v>
      </c>
      <c r="E31" s="1640" t="s">
        <v>5</v>
      </c>
    </row>
    <row r="32" spans="1:5" ht="49.5" x14ac:dyDescent="0.25">
      <c r="A32" s="1669" t="s">
        <v>599</v>
      </c>
      <c r="B32" s="1558" t="s">
        <v>588</v>
      </c>
      <c r="C32" s="1518"/>
      <c r="D32" s="1530" t="s">
        <v>5</v>
      </c>
      <c r="E32" s="1641" t="s">
        <v>5</v>
      </c>
    </row>
    <row r="33" spans="1:5" ht="33" x14ac:dyDescent="0.25">
      <c r="A33" s="1551" t="s">
        <v>583</v>
      </c>
      <c r="B33" s="1559" t="s">
        <v>588</v>
      </c>
      <c r="C33" s="1519"/>
      <c r="D33" s="1531" t="s">
        <v>5</v>
      </c>
      <c r="E33" s="1642" t="s">
        <v>5</v>
      </c>
    </row>
    <row r="34" spans="1:5" ht="33" x14ac:dyDescent="0.25">
      <c r="A34" s="1553" t="s">
        <v>581</v>
      </c>
      <c r="B34" s="1560" t="s">
        <v>589</v>
      </c>
      <c r="C34" s="1662"/>
      <c r="D34" s="1532" t="s">
        <v>5</v>
      </c>
      <c r="E34" s="1643" t="s">
        <v>5</v>
      </c>
    </row>
    <row r="35" spans="1:5" ht="49.5" x14ac:dyDescent="0.25">
      <c r="A35" s="1552" t="s">
        <v>584</v>
      </c>
      <c r="B35" s="1658" t="s">
        <v>613</v>
      </c>
      <c r="C35" s="1663"/>
      <c r="D35" s="1533" t="s">
        <v>5</v>
      </c>
      <c r="E35" s="1644" t="s">
        <v>5</v>
      </c>
    </row>
    <row r="36" spans="1:5" ht="49.5" x14ac:dyDescent="0.25">
      <c r="A36" s="1670" t="s">
        <v>610</v>
      </c>
      <c r="B36" s="1659" t="s">
        <v>601</v>
      </c>
      <c r="C36" s="1664"/>
      <c r="D36" s="1534" t="s">
        <v>5</v>
      </c>
      <c r="E36" s="1645" t="s">
        <v>5</v>
      </c>
    </row>
    <row r="37" spans="1:5" ht="33" x14ac:dyDescent="0.25">
      <c r="A37" s="1655" t="s">
        <v>583</v>
      </c>
      <c r="B37" s="1588" t="s">
        <v>601</v>
      </c>
      <c r="C37" s="1665"/>
      <c r="D37" s="1535" t="s">
        <v>5</v>
      </c>
      <c r="E37" s="1646" t="s">
        <v>5</v>
      </c>
    </row>
    <row r="38" spans="1:5" ht="33" x14ac:dyDescent="0.25">
      <c r="A38" s="1656" t="s">
        <v>535</v>
      </c>
      <c r="B38" s="1561" t="s">
        <v>590</v>
      </c>
      <c r="C38" s="1666"/>
      <c r="D38" s="1536" t="s">
        <v>5</v>
      </c>
      <c r="E38" s="1514" t="s">
        <v>5</v>
      </c>
    </row>
    <row r="39" spans="1:5" ht="49.5" x14ac:dyDescent="0.25">
      <c r="A39" s="1539" t="s">
        <v>568</v>
      </c>
      <c r="B39" s="1648" t="s">
        <v>607</v>
      </c>
      <c r="C39" s="1681"/>
      <c r="D39" s="1537" t="s">
        <v>5</v>
      </c>
      <c r="E39" s="1515" t="s">
        <v>5</v>
      </c>
    </row>
  </sheetData>
  <mergeCells count="2">
    <mergeCell ref="A1:E1"/>
    <mergeCell ref="A2:E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E39"/>
  <sheetViews>
    <sheetView workbookViewId="0"/>
  </sheetViews>
  <sheetFormatPr defaultRowHeight="15" x14ac:dyDescent="0.25"/>
  <cols>
    <col min="1" max="1" width="1" style="1693" bestFit="1" customWidth="1"/>
    <col min="2" max="5" width="1" bestFit="1" customWidth="1"/>
  </cols>
  <sheetData>
    <row r="4" spans="1:5" x14ac:dyDescent="0.25">
      <c r="A4" t="str">
        <f>CONCATENATE(610791,",",ROW(PLCTTHDMGUTCKHTT_06612!A4),"|",COLUMN(PLCTTHDMGUTCKHTT_06612!A4),",0",",0")</f>
        <v>610791,4|1,0,0</v>
      </c>
      <c r="B4" t="str">
        <f>CONCATENATE(610875,",",ROW(PLCTTHDMGUTCKHTT_06612!B4),"|",COLUMN(PLCTTHDMGUTCKHTT_06612!B4),",0",",0")</f>
        <v>610875,4|2,0,0</v>
      </c>
      <c r="C4" t="str">
        <f>CONCATENATE(610909,",",ROW(PLCTTHDMGUTCKHTT_06612!C4),"|",COLUMN(PLCTTHDMGUTCKHTT_06612!C4),",0",",0")</f>
        <v>610909,4|3,0,0</v>
      </c>
      <c r="D4" t="str">
        <f>CONCATENATE(610802,",",ROW(PLCTTHDMGUTCKHTT_06612!D4),"|",COLUMN(PLCTTHDMGUTCKHTT_06612!D4),",0",",0")</f>
        <v>610802,4|4,0,0</v>
      </c>
      <c r="E4" t="str">
        <f>CONCATENATE(610793,",",ROW(PLCTTHDMGUTCKHTT_06612!E4),"|",COLUMN(PLCTTHDMGUTCKHTT_06612!E4),",0",",0")</f>
        <v>610793,4|5,0,0</v>
      </c>
    </row>
    <row r="5" spans="1:5" x14ac:dyDescent="0.25">
      <c r="A5" t="str">
        <f>CONCATENATE(610819,",",ROW(PLCTTHDMGUTCKHTT_06612!A5),"|",COLUMN(PLCTTHDMGUTCKHTT_06612!A5),",0",",0")</f>
        <v>610819,5|1,0,0</v>
      </c>
      <c r="B5" t="s">
        <v>5</v>
      </c>
      <c r="C5" t="str">
        <f>CONCATENATE(610908,",",ROW(PLCTTHDMGUTCKHTT_06612!C5),"|",COLUMN(PLCTTHDMGUTCKHTT_06612!C5),",0",",0")</f>
        <v>610908,5|3,0,0</v>
      </c>
      <c r="D5" t="str">
        <f>CONCATENATE(610762,",",ROW(PLCTTHDMGUTCKHTT_06612!D5),"|",COLUMN(PLCTTHDMGUTCKHTT_06612!D5),",0",",0")</f>
        <v>610762,5|4,0,0</v>
      </c>
      <c r="E5" t="str">
        <f>CONCATENATE(610739,",",ROW(PLCTTHDMGUTCKHTT_06612!E5),"|",COLUMN(PLCTTHDMGUTCKHTT_06612!E5),",0",",0")</f>
        <v>610739,5|5,0,0</v>
      </c>
    </row>
    <row r="6" spans="1:5" x14ac:dyDescent="0.25">
      <c r="A6" t="str">
        <f>CONCATENATE(610803,",",ROW(PLCTTHDMGUTCKHTT_06612!A6),"|",COLUMN(PLCTTHDMGUTCKHTT_06612!A6),",0",",0")</f>
        <v>610803,6|1,0,0</v>
      </c>
      <c r="B6" t="str">
        <f>CONCATENATE(610897,",",ROW(PLCTTHDMGUTCKHTT_06612!B6),"|",COLUMN(PLCTTHDMGUTCKHTT_06612!B6),",0",",0")</f>
        <v>610897,6|2,0,0</v>
      </c>
      <c r="C6" t="str">
        <f>CONCATENATE(610845,",",ROW(PLCTTHDMGUTCKHTT_06612!C6),"|",COLUMN(PLCTTHDMGUTCKHTT_06612!C6),",0",",0")</f>
        <v>610845,6|3,0,0</v>
      </c>
      <c r="D6" t="str">
        <f>CONCATENATE(610910,",",ROW(PLCTTHDMGUTCKHTT_06612!D6),"|",COLUMN(PLCTTHDMGUTCKHTT_06612!D6),",0",",0")</f>
        <v>610910,6|4,0,0</v>
      </c>
      <c r="E6" t="str">
        <f>CONCATENATE(610822,",",ROW(PLCTTHDMGUTCKHTT_06612!E6),"|",COLUMN(PLCTTHDMGUTCKHTT_06612!E6),",0",",0")</f>
        <v>610822,6|5,0,0</v>
      </c>
    </row>
    <row r="7" spans="1:5" x14ac:dyDescent="0.25">
      <c r="A7" t="str">
        <f>CONCATENATE(610794,",",ROW(PLCTTHDMGUTCKHTT_06612!A7),"|",COLUMN(PLCTTHDMGUTCKHTT_06612!A7),",0",",0")</f>
        <v>610794,7|1,0,0</v>
      </c>
      <c r="B7" t="str">
        <f>CONCATENATE(610886,",",ROW(PLCTTHDMGUTCKHTT_06612!B7),"|",COLUMN(PLCTTHDMGUTCKHTT_06612!B7),",0",",0")</f>
        <v>610886,7|2,0,0</v>
      </c>
      <c r="C7" t="str">
        <f>CONCATENATE(610741,",",ROW(PLCTTHDMGUTCKHTT_06612!C7),"|",COLUMN(PLCTTHDMGUTCKHTT_06612!C7),",0",",0")</f>
        <v>610741,7|3,0,0</v>
      </c>
      <c r="D7" t="str">
        <f>CONCATENATE(610911,",",ROW(PLCTTHDMGUTCKHTT_06612!D7),"|",COLUMN(PLCTTHDMGUTCKHTT_06612!D7),",0",",0")</f>
        <v>610911,7|4,0,0</v>
      </c>
      <c r="E7" t="str">
        <f>CONCATENATE(610823,",",ROW(PLCTTHDMGUTCKHTT_06612!E7),"|",COLUMN(PLCTTHDMGUTCKHTT_06612!E7),",0",",0")</f>
        <v>610823,7|5,0,0</v>
      </c>
    </row>
    <row r="8" spans="1:5" x14ac:dyDescent="0.25">
      <c r="A8" t="str">
        <f>CONCATENATE(610815,",",ROW(PLCTTHDMGUTCKHTT_06612!A8),"|",COLUMN(PLCTTHDMGUTCKHTT_06612!A8),",0",",0")</f>
        <v>610815,8|1,0,0</v>
      </c>
      <c r="B8" t="str">
        <f>CONCATENATE(610818,",",ROW(PLCTTHDMGUTCKHTT_06612!B8),"|",COLUMN(PLCTTHDMGUTCKHTT_06612!B8),",0",",0")</f>
        <v>610818,8|2,0,0</v>
      </c>
      <c r="C8" t="str">
        <f>CONCATENATE(610846,",",ROW(PLCTTHDMGUTCKHTT_06612!C8),"|",COLUMN(PLCTTHDMGUTCKHTT_06612!C8),",0",",0")</f>
        <v>610846,8|3,0,0</v>
      </c>
      <c r="D8" t="str">
        <f>CONCATENATE(610912,",",ROW(PLCTTHDMGUTCKHTT_06612!D8),"|",COLUMN(PLCTTHDMGUTCKHTT_06612!D8),",0",",0")</f>
        <v>610912,8|4,0,0</v>
      </c>
      <c r="E8" t="str">
        <f>CONCATENATE(610824,",",ROW(PLCTTHDMGUTCKHTT_06612!E8),"|",COLUMN(PLCTTHDMGUTCKHTT_06612!E8),",0",",0")</f>
        <v>610824,8|5,0,0</v>
      </c>
    </row>
    <row r="9" spans="1:5" x14ac:dyDescent="0.25">
      <c r="A9" t="str">
        <f>CONCATENATE(610816,",",ROW(PLCTTHDMGUTCKHTT_06612!A9),"|",COLUMN(PLCTTHDMGUTCKHTT_06612!A9),",0",",0")</f>
        <v>610816,9|1,0,0</v>
      </c>
      <c r="B9" t="str">
        <f>CONCATENATE(610887,",",ROW(PLCTTHDMGUTCKHTT_06612!B9),"|",COLUMN(PLCTTHDMGUTCKHTT_06612!B9),",0",",0")</f>
        <v>610887,9|2,0,0</v>
      </c>
      <c r="C9" t="str">
        <f>CONCATENATE(610847,",",ROW(PLCTTHDMGUTCKHTT_06612!C9),"|",COLUMN(PLCTTHDMGUTCKHTT_06612!C9),",0",",0")</f>
        <v>610847,9|3,0,0</v>
      </c>
      <c r="D9" t="str">
        <f>CONCATENATE(610913,",",ROW(PLCTTHDMGUTCKHTT_06612!D9),"|",COLUMN(PLCTTHDMGUTCKHTT_06612!D9),",0",",0")</f>
        <v>610913,9|4,0,0</v>
      </c>
      <c r="E9" t="str">
        <f>CONCATENATE(610825,",",ROW(PLCTTHDMGUTCKHTT_06612!E9),"|",COLUMN(PLCTTHDMGUTCKHTT_06612!E9),",0",",0")</f>
        <v>610825,9|5,0,0</v>
      </c>
    </row>
    <row r="10" spans="1:5" x14ac:dyDescent="0.25">
      <c r="A10" t="str">
        <f>CONCATENATE(610893,",",ROW(PLCTTHDMGUTCKHTT_06612!A10),"|",COLUMN(PLCTTHDMGUTCKHTT_06612!A10),",0",",0")</f>
        <v>610893,10|1,0,0</v>
      </c>
      <c r="B10" t="str">
        <f>CONCATENATE(610766,",",ROW(PLCTTHDMGUTCKHTT_06612!B10),"|",COLUMN(PLCTTHDMGUTCKHTT_06612!B10),",0",",0")</f>
        <v>610766,10|2,0,0</v>
      </c>
      <c r="C10" t="str">
        <f>CONCATENATE(610848,",",ROW(PLCTTHDMGUTCKHTT_06612!C10),"|",COLUMN(PLCTTHDMGUTCKHTT_06612!C10),",0",",0")</f>
        <v>610848,10|3,0,0</v>
      </c>
      <c r="D10" t="str">
        <f>CONCATENATE(610914,",",ROW(PLCTTHDMGUTCKHTT_06612!D10),"|",COLUMN(PLCTTHDMGUTCKHTT_06612!D10),",0",",0")</f>
        <v>610914,10|4,0,0</v>
      </c>
      <c r="E10" t="str">
        <f>CONCATENATE(610826,",",ROW(PLCTTHDMGUTCKHTT_06612!E10),"|",COLUMN(PLCTTHDMGUTCKHTT_06612!E10),",0",",0")</f>
        <v>610826,10|5,0,0</v>
      </c>
    </row>
    <row r="11" spans="1:5" x14ac:dyDescent="0.25">
      <c r="A11" t="str">
        <f>CONCATENATE(610876,",",ROW(PLCTTHDMGUTCKHTT_06612!A11),"|",COLUMN(PLCTTHDMGUTCKHTT_06612!A11),",0",",0")</f>
        <v>610876,11|1,0,0</v>
      </c>
      <c r="B11" t="str">
        <f>CONCATENATE(610801,",",ROW(PLCTTHDMGUTCKHTT_06612!B11),"|",COLUMN(PLCTTHDMGUTCKHTT_06612!B11),",0",",0")</f>
        <v>610801,11|2,0,0</v>
      </c>
      <c r="C11" t="str">
        <f>CONCATENATE(610849,",",ROW(PLCTTHDMGUTCKHTT_06612!C11),"|",COLUMN(PLCTTHDMGUTCKHTT_06612!C11),",0",",0")</f>
        <v>610849,11|3,0,0</v>
      </c>
      <c r="D11" t="str">
        <f>CONCATENATE(610915,",",ROW(PLCTTHDMGUTCKHTT_06612!D11),"|",COLUMN(PLCTTHDMGUTCKHTT_06612!D11),",0",",0")</f>
        <v>610915,11|4,0,0</v>
      </c>
      <c r="E11" t="str">
        <f>CONCATENATE(610827,",",ROW(PLCTTHDMGUTCKHTT_06612!E11),"|",COLUMN(PLCTTHDMGUTCKHTT_06612!E11),",0",",0")</f>
        <v>610827,11|5,0,0</v>
      </c>
    </row>
    <row r="12" spans="1:5" x14ac:dyDescent="0.25">
      <c r="A12" t="str">
        <f>CONCATENATE(610820,",",ROW(PLCTTHDMGUTCKHTT_06612!A12),"|",COLUMN(PLCTTHDMGUTCKHTT_06612!A12),",0",",0")</f>
        <v>610820,12|1,0,0</v>
      </c>
      <c r="B12" t="str">
        <f>CONCATENATE(610779,",",ROW(PLCTTHDMGUTCKHTT_06612!B12),"|",COLUMN(PLCTTHDMGUTCKHTT_06612!B12),",0",",0")</f>
        <v>610779,12|2,0,0</v>
      </c>
      <c r="C12" t="str">
        <f>CONCATENATE(610850,",",ROW(PLCTTHDMGUTCKHTT_06612!C12),"|",COLUMN(PLCTTHDMGUTCKHTT_06612!C12),",0",",0")</f>
        <v>610850,12|3,0,0</v>
      </c>
      <c r="D12" t="str">
        <f>CONCATENATE(610916,",",ROW(PLCTTHDMGUTCKHTT_06612!D12),"|",COLUMN(PLCTTHDMGUTCKHTT_06612!D12),",0",",0")</f>
        <v>610916,12|4,0,0</v>
      </c>
      <c r="E12" t="str">
        <f>CONCATENATE(610828,",",ROW(PLCTTHDMGUTCKHTT_06612!E12),"|",COLUMN(PLCTTHDMGUTCKHTT_06612!E12),",0",",0")</f>
        <v>610828,12|5,0,0</v>
      </c>
    </row>
    <row r="13" spans="1:5" x14ac:dyDescent="0.25">
      <c r="A13" t="str">
        <f>CONCATENATE(610775,",",ROW(PLCTTHDMGUTCKHTT_06612!A13),"|",COLUMN(PLCTTHDMGUTCKHTT_06612!A13),",0",",0")</f>
        <v>610775,13|1,0,0</v>
      </c>
      <c r="B13" t="str">
        <f>CONCATENATE(610902,",",ROW(PLCTTHDMGUTCKHTT_06612!B13),"|",COLUMN(PLCTTHDMGUTCKHTT_06612!B13),",0",",0")</f>
        <v>610902,13|2,0,0</v>
      </c>
      <c r="C13" t="str">
        <f>CONCATENATE(610851,",",ROW(PLCTTHDMGUTCKHTT_06612!C13),"|",COLUMN(PLCTTHDMGUTCKHTT_06612!C13),",0",",0")</f>
        <v>610851,13|3,0,0</v>
      </c>
      <c r="D13" t="str">
        <f>CONCATENATE(610917,",",ROW(PLCTTHDMGUTCKHTT_06612!D13),"|",COLUMN(PLCTTHDMGUTCKHTT_06612!D13),",0",",0")</f>
        <v>610917,13|4,0,0</v>
      </c>
      <c r="E13" t="str">
        <f>CONCATENATE(610829,",",ROW(PLCTTHDMGUTCKHTT_06612!E13),"|",COLUMN(PLCTTHDMGUTCKHTT_06612!E13),",0",",0")</f>
        <v>610829,13|5,0,0</v>
      </c>
    </row>
    <row r="14" spans="1:5" x14ac:dyDescent="0.25">
      <c r="A14" t="str">
        <f>CONCATENATE(610787,",",ROW(PLCTTHDMGUTCKHTT_06612!A14),"|",COLUMN(PLCTTHDMGUTCKHTT_06612!A14),",0",",0")</f>
        <v>610787,14|1,0,0</v>
      </c>
      <c r="B14" t="str">
        <f>CONCATENATE(610765,",",ROW(PLCTTHDMGUTCKHTT_06612!B14),"|",COLUMN(PLCTTHDMGUTCKHTT_06612!B14),",0",",0")</f>
        <v>610765,14|2,0,0</v>
      </c>
      <c r="C14" t="str">
        <f>CONCATENATE(610852,",",ROW(PLCTTHDMGUTCKHTT_06612!C14),"|",COLUMN(PLCTTHDMGUTCKHTT_06612!C14),",0",",0")</f>
        <v>610852,14|3,0,0</v>
      </c>
      <c r="D14" t="str">
        <f>CONCATENATE(610918,",",ROW(PLCTTHDMGUTCKHTT_06612!D14),"|",COLUMN(PLCTTHDMGUTCKHTT_06612!D14),",0",",0")</f>
        <v>610918,14|4,0,0</v>
      </c>
      <c r="E14" t="str">
        <f>CONCATENATE(610830,",",ROW(PLCTTHDMGUTCKHTT_06612!E14),"|",COLUMN(PLCTTHDMGUTCKHTT_06612!E14),",0",",0")</f>
        <v>610830,14|5,0,0</v>
      </c>
    </row>
    <row r="15" spans="1:5" x14ac:dyDescent="0.25">
      <c r="A15" t="str">
        <f>CONCATENATE(610788,",",ROW(PLCTTHDMGUTCKHTT_06612!A15),"|",COLUMN(PLCTTHDMGUTCKHTT_06612!A15),",0",",0")</f>
        <v>610788,15|1,0,0</v>
      </c>
      <c r="B15" t="str">
        <f>CONCATENATE(610903,",",ROW(PLCTTHDMGUTCKHTT_06612!B15),"|",COLUMN(PLCTTHDMGUTCKHTT_06612!B15),",0",",0")</f>
        <v>610903,15|2,0,0</v>
      </c>
      <c r="C15" t="str">
        <f>CONCATENATE(610853,",",ROW(PLCTTHDMGUTCKHTT_06612!C15),"|",COLUMN(PLCTTHDMGUTCKHTT_06612!C15),",0",",0")</f>
        <v>610853,15|3,0,0</v>
      </c>
      <c r="D15" t="str">
        <f>CONCATENATE(610804,",",ROW(PLCTTHDMGUTCKHTT_06612!D15),"|",COLUMN(PLCTTHDMGUTCKHTT_06612!D15),",0",",0")</f>
        <v>610804,15|4,0,0</v>
      </c>
      <c r="E15" t="str">
        <f>CONCATENATE(610831,",",ROW(PLCTTHDMGUTCKHTT_06612!E15),"|",COLUMN(PLCTTHDMGUTCKHTT_06612!E15),",0",",0")</f>
        <v>610831,15|5,0,0</v>
      </c>
    </row>
    <row r="16" spans="1:5" x14ac:dyDescent="0.25">
      <c r="A16" t="str">
        <f>CONCATENATE(610894,",",ROW(PLCTTHDMGUTCKHTT_06612!A16),"|",COLUMN(PLCTTHDMGUTCKHTT_06612!A16),",0",",0")</f>
        <v>610894,16|1,0,0</v>
      </c>
      <c r="B16" t="str">
        <f>CONCATENATE(610904,",",ROW(PLCTTHDMGUTCKHTT_06612!B16),"|",COLUMN(PLCTTHDMGUTCKHTT_06612!B16),",0",",0")</f>
        <v>610904,16|2,0,0</v>
      </c>
      <c r="C16" t="str">
        <f>CONCATENATE(610854,",",ROW(PLCTTHDMGUTCKHTT_06612!C16),"|",COLUMN(PLCTTHDMGUTCKHTT_06612!C16),",0",",0")</f>
        <v>610854,16|3,0,0</v>
      </c>
      <c r="D16" t="str">
        <f>CONCATENATE(610805,",",ROW(PLCTTHDMGUTCKHTT_06612!D16),"|",COLUMN(PLCTTHDMGUTCKHTT_06612!D16),",0",",0")</f>
        <v>610805,16|4,0,0</v>
      </c>
      <c r="E16" t="str">
        <f>CONCATENATE(610832,",",ROW(PLCTTHDMGUTCKHTT_06612!E16),"|",COLUMN(PLCTTHDMGUTCKHTT_06612!E16),",0",",0")</f>
        <v>610832,16|5,0,0</v>
      </c>
    </row>
    <row r="17" spans="1:5" x14ac:dyDescent="0.25">
      <c r="A17" t="str">
        <f>CONCATENATE(610789,",",ROW(PLCTTHDMGUTCKHTT_06612!A17),"|",COLUMN(PLCTTHDMGUTCKHTT_06612!A17),",0",",0")</f>
        <v>610789,17|1,0,0</v>
      </c>
      <c r="B17" t="str">
        <f>CONCATENATE(610905,",",ROW(PLCTTHDMGUTCKHTT_06612!B17),"|",COLUMN(PLCTTHDMGUTCKHTT_06612!B17),",0",",0")</f>
        <v>610905,17|2,0,0</v>
      </c>
      <c r="C17" t="str">
        <f>CONCATENATE(610855,",",ROW(PLCTTHDMGUTCKHTT_06612!C17),"|",COLUMN(PLCTTHDMGUTCKHTT_06612!C17),",0",",0")</f>
        <v>610855,17|3,0,0</v>
      </c>
      <c r="D17" t="str">
        <f>CONCATENATE(610810,",",ROW(PLCTTHDMGUTCKHTT_06612!D17),"|",COLUMN(PLCTTHDMGUTCKHTT_06612!D17),",0",",0")</f>
        <v>610810,17|4,0,0</v>
      </c>
      <c r="E17" t="str">
        <f>CONCATENATE(610833,",",ROW(PLCTTHDMGUTCKHTT_06612!E17),"|",COLUMN(PLCTTHDMGUTCKHTT_06612!E17),",0",",0")</f>
        <v>610833,17|5,0,0</v>
      </c>
    </row>
    <row r="18" spans="1:5" x14ac:dyDescent="0.25">
      <c r="A18" t="str">
        <f>CONCATENATE(610795,",",ROW(PLCTTHDMGUTCKHTT_06612!A18),"|",COLUMN(PLCTTHDMGUTCKHTT_06612!A18),",0",",0")</f>
        <v>610795,18|1,0,0</v>
      </c>
      <c r="B18" t="str">
        <f>CONCATENATE(610898,",",ROW(PLCTTHDMGUTCKHTT_06612!B18),"|",COLUMN(PLCTTHDMGUTCKHTT_06612!B18),",0",",0")</f>
        <v>610898,18|2,0,0</v>
      </c>
      <c r="C18" t="str">
        <f>CONCATENATE(610856,",",ROW(PLCTTHDMGUTCKHTT_06612!C18),"|",COLUMN(PLCTTHDMGUTCKHTT_06612!C18),",0",",0")</f>
        <v>610856,18|3,0,0</v>
      </c>
      <c r="D18" t="str">
        <f>CONCATENATE(610811,",",ROW(PLCTTHDMGUTCKHTT_06612!D18),"|",COLUMN(PLCTTHDMGUTCKHTT_06612!D18),",0",",0")</f>
        <v>610811,18|4,0,0</v>
      </c>
      <c r="E18" t="str">
        <f>CONCATENATE(610834,",",ROW(PLCTTHDMGUTCKHTT_06612!E18),"|",COLUMN(PLCTTHDMGUTCKHTT_06612!E18),",0",",0")</f>
        <v>610834,18|5,0,0</v>
      </c>
    </row>
    <row r="19" spans="1:5" x14ac:dyDescent="0.25">
      <c r="A19" t="str">
        <f>CONCATENATE(610769,",",ROW(PLCTTHDMGUTCKHTT_06612!A19),"|",COLUMN(PLCTTHDMGUTCKHTT_06612!A19),",0",",0")</f>
        <v>610769,19|1,0,0</v>
      </c>
      <c r="B19" t="str">
        <f>CONCATENATE(610770,",",ROW(PLCTTHDMGUTCKHTT_06612!B19),"|",COLUMN(PLCTTHDMGUTCKHTT_06612!B19),",0",",0")</f>
        <v>610770,19|2,0,0</v>
      </c>
      <c r="C19" t="str">
        <f>CONCATENATE(610771,",",ROW(PLCTTHDMGUTCKHTT_06612!C19),"|",COLUMN(PLCTTHDMGUTCKHTT_06612!C19),",0",",0")</f>
        <v>610771,19|3,0,0</v>
      </c>
      <c r="D19" t="str">
        <f>CONCATENATE(610772,",",ROW(PLCTTHDMGUTCKHTT_06612!D19),"|",COLUMN(PLCTTHDMGUTCKHTT_06612!D19),",0",",0")</f>
        <v>610772,19|4,0,0</v>
      </c>
      <c r="E19" t="str">
        <f>CONCATENATE(610773,",",ROW(PLCTTHDMGUTCKHTT_06612!E19),"|",COLUMN(PLCTTHDMGUTCKHTT_06612!E19),",0",",0")</f>
        <v>610773,19|5,0,0</v>
      </c>
    </row>
    <row r="20" spans="1:5" x14ac:dyDescent="0.25">
      <c r="A20" t="str">
        <f>CONCATENATE(610796,",",ROW(PLCTTHDMGUTCKHTT_06612!A20),"|",COLUMN(PLCTTHDMGUTCKHTT_06612!A20),",0",",0")</f>
        <v>610796,20|1,0,0</v>
      </c>
      <c r="B20" t="str">
        <f>CONCATENATE(610767,",",ROW(PLCTTHDMGUTCKHTT_06612!B20),"|",COLUMN(PLCTTHDMGUTCKHTT_06612!B20),",0",",0")</f>
        <v>610767,20|2,0,0</v>
      </c>
      <c r="C20" t="str">
        <f>CONCATENATE(610857,",",ROW(PLCTTHDMGUTCKHTT_06612!C20),"|",COLUMN(PLCTTHDMGUTCKHTT_06612!C20),",0",",0")</f>
        <v>610857,20|3,0,0</v>
      </c>
      <c r="D20" t="str">
        <f>CONCATENATE(610812,",",ROW(PLCTTHDMGUTCKHTT_06612!D20),"|",COLUMN(PLCTTHDMGUTCKHTT_06612!D20),",0",",0")</f>
        <v>610812,20|4,0,0</v>
      </c>
      <c r="E20" t="str">
        <f>CONCATENATE(610835,",",ROW(PLCTTHDMGUTCKHTT_06612!E20),"|",COLUMN(PLCTTHDMGUTCKHTT_06612!E20),",0",",0")</f>
        <v>610835,20|5,0,0</v>
      </c>
    </row>
    <row r="21" spans="1:5" x14ac:dyDescent="0.25">
      <c r="A21" t="str">
        <f>CONCATENATE(610797,",",ROW(PLCTTHDMGUTCKHTT_06612!A21),"|",COLUMN(PLCTTHDMGUTCKHTT_06612!A21),",0",",0")</f>
        <v>610797,21|1,0,0</v>
      </c>
      <c r="B21" t="str">
        <f>CONCATENATE(610899,",",ROW(PLCTTHDMGUTCKHTT_06612!B21),"|",COLUMN(PLCTTHDMGUTCKHTT_06612!B21),",0",",0")</f>
        <v>610899,21|2,0,0</v>
      </c>
      <c r="C21" t="str">
        <f>CONCATENATE(610858,",",ROW(PLCTTHDMGUTCKHTT_06612!C21),"|",COLUMN(PLCTTHDMGUTCKHTT_06612!C21),",0",",0")</f>
        <v>610858,21|3,0,0</v>
      </c>
      <c r="D21" t="str">
        <f>CONCATENATE(610813,",",ROW(PLCTTHDMGUTCKHTT_06612!D21),"|",COLUMN(PLCTTHDMGUTCKHTT_06612!D21),",0",",0")</f>
        <v>610813,21|4,0,0</v>
      </c>
      <c r="E21" t="str">
        <f>CONCATENATE(610836,",",ROW(PLCTTHDMGUTCKHTT_06612!E21),"|",COLUMN(PLCTTHDMGUTCKHTT_06612!E21),",0",",0")</f>
        <v>610836,21|5,0,0</v>
      </c>
    </row>
    <row r="22" spans="1:5" x14ac:dyDescent="0.25">
      <c r="A22" t="str">
        <f>CONCATENATE(610798,",",ROW(PLCTTHDMGUTCKHTT_06612!A22),"|",COLUMN(PLCTTHDMGUTCKHTT_06612!A22),",0",",0")</f>
        <v>610798,22|1,0,0</v>
      </c>
      <c r="B22" t="str">
        <f>CONCATENATE(610906,",",ROW(PLCTTHDMGUTCKHTT_06612!B22),"|",COLUMN(PLCTTHDMGUTCKHTT_06612!B22),",0",",0")</f>
        <v>610906,22|2,0,0</v>
      </c>
      <c r="C22" t="str">
        <f>CONCATENATE(610859,",",ROW(PLCTTHDMGUTCKHTT_06612!C22),"|",COLUMN(PLCTTHDMGUTCKHTT_06612!C22),",0",",0")</f>
        <v>610859,22|3,0,0</v>
      </c>
      <c r="D22" t="str">
        <f>CONCATENATE(610744,",",ROW(PLCTTHDMGUTCKHTT_06612!D22),"|",COLUMN(PLCTTHDMGUTCKHTT_06612!D22),",0",",0")</f>
        <v>610744,22|4,0,0</v>
      </c>
      <c r="E22" t="str">
        <f>CONCATENATE(610837,",",ROW(PLCTTHDMGUTCKHTT_06612!E22),"|",COLUMN(PLCTTHDMGUTCKHTT_06612!E22),",0",",0")</f>
        <v>610837,22|5,0,0</v>
      </c>
    </row>
    <row r="23" spans="1:5" x14ac:dyDescent="0.25">
      <c r="A23" t="str">
        <f>CONCATENATE(610799,",",ROW(PLCTTHDMGUTCKHTT_06612!A23),"|",COLUMN(PLCTTHDMGUTCKHTT_06612!A23),",0",",0")</f>
        <v>610799,23|1,0,0</v>
      </c>
      <c r="B23" t="str">
        <f>CONCATENATE(610900,",",ROW(PLCTTHDMGUTCKHTT_06612!B23),"|",COLUMN(PLCTTHDMGUTCKHTT_06612!B23),",0",",0")</f>
        <v>610900,23|2,0,0</v>
      </c>
      <c r="C23" t="str">
        <f>CONCATENATE(610860,",",ROW(PLCTTHDMGUTCKHTT_06612!C23),"|",COLUMN(PLCTTHDMGUTCKHTT_06612!C23),",0",",0")</f>
        <v>610860,23|3,0,0</v>
      </c>
      <c r="D23" t="str">
        <f>CONCATENATE(610745,",",ROW(PLCTTHDMGUTCKHTT_06612!D23),"|",COLUMN(PLCTTHDMGUTCKHTT_06612!D23),",0",",0")</f>
        <v>610745,23|4,0,0</v>
      </c>
      <c r="E23" t="str">
        <f>CONCATENATE(610838,",",ROW(PLCTTHDMGUTCKHTT_06612!E23),"|",COLUMN(PLCTTHDMGUTCKHTT_06612!E23),",0",",0")</f>
        <v>610838,23|5,0,0</v>
      </c>
    </row>
    <row r="24" spans="1:5" x14ac:dyDescent="0.25">
      <c r="A24" t="str">
        <f>CONCATENATE(610817,",",ROW(PLCTTHDMGUTCKHTT_06612!A24),"|",COLUMN(PLCTTHDMGUTCKHTT_06612!A24),",0",",0")</f>
        <v>610817,24|1,0,0</v>
      </c>
      <c r="B24" t="str">
        <f>CONCATENATE(610768,",",ROW(PLCTTHDMGUTCKHTT_06612!B24),"|",COLUMN(PLCTTHDMGUTCKHTT_06612!B24),",0",",0")</f>
        <v>610768,24|2,0,0</v>
      </c>
      <c r="C24" t="str">
        <f>CONCATENATE(610861,",",ROW(PLCTTHDMGUTCKHTT_06612!C24),"|",COLUMN(PLCTTHDMGUTCKHTT_06612!C24),",0",",0")</f>
        <v>610861,24|3,0,0</v>
      </c>
      <c r="D24" t="str">
        <f>CONCATENATE(610746,",",ROW(PLCTTHDMGUTCKHTT_06612!D24),"|",COLUMN(PLCTTHDMGUTCKHTT_06612!D24),",0",",0")</f>
        <v>610746,24|4,0,0</v>
      </c>
      <c r="E24" t="str">
        <f>CONCATENATE(610839,",",ROW(PLCTTHDMGUTCKHTT_06612!E24),"|",COLUMN(PLCTTHDMGUTCKHTT_06612!E24),",0",",0")</f>
        <v>610839,24|5,0,0</v>
      </c>
    </row>
    <row r="25" spans="1:5" x14ac:dyDescent="0.25">
      <c r="A25" t="str">
        <f>CONCATENATE(610774,",",ROW(PLCTTHDMGUTCKHTT_06612!A25),"|",COLUMN(PLCTTHDMGUTCKHTT_06612!A25),",0",",0")</f>
        <v>610774,25|1,0,0</v>
      </c>
      <c r="B25" t="str">
        <f>CONCATENATE(610901,",",ROW(PLCTTHDMGUTCKHTT_06612!B25),"|",COLUMN(PLCTTHDMGUTCKHTT_06612!B25),",0",",0")</f>
        <v>610901,25|2,0,0</v>
      </c>
      <c r="C25" t="str">
        <f>CONCATENATE(610862,",",ROW(PLCTTHDMGUTCKHTT_06612!C25),"|",COLUMN(PLCTTHDMGUTCKHTT_06612!C25),",0",",0")</f>
        <v>610862,25|3,0,0</v>
      </c>
      <c r="D25" t="str">
        <f>CONCATENATE(610747,",",ROW(PLCTTHDMGUTCKHTT_06612!D25),"|",COLUMN(PLCTTHDMGUTCKHTT_06612!D25),",0",",0")</f>
        <v>610747,25|4,0,0</v>
      </c>
      <c r="E25" t="str">
        <f>CONCATENATE(610840,",",ROW(PLCTTHDMGUTCKHTT_06612!E25),"|",COLUMN(PLCTTHDMGUTCKHTT_06612!E25),",0",",0")</f>
        <v>610840,25|5,0,0</v>
      </c>
    </row>
    <row r="26" spans="1:5" x14ac:dyDescent="0.25">
      <c r="A26" t="str">
        <f>CONCATENATE(610877,",",ROW(PLCTTHDMGUTCKHTT_06612!A26),"|",COLUMN(PLCTTHDMGUTCKHTT_06612!A26),",0",",0")</f>
        <v>610877,26|1,0,0</v>
      </c>
      <c r="B26" t="str">
        <f>CONCATENATE(610883,",",ROW(PLCTTHDMGUTCKHTT_06612!B26),"|",COLUMN(PLCTTHDMGUTCKHTT_06612!B26),",0",",0")</f>
        <v>610883,26|2,0,0</v>
      </c>
      <c r="C26" t="str">
        <f>CONCATENATE(610863,",",ROW(PLCTTHDMGUTCKHTT_06612!C26),"|",COLUMN(PLCTTHDMGUTCKHTT_06612!C26),",0",",0")</f>
        <v>610863,26|3,0,0</v>
      </c>
      <c r="D26" t="str">
        <f>CONCATENATE(610748,",",ROW(PLCTTHDMGUTCKHTT_06612!D26),"|",COLUMN(PLCTTHDMGUTCKHTT_06612!D26),",0",",0")</f>
        <v>610748,26|4,0,0</v>
      </c>
      <c r="E26" t="str">
        <f>CONCATENATE(610841,",",ROW(PLCTTHDMGUTCKHTT_06612!E26),"|",COLUMN(PLCTTHDMGUTCKHTT_06612!E26),",0",",0")</f>
        <v>610841,26|5,0,0</v>
      </c>
    </row>
    <row r="27" spans="1:5" x14ac:dyDescent="0.25">
      <c r="A27" t="str">
        <f>CONCATENATE(610821,",",ROW(PLCTTHDMGUTCKHTT_06612!A27),"|",COLUMN(PLCTTHDMGUTCKHTT_06612!A27),",0",",0")</f>
        <v>610821,27|1,0,0</v>
      </c>
      <c r="B27" t="str">
        <f>CONCATENATE(610873,",",ROW(PLCTTHDMGUTCKHTT_06612!B27),"|",COLUMN(PLCTTHDMGUTCKHTT_06612!B27),",0",",0")</f>
        <v>610873,27|2,0,0</v>
      </c>
      <c r="C27" t="str">
        <f>CONCATENATE(610864,",",ROW(PLCTTHDMGUTCKHTT_06612!C27),"|",COLUMN(PLCTTHDMGUTCKHTT_06612!C27),",0",",0")</f>
        <v>610864,27|3,0,0</v>
      </c>
      <c r="D27" t="str">
        <f>CONCATENATE(610749,",",ROW(PLCTTHDMGUTCKHTT_06612!D27),"|",COLUMN(PLCTTHDMGUTCKHTT_06612!D27),",0",",0")</f>
        <v>610749,27|4,0,0</v>
      </c>
      <c r="E27" t="str">
        <f>CONCATENATE(610842,",",ROW(PLCTTHDMGUTCKHTT_06612!E27),"|",COLUMN(PLCTTHDMGUTCKHTT_06612!E27),",0",",0")</f>
        <v>610842,27|5,0,0</v>
      </c>
    </row>
    <row r="28" spans="1:5" x14ac:dyDescent="0.25">
      <c r="A28" t="str">
        <f>CONCATENATE(610800,",",ROW(PLCTTHDMGUTCKHTT_06612!A28),"|",COLUMN(PLCTTHDMGUTCKHTT_06612!A28),",0",",0")</f>
        <v>610800,28|1,0,0</v>
      </c>
      <c r="B28" t="str">
        <f>CONCATENATE(610780,",",ROW(PLCTTHDMGUTCKHTT_06612!B28),"|",COLUMN(PLCTTHDMGUTCKHTT_06612!B28),",0",",0")</f>
        <v>610780,28|2,0,0</v>
      </c>
      <c r="C28" t="str">
        <f>CONCATENATE(610865,",",ROW(PLCTTHDMGUTCKHTT_06612!C28),"|",COLUMN(PLCTTHDMGUTCKHTT_06612!C28),",0",",0")</f>
        <v>610865,28|3,0,0</v>
      </c>
      <c r="D28" t="str">
        <f>CONCATENATE(610750,",",ROW(PLCTTHDMGUTCKHTT_06612!D28),"|",COLUMN(PLCTTHDMGUTCKHTT_06612!D28),",0",",0")</f>
        <v>610750,28|4,0,0</v>
      </c>
      <c r="E28" t="str">
        <f>CONCATENATE(610843,",",ROW(PLCTTHDMGUTCKHTT_06612!E28),"|",COLUMN(PLCTTHDMGUTCKHTT_06612!E28),",0",",0")</f>
        <v>610843,28|5,0,0</v>
      </c>
    </row>
    <row r="29" spans="1:5" x14ac:dyDescent="0.25">
      <c r="A29" t="str">
        <f>CONCATENATE(610879,",",ROW(PLCTTHDMGUTCKHTT_06612!A29),"|",COLUMN(PLCTTHDMGUTCKHTT_06612!A29),",0",",0")</f>
        <v>610879,29|1,0,0</v>
      </c>
      <c r="B29" t="str">
        <f>CONCATENATE(610781,",",ROW(PLCTTHDMGUTCKHTT_06612!B29),"|",COLUMN(PLCTTHDMGUTCKHTT_06612!B29),",0",",0")</f>
        <v>610781,29|2,0,0</v>
      </c>
      <c r="C29" t="str">
        <f>CONCATENATE(610806,",",ROW(PLCTTHDMGUTCKHTT_06612!C29),"|",COLUMN(PLCTTHDMGUTCKHTT_06612!C29),",0",",0")</f>
        <v>610806,29|3,0,0</v>
      </c>
      <c r="D29" t="str">
        <f>CONCATENATE(610751,",",ROW(PLCTTHDMGUTCKHTT_06612!D29),"|",COLUMN(PLCTTHDMGUTCKHTT_06612!D29),",0",",0")</f>
        <v>610751,29|4,0,0</v>
      </c>
      <c r="E29" t="str">
        <f>CONCATENATE(610844,",",ROW(PLCTTHDMGUTCKHTT_06612!E29),"|",COLUMN(PLCTTHDMGUTCKHTT_06612!E29),",0",",0")</f>
        <v>610844,29|5,0,0</v>
      </c>
    </row>
    <row r="30" spans="1:5" x14ac:dyDescent="0.25">
      <c r="A30" t="str">
        <f>CONCATENATE(610880,",",ROW(PLCTTHDMGUTCKHTT_06612!A30),"|",COLUMN(PLCTTHDMGUTCKHTT_06612!A30),",0",",0")</f>
        <v>610880,30|1,0,0</v>
      </c>
      <c r="B30" t="str">
        <f>CONCATENATE(610782,",",ROW(PLCTTHDMGUTCKHTT_06612!B30),"|",COLUMN(PLCTTHDMGUTCKHTT_06612!B30),",0",",0")</f>
        <v>610782,30|2,0,0</v>
      </c>
      <c r="C30" t="str">
        <f>CONCATENATE(610807,",",ROW(PLCTTHDMGUTCKHTT_06612!C30),"|",COLUMN(PLCTTHDMGUTCKHTT_06612!C30),",0",",0")</f>
        <v>610807,30|3,0,0</v>
      </c>
      <c r="D30" t="str">
        <f>CONCATENATE(610752,",",ROW(PLCTTHDMGUTCKHTT_06612!D30),"|",COLUMN(PLCTTHDMGUTCKHTT_06612!D30),",0",",0")</f>
        <v>610752,30|4,0,0</v>
      </c>
      <c r="E30" t="str">
        <f>CONCATENATE(610809,",",ROW(PLCTTHDMGUTCKHTT_06612!E30),"|",COLUMN(PLCTTHDMGUTCKHTT_06612!E30),",0",",0")</f>
        <v>610809,30|5,0,0</v>
      </c>
    </row>
    <row r="31" spans="1:5" x14ac:dyDescent="0.25">
      <c r="A31" t="str">
        <f>CONCATENATE(610790,",",ROW(PLCTTHDMGUTCKHTT_06612!A31),"|",COLUMN(PLCTTHDMGUTCKHTT_06612!A31),",0",",0")</f>
        <v>610790,31|1,0,0</v>
      </c>
      <c r="B31" t="str">
        <f>CONCATENATE(610878,",",ROW(PLCTTHDMGUTCKHTT_06612!B31),"|",COLUMN(PLCTTHDMGUTCKHTT_06612!B31),",0",",0")</f>
        <v>610878,31|2,0,0</v>
      </c>
      <c r="C31" t="str">
        <f>CONCATENATE(610808,",",ROW(PLCTTHDMGUTCKHTT_06612!C31),"|",COLUMN(PLCTTHDMGUTCKHTT_06612!C31),",0",",0")</f>
        <v>610808,31|3,0,0</v>
      </c>
      <c r="D31" t="str">
        <f>CONCATENATE(610753,",",ROW(PLCTTHDMGUTCKHTT_06612!D31),"|",COLUMN(PLCTTHDMGUTCKHTT_06612!D31),",0",",0")</f>
        <v>610753,31|4,0,0</v>
      </c>
      <c r="E31" t="str">
        <f>CONCATENATE(610866,",",ROW(PLCTTHDMGUTCKHTT_06612!E31),"|",COLUMN(PLCTTHDMGUTCKHTT_06612!E31),",0",",0")</f>
        <v>610866,31|5,0,0</v>
      </c>
    </row>
    <row r="32" spans="1:5" x14ac:dyDescent="0.25">
      <c r="A32" t="str">
        <f>CONCATENATE(610895,",",ROW(PLCTTHDMGUTCKHTT_06612!A32),"|",COLUMN(PLCTTHDMGUTCKHTT_06612!A32),",0",",0")</f>
        <v>610895,32|1,0,0</v>
      </c>
      <c r="B32" t="str">
        <f>CONCATENATE(610783,",",ROW(PLCTTHDMGUTCKHTT_06612!B32),"|",COLUMN(PLCTTHDMGUTCKHTT_06612!B32),",0",",0")</f>
        <v>610783,32|2,0,0</v>
      </c>
      <c r="C32" t="str">
        <f>CONCATENATE(610742,",",ROW(PLCTTHDMGUTCKHTT_06612!C32),"|",COLUMN(PLCTTHDMGUTCKHTT_06612!C32),",0",",0")</f>
        <v>610742,32|3,0,0</v>
      </c>
      <c r="D32" t="str">
        <f>CONCATENATE(610754,",",ROW(PLCTTHDMGUTCKHTT_06612!D32),"|",COLUMN(PLCTTHDMGUTCKHTT_06612!D32),",0",",0")</f>
        <v>610754,32|4,0,0</v>
      </c>
      <c r="E32" t="str">
        <f>CONCATENATE(610867,",",ROW(PLCTTHDMGUTCKHTT_06612!E32),"|",COLUMN(PLCTTHDMGUTCKHTT_06612!E32),",0",",0")</f>
        <v>610867,32|5,0,0</v>
      </c>
    </row>
    <row r="33" spans="1:5" x14ac:dyDescent="0.25">
      <c r="A33" t="str">
        <f>CONCATENATE(610776,",",ROW(PLCTTHDMGUTCKHTT_06612!A33),"|",COLUMN(PLCTTHDMGUTCKHTT_06612!A33),",0",",0")</f>
        <v>610776,33|1,0,0</v>
      </c>
      <c r="B33" t="str">
        <f>CONCATENATE(610784,",",ROW(PLCTTHDMGUTCKHTT_06612!B33),"|",COLUMN(PLCTTHDMGUTCKHTT_06612!B33),",0",",0")</f>
        <v>610784,33|2,0,0</v>
      </c>
      <c r="C33" t="str">
        <f>CONCATENATE(610743,",",ROW(PLCTTHDMGUTCKHTT_06612!C33),"|",COLUMN(PLCTTHDMGUTCKHTT_06612!C33),",0",",0")</f>
        <v>610743,33|3,0,0</v>
      </c>
      <c r="D33" t="str">
        <f>CONCATENATE(610755,",",ROW(PLCTTHDMGUTCKHTT_06612!D33),"|",COLUMN(PLCTTHDMGUTCKHTT_06612!D33),",0",",0")</f>
        <v>610755,33|4,0,0</v>
      </c>
      <c r="E33" t="str">
        <f>CONCATENATE(610868,",",ROW(PLCTTHDMGUTCKHTT_06612!E33),"|",COLUMN(PLCTTHDMGUTCKHTT_06612!E33),",0",",0")</f>
        <v>610868,33|5,0,0</v>
      </c>
    </row>
    <row r="34" spans="1:5" x14ac:dyDescent="0.25">
      <c r="A34" t="str">
        <f>CONCATENATE(610778,",",ROW(PLCTTHDMGUTCKHTT_06612!A34),"|",COLUMN(PLCTTHDMGUTCKHTT_06612!A34),",0",",0")</f>
        <v>610778,34|1,0,0</v>
      </c>
      <c r="B34" t="str">
        <f>CONCATENATE(610785,",",ROW(PLCTTHDMGUTCKHTT_06612!B34),"|",COLUMN(PLCTTHDMGUTCKHTT_06612!B34),",0",",0")</f>
        <v>610785,34|2,0,0</v>
      </c>
      <c r="C34" t="str">
        <f>CONCATENATE(610888,",",ROW(PLCTTHDMGUTCKHTT_06612!C34),"|",COLUMN(PLCTTHDMGUTCKHTT_06612!C34),",0",",0")</f>
        <v>610888,34|3,0,0</v>
      </c>
      <c r="D34" t="str">
        <f>CONCATENATE(610756,",",ROW(PLCTTHDMGUTCKHTT_06612!D34),"|",COLUMN(PLCTTHDMGUTCKHTT_06612!D34),",0",",0")</f>
        <v>610756,34|4,0,0</v>
      </c>
      <c r="E34" t="str">
        <f>CONCATENATE(610869,",",ROW(PLCTTHDMGUTCKHTT_06612!E34),"|",COLUMN(PLCTTHDMGUTCKHTT_06612!E34),",0",",0")</f>
        <v>610869,34|5,0,0</v>
      </c>
    </row>
    <row r="35" spans="1:5" x14ac:dyDescent="0.25">
      <c r="A35" t="str">
        <f>CONCATENATE(610777,",",ROW(PLCTTHDMGUTCKHTT_06612!A35),"|",COLUMN(PLCTTHDMGUTCKHTT_06612!A35),",0",",0")</f>
        <v>610777,35|1,0,0</v>
      </c>
      <c r="B35" t="str">
        <f>CONCATENATE(610884,",",ROW(PLCTTHDMGUTCKHTT_06612!B35),"|",COLUMN(PLCTTHDMGUTCKHTT_06612!B35),",0",",0")</f>
        <v>610884,35|2,0,0</v>
      </c>
      <c r="C35" t="str">
        <f>CONCATENATE(610889,",",ROW(PLCTTHDMGUTCKHTT_06612!C35),"|",COLUMN(PLCTTHDMGUTCKHTT_06612!C35),",0",",0")</f>
        <v>610889,35|3,0,0</v>
      </c>
      <c r="D35" t="str">
        <f>CONCATENATE(610757,",",ROW(PLCTTHDMGUTCKHTT_06612!D35),"|",COLUMN(PLCTTHDMGUTCKHTT_06612!D35),",0",",0")</f>
        <v>610757,35|4,0,0</v>
      </c>
      <c r="E35" t="str">
        <f>CONCATENATE(610870,",",ROW(PLCTTHDMGUTCKHTT_06612!E35),"|",COLUMN(PLCTTHDMGUTCKHTT_06612!E35),",0",",0")</f>
        <v>610870,35|5,0,0</v>
      </c>
    </row>
    <row r="36" spans="1:5" x14ac:dyDescent="0.25">
      <c r="A36" t="str">
        <f>CONCATENATE(610896,",",ROW(PLCTTHDMGUTCKHTT_06612!A36),"|",COLUMN(PLCTTHDMGUTCKHTT_06612!A36),",0",",0")</f>
        <v>610896,36|1,0,0</v>
      </c>
      <c r="B36" t="str">
        <f>CONCATENATE(610885,",",ROW(PLCTTHDMGUTCKHTT_06612!B36),"|",COLUMN(PLCTTHDMGUTCKHTT_06612!B36),",0",",0")</f>
        <v>610885,36|2,0,0</v>
      </c>
      <c r="C36" t="str">
        <f>CONCATENATE(610890,",",ROW(PLCTTHDMGUTCKHTT_06612!C36),"|",COLUMN(PLCTTHDMGUTCKHTT_06612!C36),",0",",0")</f>
        <v>610890,36|3,0,0</v>
      </c>
      <c r="D36" t="str">
        <f>CONCATENATE(610758,",",ROW(PLCTTHDMGUTCKHTT_06612!D36),"|",COLUMN(PLCTTHDMGUTCKHTT_06612!D36),",0",",0")</f>
        <v>610758,36|4,0,0</v>
      </c>
      <c r="E36" t="str">
        <f>CONCATENATE(610871,",",ROW(PLCTTHDMGUTCKHTT_06612!E36),"|",COLUMN(PLCTTHDMGUTCKHTT_06612!E36),",0",",0")</f>
        <v>610871,36|5,0,0</v>
      </c>
    </row>
    <row r="37" spans="1:5" x14ac:dyDescent="0.25">
      <c r="A37" t="str">
        <f>CONCATENATE(610881,",",ROW(PLCTTHDMGUTCKHTT_06612!A37),"|",COLUMN(PLCTTHDMGUTCKHTT_06612!A37),",0",",0")</f>
        <v>610881,37|1,0,0</v>
      </c>
      <c r="B37" t="str">
        <f>CONCATENATE(610814,",",ROW(PLCTTHDMGUTCKHTT_06612!B37),"|",COLUMN(PLCTTHDMGUTCKHTT_06612!B37),",0",",0")</f>
        <v>610814,37|2,0,0</v>
      </c>
      <c r="C37" t="str">
        <f>CONCATENATE(610891,",",ROW(PLCTTHDMGUTCKHTT_06612!C37),"|",COLUMN(PLCTTHDMGUTCKHTT_06612!C37),",0",",0")</f>
        <v>610891,37|3,0,0</v>
      </c>
      <c r="D37" t="str">
        <f>CONCATENATE(610759,",",ROW(PLCTTHDMGUTCKHTT_06612!D37),"|",COLUMN(PLCTTHDMGUTCKHTT_06612!D37),",0",",0")</f>
        <v>610759,37|4,0,0</v>
      </c>
      <c r="E37" t="str">
        <f>CONCATENATE(610872,",",ROW(PLCTTHDMGUTCKHTT_06612!E37),"|",COLUMN(PLCTTHDMGUTCKHTT_06612!E37),",0",",0")</f>
        <v>610872,37|5,0,0</v>
      </c>
    </row>
    <row r="38" spans="1:5" x14ac:dyDescent="0.25">
      <c r="A38" t="str">
        <f>CONCATENATE(610882,",",ROW(PLCTTHDMGUTCKHTT_06612!A38),"|",COLUMN(PLCTTHDMGUTCKHTT_06612!A38),",0",",0")</f>
        <v>610882,38|1,0,0</v>
      </c>
      <c r="B38" t="str">
        <f>CONCATENATE(610786,",",ROW(PLCTTHDMGUTCKHTT_06612!B38),"|",COLUMN(PLCTTHDMGUTCKHTT_06612!B38),",0",",0")</f>
        <v>610786,38|2,0,0</v>
      </c>
      <c r="C38" t="str">
        <f>CONCATENATE(610892,",",ROW(PLCTTHDMGUTCKHTT_06612!C38),"|",COLUMN(PLCTTHDMGUTCKHTT_06612!C38),",0",",0")</f>
        <v>610892,38|3,0,0</v>
      </c>
      <c r="D38" t="str">
        <f>CONCATENATE(610760,",",ROW(PLCTTHDMGUTCKHTT_06612!D38),"|",COLUMN(PLCTTHDMGUTCKHTT_06612!D38),",0",",0")</f>
        <v>610760,38|4,0,0</v>
      </c>
      <c r="E38" t="str">
        <f>CONCATENATE(610737,",",ROW(PLCTTHDMGUTCKHTT_06612!E38),"|",COLUMN(PLCTTHDMGUTCKHTT_06612!E38),",0",",0")</f>
        <v>610737,38|5,0,0</v>
      </c>
    </row>
    <row r="39" spans="1:5" x14ac:dyDescent="0.25">
      <c r="A39" t="str">
        <f>CONCATENATE(610764,",",ROW(PLCTTHDMGUTCKHTT_06612!A39),"|",COLUMN(PLCTTHDMGUTCKHTT_06612!A39),",0",",0")</f>
        <v>610764,39|1,0,0</v>
      </c>
      <c r="B39" t="str">
        <f>CONCATENATE(610874,",",ROW(PLCTTHDMGUTCKHTT_06612!B39),"|",COLUMN(PLCTTHDMGUTCKHTT_06612!B39),",0",",0")</f>
        <v>610874,39|2,0,0</v>
      </c>
      <c r="C39" t="str">
        <f>CONCATENATE(610907,",",ROW(PLCTTHDMGUTCKHTT_06612!C39),"|",COLUMN(PLCTTHDMGUTCKHTT_06612!C39),",0",",0")</f>
        <v>610907,39|3,0,0</v>
      </c>
      <c r="D39" t="str">
        <f>CONCATENATE(610761,",",ROW(PLCTTHDMGUTCKHTT_06612!D39),"|",COLUMN(PLCTTHDMGUTCKHTT_06612!D39),",0",",0")</f>
        <v>610761,39|4,0,0</v>
      </c>
      <c r="E39" t="str">
        <f>CONCATENATE(610738,",",ROW(PLCTTHDMGUTCKHTT_06612!E39),"|",COLUMN(PLCTTHDMGUTCKHTT_06612!E39),",0",",0")</f>
        <v>610738,39|5,0,0</v>
      </c>
    </row>
  </sheetData>
  <sheetProtection password="CB7D" sheet="1" objects="1" scenarios="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topLeftCell="A73" workbookViewId="0">
      <selection activeCell="D7" sqref="D7:E80"/>
    </sheetView>
  </sheetViews>
  <sheetFormatPr defaultRowHeight="15" x14ac:dyDescent="0.25"/>
  <cols>
    <col min="1" max="1" width="31.28515625" bestFit="1" customWidth="1"/>
    <col min="2" max="2" width="12.7109375" bestFit="1" customWidth="1"/>
    <col min="3" max="3" width="16.7109375" bestFit="1" customWidth="1"/>
    <col min="4" max="4" width="12.7109375" bestFit="1" customWidth="1"/>
    <col min="5" max="5" width="14.42578125" bestFit="1" customWidth="1"/>
  </cols>
  <sheetData>
    <row r="1" spans="1:5" ht="20.25" x14ac:dyDescent="0.3">
      <c r="A1" s="2536" t="s">
        <v>20</v>
      </c>
      <c r="B1" s="2536" t="s">
        <v>5</v>
      </c>
      <c r="C1" s="2536" t="s">
        <v>5</v>
      </c>
      <c r="D1" s="2536" t="s">
        <v>5</v>
      </c>
      <c r="E1" s="2536" t="s">
        <v>5</v>
      </c>
    </row>
    <row r="2" spans="1:5" ht="18.75" x14ac:dyDescent="0.3">
      <c r="A2" s="2537" t="s">
        <v>617</v>
      </c>
      <c r="B2" s="2537" t="s">
        <v>5</v>
      </c>
      <c r="C2" s="2537" t="s">
        <v>5</v>
      </c>
      <c r="D2" s="2537" t="s">
        <v>5</v>
      </c>
      <c r="E2" s="2537" t="s">
        <v>5</v>
      </c>
    </row>
    <row r="3" spans="1:5" ht="18.75" x14ac:dyDescent="0.3">
      <c r="A3" s="2537" t="s">
        <v>46</v>
      </c>
      <c r="B3" s="2537" t="s">
        <v>5</v>
      </c>
      <c r="C3" s="2537" t="s">
        <v>5</v>
      </c>
      <c r="D3" s="2537" t="s">
        <v>5</v>
      </c>
      <c r="E3" s="2537" t="s">
        <v>5</v>
      </c>
    </row>
    <row r="4" spans="1:5" ht="18.75" x14ac:dyDescent="0.25">
      <c r="A4" s="1695" t="s">
        <v>40</v>
      </c>
      <c r="B4" s="1695" t="s">
        <v>41</v>
      </c>
      <c r="C4" s="1695" t="s">
        <v>42</v>
      </c>
      <c r="D4" s="1695" t="s">
        <v>398</v>
      </c>
      <c r="E4" s="1695" t="s">
        <v>399</v>
      </c>
    </row>
    <row r="5" spans="1:5" ht="16.5" x14ac:dyDescent="0.25">
      <c r="A5" s="2053" t="s">
        <v>288</v>
      </c>
      <c r="B5" s="1725" t="s">
        <v>74</v>
      </c>
      <c r="C5" s="2054" t="s">
        <v>283</v>
      </c>
      <c r="D5" s="2055" t="s">
        <v>147</v>
      </c>
      <c r="E5" s="1893" t="s">
        <v>284</v>
      </c>
    </row>
    <row r="6" spans="1:5" ht="49.5" x14ac:dyDescent="0.25">
      <c r="A6" s="1925" t="s">
        <v>539</v>
      </c>
      <c r="B6" s="1694" t="s">
        <v>5</v>
      </c>
      <c r="C6" s="1834"/>
      <c r="D6" s="1922" t="s">
        <v>5</v>
      </c>
      <c r="E6" s="1940" t="s">
        <v>5</v>
      </c>
    </row>
    <row r="7" spans="1:5" ht="49.5" x14ac:dyDescent="0.25">
      <c r="A7" s="2056" t="s">
        <v>706</v>
      </c>
      <c r="B7" s="1764" t="s">
        <v>147</v>
      </c>
      <c r="C7" s="1757"/>
      <c r="D7" s="1883">
        <v>160074272208</v>
      </c>
      <c r="E7" s="1870">
        <v>172485923734</v>
      </c>
    </row>
    <row r="8" spans="1:5" ht="33" x14ac:dyDescent="0.25">
      <c r="A8" s="1926" t="s">
        <v>681</v>
      </c>
      <c r="B8" s="1844" t="s">
        <v>284</v>
      </c>
      <c r="C8" s="1758"/>
      <c r="D8" s="1884">
        <v>40327037552</v>
      </c>
      <c r="E8" s="1871">
        <v>805662636</v>
      </c>
    </row>
    <row r="9" spans="1:5" ht="33" x14ac:dyDescent="0.25">
      <c r="A9" s="1709" t="s">
        <v>618</v>
      </c>
      <c r="B9" s="1765" t="s">
        <v>385</v>
      </c>
      <c r="C9" s="1759"/>
      <c r="D9" s="1885">
        <v>14065657014</v>
      </c>
      <c r="E9" s="1872">
        <v>12470180546</v>
      </c>
    </row>
    <row r="10" spans="1:5" ht="33" x14ac:dyDescent="0.25">
      <c r="A10" s="1794" t="s">
        <v>654</v>
      </c>
      <c r="B10" s="1892" t="s">
        <v>386</v>
      </c>
      <c r="C10" s="1760"/>
      <c r="D10" s="1900">
        <v>-76712</v>
      </c>
      <c r="E10" s="1873">
        <v>-207337</v>
      </c>
    </row>
    <row r="11" spans="1:5" ht="49.5" x14ac:dyDescent="0.25">
      <c r="A11" s="1710" t="s">
        <v>619</v>
      </c>
      <c r="B11" s="1895" t="s">
        <v>352</v>
      </c>
      <c r="C11" s="1864"/>
      <c r="D11" s="1901" t="s">
        <v>5</v>
      </c>
      <c r="E11" s="1874" t="s">
        <v>5</v>
      </c>
    </row>
    <row r="12" spans="1:5" ht="33" x14ac:dyDescent="0.25">
      <c r="A12" s="2057" t="s">
        <v>707</v>
      </c>
      <c r="B12" s="1793" t="s">
        <v>388</v>
      </c>
      <c r="C12" s="2058"/>
      <c r="D12" s="1902">
        <v>59595049369</v>
      </c>
      <c r="E12" s="1875">
        <v>23893826942</v>
      </c>
    </row>
    <row r="13" spans="1:5" ht="16.5" x14ac:dyDescent="0.25">
      <c r="A13" s="1726" t="s">
        <v>630</v>
      </c>
      <c r="B13" s="1896" t="s">
        <v>389</v>
      </c>
      <c r="C13" s="2059"/>
      <c r="D13" s="1903">
        <v>634063125</v>
      </c>
      <c r="E13" s="1876">
        <v>0</v>
      </c>
    </row>
    <row r="14" spans="1:5" ht="16.5" x14ac:dyDescent="0.25">
      <c r="A14" s="1795" t="s">
        <v>655</v>
      </c>
      <c r="B14" s="1845" t="s">
        <v>353</v>
      </c>
      <c r="C14" s="2060"/>
      <c r="D14" s="1904">
        <v>-33967655244</v>
      </c>
      <c r="E14" s="1877">
        <v>-35558137515</v>
      </c>
    </row>
    <row r="15" spans="1:5" ht="16.5" x14ac:dyDescent="0.25">
      <c r="A15" s="1801" t="s">
        <v>661</v>
      </c>
      <c r="B15" s="1963" t="s">
        <v>311</v>
      </c>
      <c r="C15" s="2061"/>
      <c r="D15" s="1905" t="s">
        <v>5</v>
      </c>
      <c r="E15" s="1878" t="s">
        <v>5</v>
      </c>
    </row>
    <row r="16" spans="1:5" ht="49.5" x14ac:dyDescent="0.25">
      <c r="A16" s="1927" t="s">
        <v>682</v>
      </c>
      <c r="B16" s="2044" t="s">
        <v>361</v>
      </c>
      <c r="C16" s="2062"/>
      <c r="D16" s="1906">
        <v>132223576</v>
      </c>
      <c r="E16" s="1879">
        <v>77921002</v>
      </c>
    </row>
    <row r="17" spans="1:5" ht="66" x14ac:dyDescent="0.25">
      <c r="A17" s="1773" t="s">
        <v>640</v>
      </c>
      <c r="B17" s="1989" t="s">
        <v>390</v>
      </c>
      <c r="C17" s="1832"/>
      <c r="D17" s="1907">
        <v>132223576</v>
      </c>
      <c r="E17" s="1960">
        <v>77921002</v>
      </c>
    </row>
    <row r="18" spans="1:5" ht="66" x14ac:dyDescent="0.25">
      <c r="A18" s="1802" t="s">
        <v>662</v>
      </c>
      <c r="B18" s="1975" t="s">
        <v>354</v>
      </c>
      <c r="C18" s="1819"/>
      <c r="D18" s="1908" t="s">
        <v>5</v>
      </c>
      <c r="E18" s="1836" t="s">
        <v>5</v>
      </c>
    </row>
    <row r="19" spans="1:5" ht="49.5" x14ac:dyDescent="0.25">
      <c r="A19" s="1797" t="s">
        <v>657</v>
      </c>
      <c r="B19" s="1974" t="s">
        <v>355</v>
      </c>
      <c r="C19" s="1820"/>
      <c r="D19" s="1909">
        <v>0</v>
      </c>
      <c r="E19" s="1804">
        <v>0</v>
      </c>
    </row>
    <row r="20" spans="1:5" ht="82.5" x14ac:dyDescent="0.25">
      <c r="A20" s="1894" t="s">
        <v>679</v>
      </c>
      <c r="B20" s="1964" t="s">
        <v>686</v>
      </c>
      <c r="C20" s="1821"/>
      <c r="D20" s="1910">
        <v>0</v>
      </c>
      <c r="E20" s="1928">
        <v>0</v>
      </c>
    </row>
    <row r="21" spans="1:5" ht="33" x14ac:dyDescent="0.25">
      <c r="A21" s="1798" t="s">
        <v>658</v>
      </c>
      <c r="B21" s="1990" t="s">
        <v>691</v>
      </c>
      <c r="C21" s="1822"/>
      <c r="D21" s="1911">
        <v>0</v>
      </c>
      <c r="E21" s="1929">
        <v>0</v>
      </c>
    </row>
    <row r="22" spans="1:5" ht="66" x14ac:dyDescent="0.25">
      <c r="A22" s="1805" t="s">
        <v>663</v>
      </c>
      <c r="B22" s="1965" t="s">
        <v>687</v>
      </c>
      <c r="C22" s="1823"/>
      <c r="D22" s="1912">
        <v>0</v>
      </c>
      <c r="E22" s="1930">
        <v>0</v>
      </c>
    </row>
    <row r="23" spans="1:5" ht="33" x14ac:dyDescent="0.25">
      <c r="A23" s="1799" t="s">
        <v>659</v>
      </c>
      <c r="B23" s="1897" t="s">
        <v>680</v>
      </c>
      <c r="C23" s="1824"/>
      <c r="D23" s="1913">
        <v>0</v>
      </c>
      <c r="E23" s="1931">
        <v>0</v>
      </c>
    </row>
    <row r="24" spans="1:5" ht="49.5" x14ac:dyDescent="0.25">
      <c r="A24" s="1800" t="s">
        <v>660</v>
      </c>
      <c r="B24" s="2045" t="s">
        <v>699</v>
      </c>
      <c r="C24" s="1825"/>
      <c r="D24" s="1914">
        <v>-58857521</v>
      </c>
      <c r="E24" s="1932">
        <v>-148139158</v>
      </c>
    </row>
    <row r="25" spans="1:5" ht="66" x14ac:dyDescent="0.25">
      <c r="A25" s="1806" t="s">
        <v>664</v>
      </c>
      <c r="B25" s="2046" t="s">
        <v>700</v>
      </c>
      <c r="C25" s="1826"/>
      <c r="D25" s="1915">
        <v>-58857521</v>
      </c>
      <c r="E25" s="1933">
        <v>-148139158</v>
      </c>
    </row>
    <row r="26" spans="1:5" ht="82.5" x14ac:dyDescent="0.25">
      <c r="A26" s="2040" t="s">
        <v>696</v>
      </c>
      <c r="B26" s="1717" t="s">
        <v>521</v>
      </c>
      <c r="C26" s="1827"/>
      <c r="D26" s="1916" t="s">
        <v>5</v>
      </c>
      <c r="E26" s="1934" t="s">
        <v>5</v>
      </c>
    </row>
    <row r="27" spans="1:5" ht="33" x14ac:dyDescent="0.25">
      <c r="A27" s="2041" t="s">
        <v>697</v>
      </c>
      <c r="B27" s="2065" t="s">
        <v>387</v>
      </c>
      <c r="C27" s="1755"/>
      <c r="D27" s="1881" t="s">
        <v>5</v>
      </c>
      <c r="E27" s="1868" t="s">
        <v>5</v>
      </c>
    </row>
    <row r="28" spans="1:5" ht="66" x14ac:dyDescent="0.25">
      <c r="A28" s="1775" t="s">
        <v>642</v>
      </c>
      <c r="B28" s="1991" t="s">
        <v>574</v>
      </c>
      <c r="C28" s="1828"/>
      <c r="D28" s="1917">
        <v>1414363253404</v>
      </c>
      <c r="E28" s="1935">
        <v>-1039622684586</v>
      </c>
    </row>
    <row r="29" spans="1:5" ht="66" x14ac:dyDescent="0.25">
      <c r="A29" s="1807" t="s">
        <v>665</v>
      </c>
      <c r="B29" s="1959" t="s">
        <v>575</v>
      </c>
      <c r="C29" s="1829"/>
      <c r="D29" s="1918">
        <v>63050645</v>
      </c>
      <c r="E29" s="1936">
        <v>-52217334</v>
      </c>
    </row>
    <row r="30" spans="1:5" ht="66" x14ac:dyDescent="0.25">
      <c r="A30" s="1790" t="s">
        <v>651</v>
      </c>
      <c r="B30" s="1718" t="s">
        <v>522</v>
      </c>
      <c r="C30" s="2016"/>
      <c r="D30" s="1851">
        <v>-190000000000</v>
      </c>
      <c r="E30" s="1812">
        <v>198000000000</v>
      </c>
    </row>
    <row r="31" spans="1:5" ht="33" x14ac:dyDescent="0.25">
      <c r="A31" s="1791" t="s">
        <v>652</v>
      </c>
      <c r="B31" s="1898" t="s">
        <v>569</v>
      </c>
      <c r="C31" s="1946"/>
      <c r="D31" s="1852">
        <v>1663921653538</v>
      </c>
      <c r="E31" s="1813">
        <v>-1257994893072</v>
      </c>
    </row>
    <row r="32" spans="1:5" ht="33" x14ac:dyDescent="0.25">
      <c r="A32" s="1727" t="s">
        <v>631</v>
      </c>
      <c r="B32" s="1966" t="s">
        <v>616</v>
      </c>
      <c r="C32" s="1830"/>
      <c r="D32" s="1919" t="s">
        <v>5</v>
      </c>
      <c r="E32" s="1937" t="s">
        <v>5</v>
      </c>
    </row>
    <row r="33" spans="1:5" ht="49.5" x14ac:dyDescent="0.25">
      <c r="A33" s="1711" t="s">
        <v>620</v>
      </c>
      <c r="B33" s="2067" t="s">
        <v>606</v>
      </c>
      <c r="C33" s="1756"/>
      <c r="D33" s="1882" t="s">
        <v>5</v>
      </c>
      <c r="E33" s="1869" t="s">
        <v>5</v>
      </c>
    </row>
    <row r="34" spans="1:5" ht="66" x14ac:dyDescent="0.25">
      <c r="A34" s="1776" t="s">
        <v>643</v>
      </c>
      <c r="B34" s="1899" t="s">
        <v>585</v>
      </c>
      <c r="C34" s="1831"/>
      <c r="D34" s="1920">
        <v>35558137515</v>
      </c>
      <c r="E34" s="1938">
        <v>32113255096</v>
      </c>
    </row>
    <row r="35" spans="1:5" ht="66" x14ac:dyDescent="0.25">
      <c r="A35" s="1777" t="s">
        <v>644</v>
      </c>
      <c r="B35" s="1778" t="s">
        <v>586</v>
      </c>
      <c r="C35" s="1833"/>
      <c r="D35" s="1921">
        <v>-170761924</v>
      </c>
      <c r="E35" s="1939">
        <v>-49937282</v>
      </c>
    </row>
    <row r="36" spans="1:5" ht="66" x14ac:dyDescent="0.25">
      <c r="A36" s="1886" t="s">
        <v>674</v>
      </c>
      <c r="B36" s="1730" t="s">
        <v>633</v>
      </c>
      <c r="C36" s="1948"/>
      <c r="D36" s="1854">
        <v>0</v>
      </c>
      <c r="E36" s="1815">
        <v>0</v>
      </c>
    </row>
    <row r="37" spans="1:5" ht="49.5" x14ac:dyDescent="0.25">
      <c r="A37" s="1887" t="s">
        <v>675</v>
      </c>
      <c r="B37" s="1779" t="s">
        <v>645</v>
      </c>
      <c r="C37" s="1949"/>
      <c r="D37" s="1855">
        <v>-177254199</v>
      </c>
      <c r="E37" s="1816">
        <v>207337</v>
      </c>
    </row>
    <row r="38" spans="1:5" ht="33" x14ac:dyDescent="0.25">
      <c r="A38" s="1792" t="s">
        <v>653</v>
      </c>
      <c r="B38" s="1992" t="s">
        <v>587</v>
      </c>
      <c r="C38" s="1947"/>
      <c r="D38" s="1853">
        <v>-3368728484</v>
      </c>
      <c r="E38" s="1814">
        <v>-2768993878</v>
      </c>
    </row>
    <row r="39" spans="1:5" ht="66" x14ac:dyDescent="0.25">
      <c r="A39" s="1712" t="s">
        <v>621</v>
      </c>
      <c r="B39" s="1780" t="s">
        <v>611</v>
      </c>
      <c r="C39" s="1950"/>
      <c r="D39" s="1856">
        <v>8783907221</v>
      </c>
      <c r="E39" s="1817">
        <v>1297533802</v>
      </c>
    </row>
    <row r="40" spans="1:5" ht="49.5" x14ac:dyDescent="0.25">
      <c r="A40" s="1808" t="s">
        <v>666</v>
      </c>
      <c r="B40" s="2068" t="s">
        <v>588</v>
      </c>
      <c r="C40" s="1951"/>
      <c r="D40" s="1857">
        <v>1314880558</v>
      </c>
      <c r="E40" s="1818">
        <v>2997186644</v>
      </c>
    </row>
    <row r="41" spans="1:5" ht="16.5" x14ac:dyDescent="0.25">
      <c r="A41" s="2042" t="s">
        <v>698</v>
      </c>
      <c r="B41" s="1837" t="s">
        <v>589</v>
      </c>
      <c r="C41" s="1952"/>
      <c r="D41" s="1865">
        <v>-36147797333</v>
      </c>
      <c r="E41" s="1696">
        <v>-26320569700</v>
      </c>
    </row>
    <row r="42" spans="1:5" ht="33" x14ac:dyDescent="0.25">
      <c r="A42" s="1713" t="s">
        <v>622</v>
      </c>
      <c r="B42" s="1731" t="s">
        <v>613</v>
      </c>
      <c r="C42" s="1953"/>
      <c r="D42" s="1866">
        <v>-52494038358</v>
      </c>
      <c r="E42" s="1697">
        <v>-22879686799</v>
      </c>
    </row>
    <row r="43" spans="1:5" ht="49.5" x14ac:dyDescent="0.25">
      <c r="A43" s="1809" t="s">
        <v>667</v>
      </c>
      <c r="B43" s="1781" t="s">
        <v>601</v>
      </c>
      <c r="C43" s="1954"/>
      <c r="D43" s="2014">
        <v>531669658</v>
      </c>
      <c r="E43" s="1698">
        <v>-1729439396</v>
      </c>
    </row>
    <row r="44" spans="1:5" ht="49.5" x14ac:dyDescent="0.25">
      <c r="A44" s="1810" t="s">
        <v>668</v>
      </c>
      <c r="B44" s="1838" t="s">
        <v>590</v>
      </c>
      <c r="C44" s="1955"/>
      <c r="D44" s="2015">
        <v>-9244327</v>
      </c>
      <c r="E44" s="1699">
        <v>-12613170</v>
      </c>
    </row>
    <row r="45" spans="1:5" ht="82.5" x14ac:dyDescent="0.25">
      <c r="A45" s="1888" t="s">
        <v>676</v>
      </c>
      <c r="B45" s="1782" t="s">
        <v>607</v>
      </c>
      <c r="C45" s="1956"/>
      <c r="D45" s="2043">
        <v>-1648357904</v>
      </c>
      <c r="E45" s="1700">
        <v>10447325924</v>
      </c>
    </row>
    <row r="46" spans="1:5" ht="49.5" x14ac:dyDescent="0.25">
      <c r="A46" s="1714" t="s">
        <v>623</v>
      </c>
      <c r="B46" s="1732" t="s">
        <v>634</v>
      </c>
      <c r="C46" s="1957"/>
      <c r="D46" s="2017">
        <v>-10314454233</v>
      </c>
      <c r="E46" s="1701">
        <v>26894762102</v>
      </c>
    </row>
    <row r="47" spans="1:5" ht="49.5" x14ac:dyDescent="0.25">
      <c r="A47" s="1786" t="s">
        <v>649</v>
      </c>
      <c r="B47" s="1783" t="s">
        <v>646</v>
      </c>
      <c r="C47" s="1958"/>
      <c r="D47" s="2018" t="s">
        <v>5</v>
      </c>
      <c r="E47" s="1702" t="s">
        <v>5</v>
      </c>
    </row>
    <row r="48" spans="1:5" ht="49.5" x14ac:dyDescent="0.25">
      <c r="A48" s="1715" t="s">
        <v>624</v>
      </c>
      <c r="B48" s="1843" t="s">
        <v>528</v>
      </c>
      <c r="C48" s="1976"/>
      <c r="D48" s="2019">
        <v>-1479408969</v>
      </c>
      <c r="E48" s="1703">
        <v>435395140</v>
      </c>
    </row>
    <row r="49" spans="1:5" ht="49.5" x14ac:dyDescent="0.25">
      <c r="A49" s="1889" t="s">
        <v>677</v>
      </c>
      <c r="B49" s="2069" t="s">
        <v>708</v>
      </c>
      <c r="C49" s="1977"/>
      <c r="D49" s="2020">
        <v>0</v>
      </c>
      <c r="E49" s="1704">
        <v>0</v>
      </c>
    </row>
    <row r="50" spans="1:5" ht="49.5" x14ac:dyDescent="0.25">
      <c r="A50" s="1840" t="s">
        <v>670</v>
      </c>
      <c r="B50" s="2047" t="s">
        <v>701</v>
      </c>
      <c r="C50" s="1978"/>
      <c r="D50" s="2021">
        <v>0</v>
      </c>
      <c r="E50" s="2066">
        <v>0</v>
      </c>
    </row>
    <row r="51" spans="1:5" ht="51.75" x14ac:dyDescent="0.25">
      <c r="A51" s="1967" t="s">
        <v>520</v>
      </c>
      <c r="B51" s="2048" t="s">
        <v>578</v>
      </c>
      <c r="C51" s="1979"/>
      <c r="D51" s="2022">
        <v>1614837929219</v>
      </c>
      <c r="E51" s="1705">
        <v>-866401316372</v>
      </c>
    </row>
    <row r="52" spans="1:5" ht="49.5" x14ac:dyDescent="0.25">
      <c r="A52" s="1787" t="s">
        <v>566</v>
      </c>
      <c r="B52" s="1694" t="s">
        <v>5</v>
      </c>
      <c r="C52" s="1980"/>
      <c r="D52" s="2023" t="s">
        <v>5</v>
      </c>
      <c r="E52" s="1706" t="s">
        <v>5</v>
      </c>
    </row>
    <row r="53" spans="1:5" ht="66" x14ac:dyDescent="0.25">
      <c r="A53" s="1841" t="s">
        <v>671</v>
      </c>
      <c r="B53" s="1993" t="s">
        <v>529</v>
      </c>
      <c r="C53" s="1981"/>
      <c r="D53" s="2024">
        <v>-8082858900</v>
      </c>
      <c r="E53" s="1707">
        <v>-5281253583</v>
      </c>
    </row>
    <row r="54" spans="1:5" ht="66" x14ac:dyDescent="0.25">
      <c r="A54" s="1716" t="s">
        <v>625</v>
      </c>
      <c r="B54" s="1994" t="s">
        <v>692</v>
      </c>
      <c r="C54" s="1982"/>
      <c r="D54" s="2025" t="s">
        <v>5</v>
      </c>
      <c r="E54" s="1708" t="s">
        <v>5</v>
      </c>
    </row>
    <row r="55" spans="1:5" ht="66" x14ac:dyDescent="0.25">
      <c r="A55" s="1890" t="s">
        <v>678</v>
      </c>
      <c r="B55" s="1784" t="s">
        <v>647</v>
      </c>
      <c r="C55" s="1983"/>
      <c r="D55" s="2026" t="s">
        <v>5</v>
      </c>
      <c r="E55" s="1858" t="s">
        <v>5</v>
      </c>
    </row>
    <row r="56" spans="1:5" ht="82.5" x14ac:dyDescent="0.25">
      <c r="A56" s="1796" t="s">
        <v>656</v>
      </c>
      <c r="B56" s="2049" t="s">
        <v>702</v>
      </c>
      <c r="C56" s="1984"/>
      <c r="D56" s="2027" t="s">
        <v>5</v>
      </c>
      <c r="E56" s="1859" t="s">
        <v>5</v>
      </c>
    </row>
    <row r="57" spans="1:5" ht="66" x14ac:dyDescent="0.25">
      <c r="A57" s="1961" t="s">
        <v>685</v>
      </c>
      <c r="B57" s="2050" t="s">
        <v>703</v>
      </c>
      <c r="C57" s="1985"/>
      <c r="D57" s="2028" t="s">
        <v>5</v>
      </c>
      <c r="E57" s="1860" t="s">
        <v>5</v>
      </c>
    </row>
    <row r="58" spans="1:5" ht="51.75" x14ac:dyDescent="0.25">
      <c r="A58" s="2063" t="s">
        <v>531</v>
      </c>
      <c r="B58" s="1728" t="s">
        <v>632</v>
      </c>
      <c r="C58" s="1986"/>
      <c r="D58" s="2029">
        <v>-8082858900</v>
      </c>
      <c r="E58" s="1861">
        <v>-5281253583</v>
      </c>
    </row>
    <row r="59" spans="1:5" ht="49.5" x14ac:dyDescent="0.25">
      <c r="A59" s="1721" t="s">
        <v>546</v>
      </c>
      <c r="B59" s="1694" t="s">
        <v>5</v>
      </c>
      <c r="C59" s="1987"/>
      <c r="D59" s="2030" t="s">
        <v>5</v>
      </c>
      <c r="E59" s="1862" t="s">
        <v>5</v>
      </c>
    </row>
    <row r="60" spans="1:5" ht="66" x14ac:dyDescent="0.25">
      <c r="A60" s="1722" t="s">
        <v>571</v>
      </c>
      <c r="B60" s="1785" t="s">
        <v>648</v>
      </c>
      <c r="C60" s="1999"/>
      <c r="D60" s="2031">
        <v>0</v>
      </c>
      <c r="E60" s="1863">
        <v>500000000000</v>
      </c>
    </row>
    <row r="61" spans="1:5" ht="66" x14ac:dyDescent="0.25">
      <c r="A61" s="1968" t="s">
        <v>688</v>
      </c>
      <c r="B61" s="1995" t="s">
        <v>559</v>
      </c>
      <c r="C61" s="2000"/>
      <c r="D61" s="2032">
        <v>0</v>
      </c>
      <c r="E61" s="1737">
        <v>0</v>
      </c>
    </row>
    <row r="62" spans="1:5" ht="33" x14ac:dyDescent="0.25">
      <c r="A62" s="1842" t="s">
        <v>672</v>
      </c>
      <c r="B62" s="2070" t="s">
        <v>560</v>
      </c>
      <c r="C62" s="2001"/>
      <c r="D62" s="2033">
        <v>5245237000000</v>
      </c>
      <c r="E62" s="1846">
        <v>6598048073665</v>
      </c>
    </row>
    <row r="63" spans="1:5" ht="49.5" x14ac:dyDescent="0.25">
      <c r="A63" s="1762" t="s">
        <v>554</v>
      </c>
      <c r="B63" s="1996" t="s">
        <v>693</v>
      </c>
      <c r="C63" s="2002"/>
      <c r="D63" s="2034">
        <v>0</v>
      </c>
      <c r="E63" s="1847">
        <v>0</v>
      </c>
    </row>
    <row r="64" spans="1:5" ht="33" x14ac:dyDescent="0.25">
      <c r="A64" s="1969" t="s">
        <v>532</v>
      </c>
      <c r="B64" s="2051" t="s">
        <v>704</v>
      </c>
      <c r="C64" s="2003"/>
      <c r="D64" s="2035">
        <v>5245237000000</v>
      </c>
      <c r="E64" s="1848">
        <v>6598048073665</v>
      </c>
    </row>
    <row r="65" spans="1:5" ht="33" x14ac:dyDescent="0.25">
      <c r="A65" s="1970" t="s">
        <v>573</v>
      </c>
      <c r="B65" s="1839" t="s">
        <v>669</v>
      </c>
      <c r="C65" s="2004"/>
      <c r="D65" s="2036">
        <v>-5780265503665</v>
      </c>
      <c r="E65" s="1849">
        <v>-6327249070000</v>
      </c>
    </row>
    <row r="66" spans="1:5" ht="49.5" x14ac:dyDescent="0.25">
      <c r="A66" s="1971" t="s">
        <v>537</v>
      </c>
      <c r="B66" s="1733" t="s">
        <v>635</v>
      </c>
      <c r="C66" s="2005"/>
      <c r="D66" s="2037">
        <v>0</v>
      </c>
      <c r="E66" s="1738">
        <v>0</v>
      </c>
    </row>
    <row r="67" spans="1:5" ht="49.5" x14ac:dyDescent="0.25">
      <c r="A67" s="1972" t="s">
        <v>689</v>
      </c>
      <c r="B67" s="1997" t="s">
        <v>694</v>
      </c>
      <c r="C67" s="2006"/>
      <c r="D67" s="2038">
        <v>0</v>
      </c>
      <c r="E67" s="1739">
        <v>0</v>
      </c>
    </row>
    <row r="68" spans="1:5" ht="33" x14ac:dyDescent="0.25">
      <c r="A68" s="1788" t="s">
        <v>556</v>
      </c>
      <c r="B68" s="1774" t="s">
        <v>641</v>
      </c>
      <c r="C68" s="2007"/>
      <c r="D68" s="2039">
        <v>-5780265503665</v>
      </c>
      <c r="E68" s="1740">
        <v>-6327249070000</v>
      </c>
    </row>
    <row r="69" spans="1:5" ht="49.5" x14ac:dyDescent="0.25">
      <c r="A69" s="1749" t="s">
        <v>638</v>
      </c>
      <c r="B69" s="2052" t="s">
        <v>705</v>
      </c>
      <c r="C69" s="2008"/>
      <c r="D69" s="1766" t="s">
        <v>5</v>
      </c>
      <c r="E69" s="1741" t="s">
        <v>5</v>
      </c>
    </row>
    <row r="70" spans="1:5" ht="49.5" x14ac:dyDescent="0.25">
      <c r="A70" s="1891" t="s">
        <v>538</v>
      </c>
      <c r="B70" s="2071" t="s">
        <v>709</v>
      </c>
      <c r="C70" s="2009"/>
      <c r="D70" s="1767" t="s">
        <v>5</v>
      </c>
      <c r="E70" s="1742" t="s">
        <v>5</v>
      </c>
    </row>
    <row r="71" spans="1:5" ht="51.75" x14ac:dyDescent="0.25">
      <c r="A71" s="1973" t="s">
        <v>542</v>
      </c>
      <c r="B71" s="1734" t="s">
        <v>412</v>
      </c>
      <c r="C71" s="2010"/>
      <c r="D71" s="1768">
        <v>-535028503665</v>
      </c>
      <c r="E71" s="1743">
        <v>770799003665</v>
      </c>
    </row>
    <row r="72" spans="1:5" ht="49.5" x14ac:dyDescent="0.25">
      <c r="A72" s="1729" t="s">
        <v>533</v>
      </c>
      <c r="B72" s="1735" t="s">
        <v>636</v>
      </c>
      <c r="C72" s="2011"/>
      <c r="D72" s="1769">
        <v>1071726566654</v>
      </c>
      <c r="E72" s="1744">
        <v>-100883566290</v>
      </c>
    </row>
    <row r="73" spans="1:5" ht="49.5" x14ac:dyDescent="0.25">
      <c r="A73" s="1962" t="s">
        <v>534</v>
      </c>
      <c r="B73" s="1736" t="s">
        <v>637</v>
      </c>
      <c r="C73" s="2012"/>
      <c r="D73" s="1770">
        <v>82208573990</v>
      </c>
      <c r="E73" s="1745">
        <v>183092140280</v>
      </c>
    </row>
    <row r="74" spans="1:5" ht="16.5" x14ac:dyDescent="0.25">
      <c r="A74" s="1723" t="s">
        <v>628</v>
      </c>
      <c r="B74" s="1998" t="s">
        <v>695</v>
      </c>
      <c r="C74" s="2013"/>
      <c r="D74" s="1771">
        <v>82208573990</v>
      </c>
      <c r="E74" s="1746">
        <v>183092140280</v>
      </c>
    </row>
    <row r="75" spans="1:5" ht="33" x14ac:dyDescent="0.25">
      <c r="A75" s="1763" t="s">
        <v>639</v>
      </c>
      <c r="B75" s="2072" t="s">
        <v>710</v>
      </c>
      <c r="C75" s="1751"/>
      <c r="D75" s="1761" t="s">
        <v>5</v>
      </c>
      <c r="E75" s="1747" t="s">
        <v>5</v>
      </c>
    </row>
    <row r="76" spans="1:5" ht="33" x14ac:dyDescent="0.25">
      <c r="A76" s="1988" t="s">
        <v>690</v>
      </c>
      <c r="B76" s="1789" t="s">
        <v>650</v>
      </c>
      <c r="C76" s="1753"/>
      <c r="D76" s="1803" t="s">
        <v>5</v>
      </c>
      <c r="E76" s="1750" t="s">
        <v>5</v>
      </c>
    </row>
    <row r="77" spans="1:5" ht="49.5" x14ac:dyDescent="0.25">
      <c r="A77" s="1724" t="s">
        <v>629</v>
      </c>
      <c r="B77" s="1720" t="s">
        <v>627</v>
      </c>
      <c r="C77" s="1754"/>
      <c r="D77" s="1880">
        <v>1153935140644</v>
      </c>
      <c r="E77" s="1945">
        <v>82208573990</v>
      </c>
    </row>
    <row r="78" spans="1:5" ht="16.5" x14ac:dyDescent="0.25">
      <c r="A78" s="2064" t="s">
        <v>628</v>
      </c>
      <c r="B78" s="1719" t="s">
        <v>626</v>
      </c>
      <c r="C78" s="1752"/>
      <c r="D78" s="1772">
        <v>403935140644</v>
      </c>
      <c r="E78" s="1748">
        <v>82208573990</v>
      </c>
    </row>
    <row r="79" spans="1:5" ht="33" x14ac:dyDescent="0.25">
      <c r="A79" s="1811" t="s">
        <v>639</v>
      </c>
      <c r="B79" s="1867" t="s">
        <v>673</v>
      </c>
      <c r="C79" s="1835"/>
      <c r="D79" s="1923">
        <v>750000000000</v>
      </c>
      <c r="E79" s="1941">
        <v>0</v>
      </c>
    </row>
    <row r="80" spans="1:5" ht="49.5" x14ac:dyDescent="0.25">
      <c r="A80" s="1943" t="s">
        <v>683</v>
      </c>
      <c r="B80" s="1944" t="s">
        <v>684</v>
      </c>
      <c r="C80" s="1850"/>
      <c r="D80" s="1924" t="s">
        <v>5</v>
      </c>
      <c r="E80" s="1942" t="s">
        <v>5</v>
      </c>
    </row>
  </sheetData>
  <mergeCells count="3">
    <mergeCell ref="A1:E1"/>
    <mergeCell ref="A2:E2"/>
    <mergeCell ref="A3:E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80"/>
  <sheetViews>
    <sheetView workbookViewId="0"/>
  </sheetViews>
  <sheetFormatPr defaultRowHeight="15" x14ac:dyDescent="0.25"/>
  <cols>
    <col min="1" max="1" width="1" style="2073" bestFit="1" customWidth="1"/>
    <col min="2" max="5" width="1" bestFit="1" customWidth="1"/>
  </cols>
  <sheetData>
    <row r="5" spans="1:5" x14ac:dyDescent="0.25">
      <c r="A5" t="str">
        <f>CONCATENATE(612171,",",ROW(BCLCTTRGT_06613!A5),"|",COLUMN(BCLCTTRGT_06613!A5),",0",",0")</f>
        <v>612171,5|1,0,0</v>
      </c>
      <c r="B5" t="str">
        <f>CONCATENATE(611843,",",ROW(BCLCTTRGT_06613!B5),"|",COLUMN(BCLCTTRGT_06613!B5),",0",",0")</f>
        <v>611843,5|2,0,0</v>
      </c>
      <c r="C5" t="str">
        <f>CONCATENATE(612172,",",ROW(BCLCTTRGT_06613!C5),"|",COLUMN(BCLCTTRGT_06613!C5),",0",",0")</f>
        <v>612172,5|3,0,0</v>
      </c>
      <c r="D5" t="str">
        <f>CONCATENATE(612173,",",ROW(BCLCTTRGT_06613!D5),"|",COLUMN(BCLCTTRGT_06613!D5),",0",",0")</f>
        <v>612173,5|4,0,0</v>
      </c>
      <c r="E5" t="str">
        <f>CONCATENATE(612011,",",ROW(BCLCTTRGT_06613!E5),"|",COLUMN(BCLCTTRGT_06613!E5),",0",",0")</f>
        <v>612011,5|5,0,0</v>
      </c>
    </row>
    <row r="6" spans="1:5" x14ac:dyDescent="0.25">
      <c r="A6" t="str">
        <f>CONCATENATE(612043,",",ROW(BCLCTTRGT_06613!A6),"|",COLUMN(BCLCTTRGT_06613!A6),",0",",0")</f>
        <v>612043,6|1,0,0</v>
      </c>
      <c r="B6" t="s">
        <v>5</v>
      </c>
      <c r="C6" t="str">
        <f>CONCATENATE(611952,",",ROW(BCLCTTRGT_06613!C6),"|",COLUMN(BCLCTTRGT_06613!C6),",0",",0")</f>
        <v>611952,6|3,0,0</v>
      </c>
      <c r="D6" t="str">
        <f>CONCATENATE(612040,",",ROW(BCLCTTRGT_06613!D6),"|",COLUMN(BCLCTTRGT_06613!D6),",0",",0")</f>
        <v>612040,6|4,0,0</v>
      </c>
      <c r="E6" t="str">
        <f>CONCATENATE(612058,",",ROW(BCLCTTRGT_06613!E6),"|",COLUMN(BCLCTTRGT_06613!E6),",0",",0")</f>
        <v>612058,6|5,0,0</v>
      </c>
    </row>
    <row r="7" spans="1:5" x14ac:dyDescent="0.25">
      <c r="A7" t="str">
        <f>CONCATENATE(612174,",",ROW(BCLCTTRGT_06613!A7),"|",COLUMN(BCLCTTRGT_06613!A7),",0",",0")</f>
        <v>612174,7|1,0,0</v>
      </c>
      <c r="B7" t="str">
        <f>CONCATENATE(611882,",",ROW(BCLCTTRGT_06613!B7),"|",COLUMN(BCLCTTRGT_06613!B7),",0",",0")</f>
        <v>611882,7|2,0,0</v>
      </c>
      <c r="C7" t="str">
        <f>CONCATENATE(611875,",",ROW(BCLCTTRGT_06613!C7),"|",COLUMN(BCLCTTRGT_06613!C7),",0",",0")</f>
        <v>611875,7|3,0,0</v>
      </c>
      <c r="D7" t="str">
        <f>CONCATENATE(612001,",",ROW(BCLCTTRGT_06613!D7),"|",COLUMN(BCLCTTRGT_06613!D7),",0",",0")</f>
        <v>612001,7|4,0,0</v>
      </c>
      <c r="E7" t="str">
        <f>CONCATENATE(611988,",",ROW(BCLCTTRGT_06613!E7),"|",COLUMN(BCLCTTRGT_06613!E7),",0",",0")</f>
        <v>611988,7|5,0,0</v>
      </c>
    </row>
    <row r="8" spans="1:5" x14ac:dyDescent="0.25">
      <c r="A8" t="str">
        <f>CONCATENATE(612044,",",ROW(BCLCTTRGT_06613!A8),"|",COLUMN(BCLCTTRGT_06613!A8),",0",",0")</f>
        <v>612044,8|1,0,0</v>
      </c>
      <c r="B8" t="str">
        <f>CONCATENATE(611962,",",ROW(BCLCTTRGT_06613!B8),"|",COLUMN(BCLCTTRGT_06613!B8),",0",",0")</f>
        <v>611962,8|2,0,0</v>
      </c>
      <c r="C8" t="str">
        <f>CONCATENATE(611876,",",ROW(BCLCTTRGT_06613!C8),"|",COLUMN(BCLCTTRGT_06613!C8),",0",",0")</f>
        <v>611876,8|3,0,0</v>
      </c>
      <c r="D8" t="str">
        <f>CONCATENATE(612002,",",ROW(BCLCTTRGT_06613!D8),"|",COLUMN(BCLCTTRGT_06613!D8),",0",",0")</f>
        <v>612002,8|4,0,0</v>
      </c>
      <c r="E8" t="str">
        <f>CONCATENATE(611989,",",ROW(BCLCTTRGT_06613!E8),"|",COLUMN(BCLCTTRGT_06613!E8),",0",",0")</f>
        <v>611989,8|5,0,0</v>
      </c>
    </row>
    <row r="9" spans="1:5" x14ac:dyDescent="0.25">
      <c r="A9" t="str">
        <f>CONCATENATE(611827,",",ROW(BCLCTTRGT_06613!A9),"|",COLUMN(BCLCTTRGT_06613!A9),",0",",0")</f>
        <v>611827,9|1,0,0</v>
      </c>
      <c r="B9" t="str">
        <f>CONCATENATE(611883,",",ROW(BCLCTTRGT_06613!B9),"|",COLUMN(BCLCTTRGT_06613!B9),",0",",0")</f>
        <v>611883,9|2,0,0</v>
      </c>
      <c r="C9" t="str">
        <f>CONCATENATE(611877,",",ROW(BCLCTTRGT_06613!C9),"|",COLUMN(BCLCTTRGT_06613!C9),",0",",0")</f>
        <v>611877,9|3,0,0</v>
      </c>
      <c r="D9" t="str">
        <f>CONCATENATE(612003,",",ROW(BCLCTTRGT_06613!D9),"|",COLUMN(BCLCTTRGT_06613!D9),",0",",0")</f>
        <v>612003,9|4,0,0</v>
      </c>
      <c r="E9" t="str">
        <f>CONCATENATE(611990,",",ROW(BCLCTTRGT_06613!E9),"|",COLUMN(BCLCTTRGT_06613!E9),",0",",0")</f>
        <v>611990,9|5,0,0</v>
      </c>
    </row>
    <row r="10" spans="1:5" x14ac:dyDescent="0.25">
      <c r="A10" t="str">
        <f>CONCATENATE(611912,",",ROW(BCLCTTRGT_06613!A10),"|",COLUMN(BCLCTTRGT_06613!A10),",0",",0")</f>
        <v>611912,10|1,0,0</v>
      </c>
      <c r="B10" t="str">
        <f>CONCATENATE(612010,",",ROW(BCLCTTRGT_06613!B10),"|",COLUMN(BCLCTTRGT_06613!B10),",0",",0")</f>
        <v>612010,10|2,0,0</v>
      </c>
      <c r="C10" t="str">
        <f>CONCATENATE(611878,",",ROW(BCLCTTRGT_06613!C10),"|",COLUMN(BCLCTTRGT_06613!C10),",0",",0")</f>
        <v>611878,10|3,0,0</v>
      </c>
      <c r="D10" t="str">
        <f>CONCATENATE(612018,",",ROW(BCLCTTRGT_06613!D10),"|",COLUMN(BCLCTTRGT_06613!D10),",0",",0")</f>
        <v>612018,10|4,0,0</v>
      </c>
      <c r="E10" t="str">
        <f>CONCATENATE(611991,",",ROW(BCLCTTRGT_06613!E10),"|",COLUMN(BCLCTTRGT_06613!E10),",0",",0")</f>
        <v>611991,10|5,0,0</v>
      </c>
    </row>
    <row r="11" spans="1:5" x14ac:dyDescent="0.25">
      <c r="A11" t="str">
        <f>CONCATENATE(611828,",",ROW(BCLCTTRGT_06613!A11),"|",COLUMN(BCLCTTRGT_06613!A11),",0",",0")</f>
        <v>611828,11|1,0,0</v>
      </c>
      <c r="B11" t="str">
        <f>CONCATENATE(612013,",",ROW(BCLCTTRGT_06613!B11),"|",COLUMN(BCLCTTRGT_06613!B11),",0",",0")</f>
        <v>612013,11|2,0,0</v>
      </c>
      <c r="C11" t="str">
        <f>CONCATENATE(611982,",",ROW(BCLCTTRGT_06613!C11),"|",COLUMN(BCLCTTRGT_06613!C11),",0",",0")</f>
        <v>611982,11|3,0,0</v>
      </c>
      <c r="D11" t="str">
        <f>CONCATENATE(612019,",",ROW(BCLCTTRGT_06613!D11),"|",COLUMN(BCLCTTRGT_06613!D11),",0",",0")</f>
        <v>612019,11|4,0,0</v>
      </c>
      <c r="E11" t="str">
        <f>CONCATENATE(611992,",",ROW(BCLCTTRGT_06613!E11),"|",COLUMN(BCLCTTRGT_06613!E11),",0",",0")</f>
        <v>611992,11|5,0,0</v>
      </c>
    </row>
    <row r="12" spans="1:5" x14ac:dyDescent="0.25">
      <c r="A12" t="str">
        <f>CONCATENATE(612175,",",ROW(BCLCTTRGT_06613!A12),"|",COLUMN(BCLCTTRGT_06613!A12),",0",",0")</f>
        <v>612175,12|1,0,0</v>
      </c>
      <c r="B12" t="str">
        <f>CONCATENATE(611911,",",ROW(BCLCTTRGT_06613!B12),"|",COLUMN(BCLCTTRGT_06613!B12),",0",",0")</f>
        <v>611911,12|2,0,0</v>
      </c>
      <c r="C12" t="str">
        <f>CONCATENATE(612176,",",ROW(BCLCTTRGT_06613!C12),"|",COLUMN(BCLCTTRGT_06613!C12),",0",",0")</f>
        <v>612176,12|3,0,0</v>
      </c>
      <c r="D12" t="str">
        <f>CONCATENATE(612020,",",ROW(BCLCTTRGT_06613!D12),"|",COLUMN(BCLCTTRGT_06613!D12),",0",",0")</f>
        <v>612020,12|4,0,0</v>
      </c>
      <c r="E12" t="str">
        <f>CONCATENATE(611993,",",ROW(BCLCTTRGT_06613!E12),"|",COLUMN(BCLCTTRGT_06613!E12),",0",",0")</f>
        <v>611993,12|5,0,0</v>
      </c>
    </row>
    <row r="13" spans="1:5" x14ac:dyDescent="0.25">
      <c r="A13" t="str">
        <f>CONCATENATE(611844,",",ROW(BCLCTTRGT_06613!A13),"|",COLUMN(BCLCTTRGT_06613!A13),",0",",0")</f>
        <v>611844,13|1,0,0</v>
      </c>
      <c r="B13" t="str">
        <f>CONCATENATE(612014,",",ROW(BCLCTTRGT_06613!B13),"|",COLUMN(BCLCTTRGT_06613!B13),",0",",0")</f>
        <v>612014,13|2,0,0</v>
      </c>
      <c r="C13" t="str">
        <f>CONCATENATE(612177,",",ROW(BCLCTTRGT_06613!C13),"|",COLUMN(BCLCTTRGT_06613!C13),",0",",0")</f>
        <v>612177,13|3,0,0</v>
      </c>
      <c r="D13" t="str">
        <f>CONCATENATE(612021,",",ROW(BCLCTTRGT_06613!D13),"|",COLUMN(BCLCTTRGT_06613!D13),",0",",0")</f>
        <v>612021,13|4,0,0</v>
      </c>
      <c r="E13" t="str">
        <f>CONCATENATE(611994,",",ROW(BCLCTTRGT_06613!E13),"|",COLUMN(BCLCTTRGT_06613!E13),",0",",0")</f>
        <v>611994,13|5,0,0</v>
      </c>
    </row>
    <row r="14" spans="1:5" x14ac:dyDescent="0.25">
      <c r="A14" t="str">
        <f>CONCATENATE(611913,",",ROW(BCLCTTRGT_06613!A14),"|",COLUMN(BCLCTTRGT_06613!A14),",0",",0")</f>
        <v>611913,14|1,0,0</v>
      </c>
      <c r="B14" t="str">
        <f>CONCATENATE(611963,",",ROW(BCLCTTRGT_06613!B14),"|",COLUMN(BCLCTTRGT_06613!B14),",0",",0")</f>
        <v>611963,14|2,0,0</v>
      </c>
      <c r="C14" t="str">
        <f>CONCATENATE(612178,",",ROW(BCLCTTRGT_06613!C14),"|",COLUMN(BCLCTTRGT_06613!C14),",0",",0")</f>
        <v>612178,14|3,0,0</v>
      </c>
      <c r="D14" t="str">
        <f>CONCATENATE(612022,",",ROW(BCLCTTRGT_06613!D14),"|",COLUMN(BCLCTTRGT_06613!D14),",0",",0")</f>
        <v>612022,14|4,0,0</v>
      </c>
      <c r="E14" t="str">
        <f>CONCATENATE(611995,",",ROW(BCLCTTRGT_06613!E14),"|",COLUMN(BCLCTTRGT_06613!E14),",0",",0")</f>
        <v>611995,14|5,0,0</v>
      </c>
    </row>
    <row r="15" spans="1:5" x14ac:dyDescent="0.25">
      <c r="A15" t="str">
        <f>CONCATENATE(611919,",",ROW(BCLCTTRGT_06613!A15),"|",COLUMN(BCLCTTRGT_06613!A15),",0",",0")</f>
        <v>611919,15|1,0,0</v>
      </c>
      <c r="B15" t="str">
        <f>CONCATENATE(612081,",",ROW(BCLCTTRGT_06613!B15),"|",COLUMN(BCLCTTRGT_06613!B15),",0",",0")</f>
        <v>612081,15|2,0,0</v>
      </c>
      <c r="C15" t="str">
        <f>CONCATENATE(612179,",",ROW(BCLCTTRGT_06613!C15),"|",COLUMN(BCLCTTRGT_06613!C15),",0",",0")</f>
        <v>612179,15|3,0,0</v>
      </c>
      <c r="D15" t="str">
        <f>CONCATENATE(612023,",",ROW(BCLCTTRGT_06613!D15),"|",COLUMN(BCLCTTRGT_06613!D15),",0",",0")</f>
        <v>612023,15|4,0,0</v>
      </c>
      <c r="E15" t="str">
        <f>CONCATENATE(611996,",",ROW(BCLCTTRGT_06613!E15),"|",COLUMN(BCLCTTRGT_06613!E15),",0",",0")</f>
        <v>611996,15|5,0,0</v>
      </c>
    </row>
    <row r="16" spans="1:5" x14ac:dyDescent="0.25">
      <c r="A16" t="str">
        <f>CONCATENATE(612045,",",ROW(BCLCTTRGT_06613!A16),"|",COLUMN(BCLCTTRGT_06613!A16),",0",",0")</f>
        <v>612045,16|1,0,0</v>
      </c>
      <c r="B16" t="str">
        <f>CONCATENATE(612162,",",ROW(BCLCTTRGT_06613!B16),"|",COLUMN(BCLCTTRGT_06613!B16),",0",",0")</f>
        <v>612162,16|2,0,0</v>
      </c>
      <c r="C16" t="str">
        <f>CONCATENATE(612180,",",ROW(BCLCTTRGT_06613!C16),"|",COLUMN(BCLCTTRGT_06613!C16),",0",",0")</f>
        <v>612180,16|3,0,0</v>
      </c>
      <c r="D16" t="str">
        <f>CONCATENATE(612024,",",ROW(BCLCTTRGT_06613!D16),"|",COLUMN(BCLCTTRGT_06613!D16),",0",",0")</f>
        <v>612024,16|4,0,0</v>
      </c>
      <c r="E16" t="str">
        <f>CONCATENATE(611997,",",ROW(BCLCTTRGT_06613!E16),"|",COLUMN(BCLCTTRGT_06613!E16),",0",",0")</f>
        <v>611997,16|5,0,0</v>
      </c>
    </row>
    <row r="17" spans="1:5" x14ac:dyDescent="0.25">
      <c r="A17" t="str">
        <f>CONCATENATE(611891,",",ROW(BCLCTTRGT_06613!A17),"|",COLUMN(BCLCTTRGT_06613!A17),",0",",0")</f>
        <v>611891,17|1,0,0</v>
      </c>
      <c r="B17" t="str">
        <f>CONCATENATE(612107,",",ROW(BCLCTTRGT_06613!B17),"|",COLUMN(BCLCTTRGT_06613!B17),",0",",0")</f>
        <v>612107,17|2,0,0</v>
      </c>
      <c r="C17" t="str">
        <f>CONCATENATE(611950,",",ROW(BCLCTTRGT_06613!C17),"|",COLUMN(BCLCTTRGT_06613!C17),",0",",0")</f>
        <v>611950,17|3,0,0</v>
      </c>
      <c r="D17" t="str">
        <f>CONCATENATE(612025,",",ROW(BCLCTTRGT_06613!D17),"|",COLUMN(BCLCTTRGT_06613!D17),",0",",0")</f>
        <v>612025,17|4,0,0</v>
      </c>
      <c r="E17" t="str">
        <f>CONCATENATE(612078,",",ROW(BCLCTTRGT_06613!E17),"|",COLUMN(BCLCTTRGT_06613!E17),",0",",0")</f>
        <v>612078,17|5,0,0</v>
      </c>
    </row>
    <row r="18" spans="1:5" x14ac:dyDescent="0.25">
      <c r="A18" t="str">
        <f>CONCATENATE(611920,",",ROW(BCLCTTRGT_06613!A18),"|",COLUMN(BCLCTTRGT_06613!A18),",0",",0")</f>
        <v>611920,18|1,0,0</v>
      </c>
      <c r="B18" t="str">
        <f>CONCATENATE(612093,",",ROW(BCLCTTRGT_06613!B18),"|",COLUMN(BCLCTTRGT_06613!B18),",0",",0")</f>
        <v>612093,18|2,0,0</v>
      </c>
      <c r="C18" t="str">
        <f>CONCATENATE(611937,",",ROW(BCLCTTRGT_06613!C18),"|",COLUMN(BCLCTTRGT_06613!C18),",0",",0")</f>
        <v>611937,18|3,0,0</v>
      </c>
      <c r="D18" t="str">
        <f>CONCATENATE(612026,",",ROW(BCLCTTRGT_06613!D18),"|",COLUMN(BCLCTTRGT_06613!D18),",0",",0")</f>
        <v>612026,18|4,0,0</v>
      </c>
      <c r="E18" t="str">
        <f>CONCATENATE(611954,",",ROW(BCLCTTRGT_06613!E18),"|",COLUMN(BCLCTTRGT_06613!E18),",0",",0")</f>
        <v>611954,18|5,0,0</v>
      </c>
    </row>
    <row r="19" spans="1:5" x14ac:dyDescent="0.25">
      <c r="A19" t="str">
        <f>CONCATENATE(611915,",",ROW(BCLCTTRGT_06613!A19),"|",COLUMN(BCLCTTRGT_06613!A19),",0",",0")</f>
        <v>611915,19|1,0,0</v>
      </c>
      <c r="B19" t="str">
        <f>CONCATENATE(612092,",",ROW(BCLCTTRGT_06613!B19),"|",COLUMN(BCLCTTRGT_06613!B19),",0",",0")</f>
        <v>612092,19|2,0,0</v>
      </c>
      <c r="C19" t="str">
        <f>CONCATENATE(611938,",",ROW(BCLCTTRGT_06613!C19),"|",COLUMN(BCLCTTRGT_06613!C19),",0",",0")</f>
        <v>611938,19|3,0,0</v>
      </c>
      <c r="D19" t="str">
        <f>CONCATENATE(612027,",",ROW(BCLCTTRGT_06613!D19),"|",COLUMN(BCLCTTRGT_06613!D19),",0",",0")</f>
        <v>612027,19|4,0,0</v>
      </c>
      <c r="E19" t="str">
        <f>CONCATENATE(611922,",",ROW(BCLCTTRGT_06613!E19),"|",COLUMN(BCLCTTRGT_06613!E19),",0",",0")</f>
        <v>611922,19|5,0,0</v>
      </c>
    </row>
    <row r="20" spans="1:5" x14ac:dyDescent="0.25">
      <c r="A20" t="str">
        <f>CONCATENATE(612012,",",ROW(BCLCTTRGT_06613!A20),"|",COLUMN(BCLCTTRGT_06613!A20),",0",",0")</f>
        <v>612012,20|1,0,0</v>
      </c>
      <c r="B20" t="str">
        <f>CONCATENATE(612082,",",ROW(BCLCTTRGT_06613!B20),"|",COLUMN(BCLCTTRGT_06613!B20),",0",",0")</f>
        <v>612082,20|2,0,0</v>
      </c>
      <c r="C20" t="str">
        <f>CONCATENATE(611939,",",ROW(BCLCTTRGT_06613!C20),"|",COLUMN(BCLCTTRGT_06613!C20),",0",",0")</f>
        <v>611939,20|3,0,0</v>
      </c>
      <c r="D20" t="str">
        <f>CONCATENATE(612028,",",ROW(BCLCTTRGT_06613!D20),"|",COLUMN(BCLCTTRGT_06613!D20),",0",",0")</f>
        <v>612028,20|4,0,0</v>
      </c>
      <c r="E20" t="str">
        <f>CONCATENATE(612046,",",ROW(BCLCTTRGT_06613!E20),"|",COLUMN(BCLCTTRGT_06613!E20),",0",",0")</f>
        <v>612046,20|5,0,0</v>
      </c>
    </row>
    <row r="21" spans="1:5" x14ac:dyDescent="0.25">
      <c r="A21" t="str">
        <f>CONCATENATE(611916,",",ROW(BCLCTTRGT_06613!A21),"|",COLUMN(BCLCTTRGT_06613!A21),",0",",0")</f>
        <v>611916,21|1,0,0</v>
      </c>
      <c r="B21" t="str">
        <f>CONCATENATE(612108,",",ROW(BCLCTTRGT_06613!B21),"|",COLUMN(BCLCTTRGT_06613!B21),",0",",0")</f>
        <v>612108,21|2,0,0</v>
      </c>
      <c r="C21" t="str">
        <f>CONCATENATE(611940,",",ROW(BCLCTTRGT_06613!C21),"|",COLUMN(BCLCTTRGT_06613!C21),",0",",0")</f>
        <v>611940,21|3,0,0</v>
      </c>
      <c r="D21" t="str">
        <f>CONCATENATE(612029,",",ROW(BCLCTTRGT_06613!D21),"|",COLUMN(BCLCTTRGT_06613!D21),",0",",0")</f>
        <v>612029,21|4,0,0</v>
      </c>
      <c r="E21" t="str">
        <f>CONCATENATE(612047,",",ROW(BCLCTTRGT_06613!E21),"|",COLUMN(BCLCTTRGT_06613!E21),",0",",0")</f>
        <v>612047,21|5,0,0</v>
      </c>
    </row>
    <row r="22" spans="1:5" x14ac:dyDescent="0.25">
      <c r="A22" t="str">
        <f>CONCATENATE(611923,",",ROW(BCLCTTRGT_06613!A22),"|",COLUMN(BCLCTTRGT_06613!A22),",0",",0")</f>
        <v>611923,22|1,0,0</v>
      </c>
      <c r="B22" t="str">
        <f>CONCATENATE(612083,",",ROW(BCLCTTRGT_06613!B22),"|",COLUMN(BCLCTTRGT_06613!B22),",0",",0")</f>
        <v>612083,22|2,0,0</v>
      </c>
      <c r="C22" t="str">
        <f>CONCATENATE(611941,",",ROW(BCLCTTRGT_06613!C22),"|",COLUMN(BCLCTTRGT_06613!C22),",0",",0")</f>
        <v>611941,22|3,0,0</v>
      </c>
      <c r="D22" t="str">
        <f>CONCATENATE(612030,",",ROW(BCLCTTRGT_06613!D22),"|",COLUMN(BCLCTTRGT_06613!D22),",0",",0")</f>
        <v>612030,22|4,0,0</v>
      </c>
      <c r="E22" t="str">
        <f>CONCATENATE(612048,",",ROW(BCLCTTRGT_06613!E22),"|",COLUMN(BCLCTTRGT_06613!E22),",0",",0")</f>
        <v>612048,22|5,0,0</v>
      </c>
    </row>
    <row r="23" spans="1:5" x14ac:dyDescent="0.25">
      <c r="A23" t="str">
        <f>CONCATENATE(611917,",",ROW(BCLCTTRGT_06613!A23),"|",COLUMN(BCLCTTRGT_06613!A23),",0",",0")</f>
        <v>611917,23|1,0,0</v>
      </c>
      <c r="B23" t="str">
        <f>CONCATENATE(612015,",",ROW(BCLCTTRGT_06613!B23),"|",COLUMN(BCLCTTRGT_06613!B23),",0",",0")</f>
        <v>612015,23|2,0,0</v>
      </c>
      <c r="C23" t="str">
        <f>CONCATENATE(611942,",",ROW(BCLCTTRGT_06613!C23),"|",COLUMN(BCLCTTRGT_06613!C23),",0",",0")</f>
        <v>611942,23|3,0,0</v>
      </c>
      <c r="D23" t="str">
        <f>CONCATENATE(612031,",",ROW(BCLCTTRGT_06613!D23),"|",COLUMN(BCLCTTRGT_06613!D23),",0",",0")</f>
        <v>612031,23|4,0,0</v>
      </c>
      <c r="E23" t="str">
        <f>CONCATENATE(612049,",",ROW(BCLCTTRGT_06613!E23),"|",COLUMN(BCLCTTRGT_06613!E23),",0",",0")</f>
        <v>612049,23|5,0,0</v>
      </c>
    </row>
    <row r="24" spans="1:5" x14ac:dyDescent="0.25">
      <c r="A24" t="str">
        <f>CONCATENATE(611918,",",ROW(BCLCTTRGT_06613!A24),"|",COLUMN(BCLCTTRGT_06613!A24),",0",",0")</f>
        <v>611918,24|1,0,0</v>
      </c>
      <c r="B24" t="str">
        <f>CONCATENATE(612163,",",ROW(BCLCTTRGT_06613!B24),"|",COLUMN(BCLCTTRGT_06613!B24),",0",",0")</f>
        <v>612163,24|2,0,0</v>
      </c>
      <c r="C24" t="str">
        <f>CONCATENATE(611943,",",ROW(BCLCTTRGT_06613!C24),"|",COLUMN(BCLCTTRGT_06613!C24),",0",",0")</f>
        <v>611943,24|3,0,0</v>
      </c>
      <c r="D24" t="str">
        <f>CONCATENATE(612032,",",ROW(BCLCTTRGT_06613!D24),"|",COLUMN(BCLCTTRGT_06613!D24),",0",",0")</f>
        <v>612032,24|4,0,0</v>
      </c>
      <c r="E24" t="str">
        <f>CONCATENATE(612050,",",ROW(BCLCTTRGT_06613!E24),"|",COLUMN(BCLCTTRGT_06613!E24),",0",",0")</f>
        <v>612050,24|5,0,0</v>
      </c>
    </row>
    <row r="25" spans="1:5" x14ac:dyDescent="0.25">
      <c r="A25" t="str">
        <f>CONCATENATE(611924,",",ROW(BCLCTTRGT_06613!A25),"|",COLUMN(BCLCTTRGT_06613!A25),",0",",0")</f>
        <v>611924,25|1,0,0</v>
      </c>
      <c r="B25" t="str">
        <f>CONCATENATE(612164,",",ROW(BCLCTTRGT_06613!B25),"|",COLUMN(BCLCTTRGT_06613!B25),",0",",0")</f>
        <v>612164,25|2,0,0</v>
      </c>
      <c r="C25" t="str">
        <f>CONCATENATE(611944,",",ROW(BCLCTTRGT_06613!C25),"|",COLUMN(BCLCTTRGT_06613!C25),",0",",0")</f>
        <v>611944,25|3,0,0</v>
      </c>
      <c r="D25" t="str">
        <f>CONCATENATE(612033,",",ROW(BCLCTTRGT_06613!D25),"|",COLUMN(BCLCTTRGT_06613!D25),",0",",0")</f>
        <v>612033,25|4,0,0</v>
      </c>
      <c r="E25" t="str">
        <f>CONCATENATE(612051,",",ROW(BCLCTTRGT_06613!E25),"|",COLUMN(BCLCTTRGT_06613!E25),",0",",0")</f>
        <v>612051,25|5,0,0</v>
      </c>
    </row>
    <row r="26" spans="1:5" x14ac:dyDescent="0.25">
      <c r="A26" t="str">
        <f>CONCATENATE(612158,",",ROW(BCLCTTRGT_06613!A26),"|",COLUMN(BCLCTTRGT_06613!A26),",0",",0")</f>
        <v>612158,26|1,0,0</v>
      </c>
      <c r="B26" t="str">
        <f>CONCATENATE(611835,",",ROW(BCLCTTRGT_06613!B26),"|",COLUMN(BCLCTTRGT_06613!B26),",0",",0")</f>
        <v>611835,26|2,0,0</v>
      </c>
      <c r="C26" t="str">
        <f>CONCATENATE(611945,",",ROW(BCLCTTRGT_06613!C26),"|",COLUMN(BCLCTTRGT_06613!C26),",0",",0")</f>
        <v>611945,26|3,0,0</v>
      </c>
      <c r="D26" t="str">
        <f>CONCATENATE(612034,",",ROW(BCLCTTRGT_06613!D26),"|",COLUMN(BCLCTTRGT_06613!D26),",0",",0")</f>
        <v>612034,26|4,0,0</v>
      </c>
      <c r="E26" t="str">
        <f>CONCATENATE(612052,",",ROW(BCLCTTRGT_06613!E26),"|",COLUMN(BCLCTTRGT_06613!E26),",0",",0")</f>
        <v>612052,26|5,0,0</v>
      </c>
    </row>
    <row r="27" spans="1:5" x14ac:dyDescent="0.25">
      <c r="A27" t="str">
        <f>CONCATENATE(612159,",",ROW(BCLCTTRGT_06613!A27),"|",COLUMN(BCLCTTRGT_06613!A27),",0",",0")</f>
        <v>612159,27|1,0,0</v>
      </c>
      <c r="B27" t="str">
        <f>CONCATENATE(612183,",",ROW(BCLCTTRGT_06613!B27),"|",COLUMN(BCLCTTRGT_06613!B27),",0",",0")</f>
        <v>612183,27|2,0,0</v>
      </c>
      <c r="C27" t="str">
        <f>CONCATENATE(611873,",",ROW(BCLCTTRGT_06613!C27),"|",COLUMN(BCLCTTRGT_06613!C27),",0",",0")</f>
        <v>611873,27|3,0,0</v>
      </c>
      <c r="D27" t="str">
        <f>CONCATENATE(611999,",",ROW(BCLCTTRGT_06613!D27),"|",COLUMN(BCLCTTRGT_06613!D27),",0",",0")</f>
        <v>611999,27|4,0,0</v>
      </c>
      <c r="E27" t="str">
        <f>CONCATENATE(611986,",",ROW(BCLCTTRGT_06613!E27),"|",COLUMN(BCLCTTRGT_06613!E27),",0",",0")</f>
        <v>611986,27|5,0,0</v>
      </c>
    </row>
    <row r="28" spans="1:5" x14ac:dyDescent="0.25">
      <c r="A28" t="str">
        <f>CONCATENATE(611893,",",ROW(BCLCTTRGT_06613!A28),"|",COLUMN(BCLCTTRGT_06613!A28),",0",",0")</f>
        <v>611893,28|1,0,0</v>
      </c>
      <c r="B28" t="str">
        <f>CONCATENATE(612109,",",ROW(BCLCTTRGT_06613!B28),"|",COLUMN(BCLCTTRGT_06613!B28),",0",",0")</f>
        <v>612109,28|2,0,0</v>
      </c>
      <c r="C28" t="str">
        <f>CONCATENATE(611946,",",ROW(BCLCTTRGT_06613!C28),"|",COLUMN(BCLCTTRGT_06613!C28),",0",",0")</f>
        <v>611946,28|3,0,0</v>
      </c>
      <c r="D28" t="str">
        <f>CONCATENATE(612035,",",ROW(BCLCTTRGT_06613!D28),"|",COLUMN(BCLCTTRGT_06613!D28),",0",",0")</f>
        <v>612035,28|4,0,0</v>
      </c>
      <c r="E28" t="str">
        <f>CONCATENATE(612053,",",ROW(BCLCTTRGT_06613!E28),"|",COLUMN(BCLCTTRGT_06613!E28),",0",",0")</f>
        <v>612053,28|5,0,0</v>
      </c>
    </row>
    <row r="29" spans="1:5" x14ac:dyDescent="0.25">
      <c r="A29" t="str">
        <f>CONCATENATE(611925,",",ROW(BCLCTTRGT_06613!A29),"|",COLUMN(BCLCTTRGT_06613!A29),",0",",0")</f>
        <v>611925,29|1,0,0</v>
      </c>
      <c r="B29" t="str">
        <f>CONCATENATE(612077,",",ROW(BCLCTTRGT_06613!B29),"|",COLUMN(BCLCTTRGT_06613!B29),",0",",0")</f>
        <v>612077,29|2,0,0</v>
      </c>
      <c r="C29" t="str">
        <f>CONCATENATE(611947,",",ROW(BCLCTTRGT_06613!C29),"|",COLUMN(BCLCTTRGT_06613!C29),",0",",0")</f>
        <v>611947,29|3,0,0</v>
      </c>
      <c r="D29" t="str">
        <f>CONCATENATE(612036,",",ROW(BCLCTTRGT_06613!D29),"|",COLUMN(BCLCTTRGT_06613!D29),",0",",0")</f>
        <v>612036,29|4,0,0</v>
      </c>
      <c r="E29" t="str">
        <f>CONCATENATE(612054,",",ROW(BCLCTTRGT_06613!E29),"|",COLUMN(BCLCTTRGT_06613!E29),",0",",0")</f>
        <v>612054,29|5,0,0</v>
      </c>
    </row>
    <row r="30" spans="1:5" x14ac:dyDescent="0.25">
      <c r="A30" t="str">
        <f>CONCATENATE(611908,",",ROW(BCLCTTRGT_06613!A30),"|",COLUMN(BCLCTTRGT_06613!A30),",0",",0")</f>
        <v>611908,30|1,0,0</v>
      </c>
      <c r="B30" t="str">
        <f>CONCATENATE(611836,",",ROW(BCLCTTRGT_06613!B30),"|",COLUMN(BCLCTTRGT_06613!B30),",0",",0")</f>
        <v>611836,30|2,0,0</v>
      </c>
      <c r="C30" t="str">
        <f>CONCATENATE(612134,",",ROW(BCLCTTRGT_06613!C30),"|",COLUMN(BCLCTTRGT_06613!C30),",0",",0")</f>
        <v>612134,30|3,0,0</v>
      </c>
      <c r="D30" t="str">
        <f>CONCATENATE(611969,",",ROW(BCLCTTRGT_06613!D30),"|",COLUMN(BCLCTTRGT_06613!D30),",0",",0")</f>
        <v>611969,30|4,0,0</v>
      </c>
      <c r="E30" t="str">
        <f>CONCATENATE(611930,",",ROW(BCLCTTRGT_06613!E30),"|",COLUMN(BCLCTTRGT_06613!E30),",0",",0")</f>
        <v>611930,30|5,0,0</v>
      </c>
    </row>
    <row r="31" spans="1:5" x14ac:dyDescent="0.25">
      <c r="A31" t="str">
        <f>CONCATENATE(611909,",",ROW(BCLCTTRGT_06613!A31),"|",COLUMN(BCLCTTRGT_06613!A31),",0",",0")</f>
        <v>611909,31|1,0,0</v>
      </c>
      <c r="B31" t="str">
        <f>CONCATENATE(612016,",",ROW(BCLCTTRGT_06613!B31),"|",COLUMN(BCLCTTRGT_06613!B31),",0",",0")</f>
        <v>612016,31|2,0,0</v>
      </c>
      <c r="C31" t="str">
        <f>CONCATENATE(612064,",",ROW(BCLCTTRGT_06613!C31),"|",COLUMN(BCLCTTRGT_06613!C31),",0",",0")</f>
        <v>612064,31|3,0,0</v>
      </c>
      <c r="D31" t="str">
        <f>CONCATENATE(611970,",",ROW(BCLCTTRGT_06613!D31),"|",COLUMN(BCLCTTRGT_06613!D31),",0",",0")</f>
        <v>611970,31|4,0,0</v>
      </c>
      <c r="E31" t="str">
        <f>CONCATENATE(611931,",",ROW(BCLCTTRGT_06613!E31),"|",COLUMN(BCLCTTRGT_06613!E31),",0",",0")</f>
        <v>611931,31|5,0,0</v>
      </c>
    </row>
    <row r="32" spans="1:5" x14ac:dyDescent="0.25">
      <c r="A32" t="str">
        <f>CONCATENATE(611845,",",ROW(BCLCTTRGT_06613!A32),"|",COLUMN(BCLCTTRGT_06613!A32),",0",",0")</f>
        <v>611845,32|1,0,0</v>
      </c>
      <c r="B32" t="str">
        <f>CONCATENATE(612084,",",ROW(BCLCTTRGT_06613!B32),"|",COLUMN(BCLCTTRGT_06613!B32),",0",",0")</f>
        <v>612084,32|2,0,0</v>
      </c>
      <c r="C32" t="str">
        <f>CONCATENATE(611948,",",ROW(BCLCTTRGT_06613!C32),"|",COLUMN(BCLCTTRGT_06613!C32),",0",",0")</f>
        <v>611948,32|3,0,0</v>
      </c>
      <c r="D32" t="str">
        <f>CONCATENATE(612037,",",ROW(BCLCTTRGT_06613!D32),"|",COLUMN(BCLCTTRGT_06613!D32),",0",",0")</f>
        <v>612037,32|4,0,0</v>
      </c>
      <c r="E32" t="str">
        <f>CONCATENATE(612055,",",ROW(BCLCTTRGT_06613!E32),"|",COLUMN(BCLCTTRGT_06613!E32),",0",",0")</f>
        <v>612055,32|5,0,0</v>
      </c>
    </row>
    <row r="33" spans="1:5" x14ac:dyDescent="0.25">
      <c r="A33" t="str">
        <f>CONCATENATE(611829,",",ROW(BCLCTTRGT_06613!A33),"|",COLUMN(BCLCTTRGT_06613!A33),",0",",0")</f>
        <v>611829,33|1,0,0</v>
      </c>
      <c r="B33" t="str">
        <f>CONCATENATE(612185,",",ROW(BCLCTTRGT_06613!B33),"|",COLUMN(BCLCTTRGT_06613!B33),",0",",0")</f>
        <v>612185,33|2,0,0</v>
      </c>
      <c r="C33" t="str">
        <f>CONCATENATE(611874,",",ROW(BCLCTTRGT_06613!C33),"|",COLUMN(BCLCTTRGT_06613!C33),",0",",0")</f>
        <v>611874,33|3,0,0</v>
      </c>
      <c r="D33" t="str">
        <f>CONCATENATE(612000,",",ROW(BCLCTTRGT_06613!D33),"|",COLUMN(BCLCTTRGT_06613!D33),",0",",0")</f>
        <v>612000,33|4,0,0</v>
      </c>
      <c r="E33" t="str">
        <f>CONCATENATE(611987,",",ROW(BCLCTTRGT_06613!E33),"|",COLUMN(BCLCTTRGT_06613!E33),",0",",0")</f>
        <v>611987,33|5,0,0</v>
      </c>
    </row>
    <row r="34" spans="1:5" x14ac:dyDescent="0.25">
      <c r="A34" t="str">
        <f>CONCATENATE(611894,",",ROW(BCLCTTRGT_06613!A34),"|",COLUMN(BCLCTTRGT_06613!A34),",0",",0")</f>
        <v>611894,34|1,0,0</v>
      </c>
      <c r="B34" t="str">
        <f>CONCATENATE(612017,",",ROW(BCLCTTRGT_06613!B34),"|",COLUMN(BCLCTTRGT_06613!B34),",0",",0")</f>
        <v>612017,34|2,0,0</v>
      </c>
      <c r="C34" t="str">
        <f>CONCATENATE(611949,",",ROW(BCLCTTRGT_06613!C34),"|",COLUMN(BCLCTTRGT_06613!C34),",0",",0")</f>
        <v>611949,34|3,0,0</v>
      </c>
      <c r="D34" t="str">
        <f>CONCATENATE(612038,",",ROW(BCLCTTRGT_06613!D34),"|",COLUMN(BCLCTTRGT_06613!D34),",0",",0")</f>
        <v>612038,34|4,0,0</v>
      </c>
      <c r="E34" t="str">
        <f>CONCATENATE(612056,",",ROW(BCLCTTRGT_06613!E34),"|",COLUMN(BCLCTTRGT_06613!E34),",0",",0")</f>
        <v>612056,34|5,0,0</v>
      </c>
    </row>
    <row r="35" spans="1:5" x14ac:dyDescent="0.25">
      <c r="A35" t="str">
        <f>CONCATENATE(611895,",",ROW(BCLCTTRGT_06613!A35),"|",COLUMN(BCLCTTRGT_06613!A35),",0",",0")</f>
        <v>611895,35|1,0,0</v>
      </c>
      <c r="B35" t="str">
        <f>CONCATENATE(611896,",",ROW(BCLCTTRGT_06613!B35),"|",COLUMN(BCLCTTRGT_06613!B35),",0",",0")</f>
        <v>611896,35|2,0,0</v>
      </c>
      <c r="C35" t="str">
        <f>CONCATENATE(611951,",",ROW(BCLCTTRGT_06613!C35),"|",COLUMN(BCLCTTRGT_06613!C35),",0",",0")</f>
        <v>611951,35|3,0,0</v>
      </c>
      <c r="D35" t="str">
        <f>CONCATENATE(612039,",",ROW(BCLCTTRGT_06613!D35),"|",COLUMN(BCLCTTRGT_06613!D35),",0",",0")</f>
        <v>612039,35|4,0,0</v>
      </c>
      <c r="E35" t="str">
        <f>CONCATENATE(612057,",",ROW(BCLCTTRGT_06613!E35),"|",COLUMN(BCLCTTRGT_06613!E35),",0",",0")</f>
        <v>612057,35|5,0,0</v>
      </c>
    </row>
    <row r="36" spans="1:5" x14ac:dyDescent="0.25">
      <c r="A36" t="str">
        <f>CONCATENATE(612004,",",ROW(BCLCTTRGT_06613!A36),"|",COLUMN(BCLCTTRGT_06613!A36),",0",",0")</f>
        <v>612004,36|1,0,0</v>
      </c>
      <c r="B36" t="str">
        <f>CONCATENATE(611848,",",ROW(BCLCTTRGT_06613!B36),"|",COLUMN(BCLCTTRGT_06613!B36),",0",",0")</f>
        <v>611848,36|2,0,0</v>
      </c>
      <c r="C36" t="str">
        <f>CONCATENATE(612066,",",ROW(BCLCTTRGT_06613!C36),"|",COLUMN(BCLCTTRGT_06613!C36),",0",",0")</f>
        <v>612066,36|3,0,0</v>
      </c>
      <c r="D36" t="str">
        <f>CONCATENATE(611972,",",ROW(BCLCTTRGT_06613!D36),"|",COLUMN(BCLCTTRGT_06613!D36),",0",",0")</f>
        <v>611972,36|4,0,0</v>
      </c>
      <c r="E36" t="str">
        <f>CONCATENATE(611933,",",ROW(BCLCTTRGT_06613!E36),"|",COLUMN(BCLCTTRGT_06613!E36),",0",",0")</f>
        <v>611933,36|5,0,0</v>
      </c>
    </row>
    <row r="37" spans="1:5" x14ac:dyDescent="0.25">
      <c r="A37" t="str">
        <f>CONCATENATE(612005,",",ROW(BCLCTTRGT_06613!A37),"|",COLUMN(BCLCTTRGT_06613!A37),",0",",0")</f>
        <v>612005,37|1,0,0</v>
      </c>
      <c r="B37" t="str">
        <f>CONCATENATE(611897,",",ROW(BCLCTTRGT_06613!B37),"|",COLUMN(BCLCTTRGT_06613!B37),",0",",0")</f>
        <v>611897,37|2,0,0</v>
      </c>
      <c r="C37" t="str">
        <f>CONCATENATE(612067,",",ROW(BCLCTTRGT_06613!C37),"|",COLUMN(BCLCTTRGT_06613!C37),",0",",0")</f>
        <v>612067,37|3,0,0</v>
      </c>
      <c r="D37" t="str">
        <f>CONCATENATE(611973,",",ROW(BCLCTTRGT_06613!D37),"|",COLUMN(BCLCTTRGT_06613!D37),",0",",0")</f>
        <v>611973,37|4,0,0</v>
      </c>
      <c r="E37" t="str">
        <f>CONCATENATE(611934,",",ROW(BCLCTTRGT_06613!E37),"|",COLUMN(BCLCTTRGT_06613!E37),",0",",0")</f>
        <v>611934,37|5,0,0</v>
      </c>
    </row>
    <row r="38" spans="1:5" x14ac:dyDescent="0.25">
      <c r="A38" t="str">
        <f>CONCATENATE(611910,",",ROW(BCLCTTRGT_06613!A38),"|",COLUMN(BCLCTTRGT_06613!A38),",0",",0")</f>
        <v>611910,38|1,0,0</v>
      </c>
      <c r="B38" t="str">
        <f>CONCATENATE(612110,",",ROW(BCLCTTRGT_06613!B38),"|",COLUMN(BCLCTTRGT_06613!B38),",0",",0")</f>
        <v>612110,38|2,0,0</v>
      </c>
      <c r="C38" t="str">
        <f>CONCATENATE(612065,",",ROW(BCLCTTRGT_06613!C38),"|",COLUMN(BCLCTTRGT_06613!C38),",0",",0")</f>
        <v>612065,38|3,0,0</v>
      </c>
      <c r="D38" t="str">
        <f>CONCATENATE(611971,",",ROW(BCLCTTRGT_06613!D38),"|",COLUMN(BCLCTTRGT_06613!D38),",0",",0")</f>
        <v>611971,38|4,0,0</v>
      </c>
      <c r="E38" t="str">
        <f>CONCATENATE(611932,",",ROW(BCLCTTRGT_06613!E38),"|",COLUMN(BCLCTTRGT_06613!E38),",0",",0")</f>
        <v>611932,38|5,0,0</v>
      </c>
    </row>
    <row r="39" spans="1:5" x14ac:dyDescent="0.25">
      <c r="A39" t="str">
        <f>CONCATENATE(611830,",",ROW(BCLCTTRGT_06613!A39),"|",COLUMN(BCLCTTRGT_06613!A39),",0",",0")</f>
        <v>611830,39|1,0,0</v>
      </c>
      <c r="B39" t="str">
        <f>CONCATENATE(611898,",",ROW(BCLCTTRGT_06613!B39),"|",COLUMN(BCLCTTRGT_06613!B39),",0",",0")</f>
        <v>611898,39|2,0,0</v>
      </c>
      <c r="C39" t="str">
        <f>CONCATENATE(612068,",",ROW(BCLCTTRGT_06613!C39),"|",COLUMN(BCLCTTRGT_06613!C39),",0",",0")</f>
        <v>612068,39|3,0,0</v>
      </c>
      <c r="D39" t="str">
        <f>CONCATENATE(611974,",",ROW(BCLCTTRGT_06613!D39),"|",COLUMN(BCLCTTRGT_06613!D39),",0",",0")</f>
        <v>611974,39|4,0,0</v>
      </c>
      <c r="E39" t="str">
        <f>CONCATENATE(611935,",",ROW(BCLCTTRGT_06613!E39),"|",COLUMN(BCLCTTRGT_06613!E39),",0",",0")</f>
        <v>611935,39|5,0,0</v>
      </c>
    </row>
    <row r="40" spans="1:5" x14ac:dyDescent="0.25">
      <c r="A40" t="str">
        <f>CONCATENATE(611926,",",ROW(BCLCTTRGT_06613!A40),"|",COLUMN(BCLCTTRGT_06613!A40),",0",",0")</f>
        <v>611926,40|1,0,0</v>
      </c>
      <c r="B40" t="str">
        <f>CONCATENATE(612186,",",ROW(BCLCTTRGT_06613!B40),"|",COLUMN(BCLCTTRGT_06613!B40),",0",",0")</f>
        <v>612186,40|2,0,0</v>
      </c>
      <c r="C40" t="str">
        <f>CONCATENATE(612069,",",ROW(BCLCTTRGT_06613!C40),"|",COLUMN(BCLCTTRGT_06613!C40),",0",",0")</f>
        <v>612069,40|3,0,0</v>
      </c>
      <c r="D40" t="str">
        <f>CONCATENATE(611975,",",ROW(BCLCTTRGT_06613!D40),"|",COLUMN(BCLCTTRGT_06613!D40),",0",",0")</f>
        <v>611975,40|4,0,0</v>
      </c>
      <c r="E40" t="str">
        <f>CONCATENATE(611936,",",ROW(BCLCTTRGT_06613!E40),"|",COLUMN(BCLCTTRGT_06613!E40),",0",",0")</f>
        <v>611936,40|5,0,0</v>
      </c>
    </row>
    <row r="41" spans="1:5" x14ac:dyDescent="0.25">
      <c r="A41" t="str">
        <f>CONCATENATE(612160,",",ROW(BCLCTTRGT_06613!A41),"|",COLUMN(BCLCTTRGT_06613!A41),",0",",0")</f>
        <v>612160,41|1,0,0</v>
      </c>
      <c r="B41" t="str">
        <f>CONCATENATE(611955,",",ROW(BCLCTTRGT_06613!B41),"|",COLUMN(BCLCTTRGT_06613!B41),",0",",0")</f>
        <v>611955,41|2,0,0</v>
      </c>
      <c r="C41" t="str">
        <f>CONCATENATE(612070,",",ROW(BCLCTTRGT_06613!C41),"|",COLUMN(BCLCTTRGT_06613!C41),",0",",0")</f>
        <v>612070,41|3,0,0</v>
      </c>
      <c r="D41" t="str">
        <f>CONCATENATE(611983,",",ROW(BCLCTTRGT_06613!D41),"|",COLUMN(BCLCTTRGT_06613!D41),",0",",0")</f>
        <v>611983,41|4,0,0</v>
      </c>
      <c r="E41" t="str">
        <f>CONCATENATE(611814,",",ROW(BCLCTTRGT_06613!E41),"|",COLUMN(BCLCTTRGT_06613!E41),",0",",0")</f>
        <v>611814,41|5,0,0</v>
      </c>
    </row>
    <row r="42" spans="1:5" x14ac:dyDescent="0.25">
      <c r="A42" t="str">
        <f>CONCATENATE(611831,",",ROW(BCLCTTRGT_06613!A42),"|",COLUMN(BCLCTTRGT_06613!A42),",0",",0")</f>
        <v>611831,42|1,0,0</v>
      </c>
      <c r="B42" t="str">
        <f>CONCATENATE(611849,",",ROW(BCLCTTRGT_06613!B42),"|",COLUMN(BCLCTTRGT_06613!B42),",0",",0")</f>
        <v>611849,42|2,0,0</v>
      </c>
      <c r="C42" t="str">
        <f>CONCATENATE(612071,",",ROW(BCLCTTRGT_06613!C42),"|",COLUMN(BCLCTTRGT_06613!C42),",0",",0")</f>
        <v>612071,42|3,0,0</v>
      </c>
      <c r="D42" t="str">
        <f>CONCATENATE(611984,",",ROW(BCLCTTRGT_06613!D42),"|",COLUMN(BCLCTTRGT_06613!D42),",0",",0")</f>
        <v>611984,42|4,0,0</v>
      </c>
      <c r="E42" t="str">
        <f>CONCATENATE(611815,",",ROW(BCLCTTRGT_06613!E42),"|",COLUMN(BCLCTTRGT_06613!E42),",0",",0")</f>
        <v>611815,42|5,0,0</v>
      </c>
    </row>
    <row r="43" spans="1:5" x14ac:dyDescent="0.25">
      <c r="A43" t="str">
        <f>CONCATENATE(611927,",",ROW(BCLCTTRGT_06613!A43),"|",COLUMN(BCLCTTRGT_06613!A43),",0",",0")</f>
        <v>611927,43|1,0,0</v>
      </c>
      <c r="B43" t="str">
        <f>CONCATENATE(611899,",",ROW(BCLCTTRGT_06613!B43),"|",COLUMN(BCLCTTRGT_06613!B43),",0",",0")</f>
        <v>611899,43|2,0,0</v>
      </c>
      <c r="C43" t="str">
        <f>CONCATENATE(612072,",",ROW(BCLCTTRGT_06613!C43),"|",COLUMN(BCLCTTRGT_06613!C43),",0",",0")</f>
        <v>612072,43|3,0,0</v>
      </c>
      <c r="D43" t="str">
        <f>CONCATENATE(612132,",",ROW(BCLCTTRGT_06613!D43),"|",COLUMN(BCLCTTRGT_06613!D43),",0",",0")</f>
        <v>612132,43|4,0,0</v>
      </c>
      <c r="E43" t="str">
        <f>CONCATENATE(611816,",",ROW(BCLCTTRGT_06613!E43),"|",COLUMN(BCLCTTRGT_06613!E43),",0",",0")</f>
        <v>611816,43|5,0,0</v>
      </c>
    </row>
    <row r="44" spans="1:5" x14ac:dyDescent="0.25">
      <c r="A44" t="str">
        <f>CONCATENATE(611928,",",ROW(BCLCTTRGT_06613!A44),"|",COLUMN(BCLCTTRGT_06613!A44),",0",",0")</f>
        <v>611928,44|1,0,0</v>
      </c>
      <c r="B44" t="str">
        <f>CONCATENATE(611956,",",ROW(BCLCTTRGT_06613!B44),"|",COLUMN(BCLCTTRGT_06613!B44),",0",",0")</f>
        <v>611956,44|2,0,0</v>
      </c>
      <c r="C44" t="str">
        <f>CONCATENATE(612073,",",ROW(BCLCTTRGT_06613!C44),"|",COLUMN(BCLCTTRGT_06613!C44),",0",",0")</f>
        <v>612073,44|3,0,0</v>
      </c>
      <c r="D44" t="str">
        <f>CONCATENATE(612133,",",ROW(BCLCTTRGT_06613!D44),"|",COLUMN(BCLCTTRGT_06613!D44),",0",",0")</f>
        <v>612133,44|4,0,0</v>
      </c>
      <c r="E44" t="str">
        <f>CONCATENATE(611817,",",ROW(BCLCTTRGT_06613!E44),"|",COLUMN(BCLCTTRGT_06613!E44),",0",",0")</f>
        <v>611817,44|5,0,0</v>
      </c>
    </row>
    <row r="45" spans="1:5" x14ac:dyDescent="0.25">
      <c r="A45" t="str">
        <f>CONCATENATE(612006,",",ROW(BCLCTTRGT_06613!A45),"|",COLUMN(BCLCTTRGT_06613!A45),",0",",0")</f>
        <v>612006,45|1,0,0</v>
      </c>
      <c r="B45" t="str">
        <f>CONCATENATE(611900,",",ROW(BCLCTTRGT_06613!B45),"|",COLUMN(BCLCTTRGT_06613!B45),",0",",0")</f>
        <v>611900,45|2,0,0</v>
      </c>
      <c r="C45" t="str">
        <f>CONCATENATE(612074,",",ROW(BCLCTTRGT_06613!C45),"|",COLUMN(BCLCTTRGT_06613!C45),",0",",0")</f>
        <v>612074,45|3,0,0</v>
      </c>
      <c r="D45" t="str">
        <f>CONCATENATE(612161,",",ROW(BCLCTTRGT_06613!D45),"|",COLUMN(BCLCTTRGT_06613!D45),",0",",0")</f>
        <v>612161,45|4,0,0</v>
      </c>
      <c r="E45" t="str">
        <f>CONCATENATE(611818,",",ROW(BCLCTTRGT_06613!E45),"|",COLUMN(BCLCTTRGT_06613!E45),",0",",0")</f>
        <v>611818,45|5,0,0</v>
      </c>
    </row>
    <row r="46" spans="1:5" x14ac:dyDescent="0.25">
      <c r="A46" t="str">
        <f>CONCATENATE(611832,",",ROW(BCLCTTRGT_06613!A46),"|",COLUMN(BCLCTTRGT_06613!A46),",0",",0")</f>
        <v>611832,46|1,0,0</v>
      </c>
      <c r="B46" t="str">
        <f>CONCATENATE(611850,",",ROW(BCLCTTRGT_06613!B46),"|",COLUMN(BCLCTTRGT_06613!B46),",0",",0")</f>
        <v>611850,46|2,0,0</v>
      </c>
      <c r="C46" t="str">
        <f>CONCATENATE(612075,",",ROW(BCLCTTRGT_06613!C46),"|",COLUMN(BCLCTTRGT_06613!C46),",0",",0")</f>
        <v>612075,46|3,0,0</v>
      </c>
      <c r="D46" t="str">
        <f>CONCATENATE(612135,",",ROW(BCLCTTRGT_06613!D46),"|",COLUMN(BCLCTTRGT_06613!D46),",0",",0")</f>
        <v>612135,46|4,0,0</v>
      </c>
      <c r="E46" t="str">
        <f>CONCATENATE(611819,",",ROW(BCLCTTRGT_06613!E46),"|",COLUMN(BCLCTTRGT_06613!E46),",0",",0")</f>
        <v>611819,46|5,0,0</v>
      </c>
    </row>
    <row r="47" spans="1:5" x14ac:dyDescent="0.25">
      <c r="A47" t="str">
        <f>CONCATENATE(611904,",",ROW(BCLCTTRGT_06613!A47),"|",COLUMN(BCLCTTRGT_06613!A47),",0",",0")</f>
        <v>611904,47|1,0,0</v>
      </c>
      <c r="B47" t="str">
        <f>CONCATENATE(611901,",",ROW(BCLCTTRGT_06613!B47),"|",COLUMN(BCLCTTRGT_06613!B47),",0",",0")</f>
        <v>611901,47|2,0,0</v>
      </c>
      <c r="C47" t="str">
        <f>CONCATENATE(612076,",",ROW(BCLCTTRGT_06613!C47),"|",COLUMN(BCLCTTRGT_06613!C47),",0",",0")</f>
        <v>612076,47|3,0,0</v>
      </c>
      <c r="D47" t="str">
        <f>CONCATENATE(612136,",",ROW(BCLCTTRGT_06613!D47),"|",COLUMN(BCLCTTRGT_06613!D47),",0",",0")</f>
        <v>612136,47|4,0,0</v>
      </c>
      <c r="E47" t="str">
        <f>CONCATENATE(611820,",",ROW(BCLCTTRGT_06613!E47),"|",COLUMN(BCLCTTRGT_06613!E47),",0",",0")</f>
        <v>611820,47|5,0,0</v>
      </c>
    </row>
    <row r="48" spans="1:5" x14ac:dyDescent="0.25">
      <c r="A48" t="str">
        <f>CONCATENATE(611833,",",ROW(BCLCTTRGT_06613!A48),"|",COLUMN(BCLCTTRGT_06613!A48),",0",",0")</f>
        <v>611833,48|1,0,0</v>
      </c>
      <c r="B48" t="str">
        <f>CONCATENATE(611961,",",ROW(BCLCTTRGT_06613!B48),"|",COLUMN(BCLCTTRGT_06613!B48),",0",",0")</f>
        <v>611961,48|2,0,0</v>
      </c>
      <c r="C48" t="str">
        <f>CONCATENATE(612094,",",ROW(BCLCTTRGT_06613!C48),"|",COLUMN(BCLCTTRGT_06613!C48),",0",",0")</f>
        <v>612094,48|3,0,0</v>
      </c>
      <c r="D48" t="str">
        <f>CONCATENATE(612137,",",ROW(BCLCTTRGT_06613!D48),"|",COLUMN(BCLCTTRGT_06613!D48),",0",",0")</f>
        <v>612137,48|4,0,0</v>
      </c>
      <c r="E48" t="str">
        <f>CONCATENATE(611821,",",ROW(BCLCTTRGT_06613!E48),"|",COLUMN(BCLCTTRGT_06613!E48),",0",",0")</f>
        <v>611821,48|5,0,0</v>
      </c>
    </row>
    <row r="49" spans="1:5" x14ac:dyDescent="0.25">
      <c r="A49" t="str">
        <f>CONCATENATE(612007,",",ROW(BCLCTTRGT_06613!A49),"|",COLUMN(BCLCTTRGT_06613!A49),",0",",0")</f>
        <v>612007,49|1,0,0</v>
      </c>
      <c r="B49" t="str">
        <f>CONCATENATE(612187,",",ROW(BCLCTTRGT_06613!B49),"|",COLUMN(BCLCTTRGT_06613!B49),",0",",0")</f>
        <v>612187,49|2,0,0</v>
      </c>
      <c r="C49" t="str">
        <f>CONCATENATE(612095,",",ROW(BCLCTTRGT_06613!C49),"|",COLUMN(BCLCTTRGT_06613!C49),",0",",0")</f>
        <v>612095,49|3,0,0</v>
      </c>
      <c r="D49" t="str">
        <f>CONCATENATE(612138,",",ROW(BCLCTTRGT_06613!D49),"|",COLUMN(BCLCTTRGT_06613!D49),",0",",0")</f>
        <v>612138,49|4,0,0</v>
      </c>
      <c r="E49" t="str">
        <f>CONCATENATE(611822,",",ROW(BCLCTTRGT_06613!E49),"|",COLUMN(BCLCTTRGT_06613!E49),",0",",0")</f>
        <v>611822,49|5,0,0</v>
      </c>
    </row>
    <row r="50" spans="1:5" x14ac:dyDescent="0.25">
      <c r="A50" t="str">
        <f>CONCATENATE(611958,",",ROW(BCLCTTRGT_06613!A50),"|",COLUMN(BCLCTTRGT_06613!A50),",0",",0")</f>
        <v>611958,50|1,0,0</v>
      </c>
      <c r="B50" t="str">
        <f>CONCATENATE(612165,",",ROW(BCLCTTRGT_06613!B50),"|",COLUMN(BCLCTTRGT_06613!B50),",0",",0")</f>
        <v>612165,50|2,0,0</v>
      </c>
      <c r="C50" t="str">
        <f>CONCATENATE(612096,",",ROW(BCLCTTRGT_06613!C50),"|",COLUMN(BCLCTTRGT_06613!C50),",0",",0")</f>
        <v>612096,50|3,0,0</v>
      </c>
      <c r="D50" t="str">
        <f>CONCATENATE(612139,",",ROW(BCLCTTRGT_06613!D50),"|",COLUMN(BCLCTTRGT_06613!D50),",0",",0")</f>
        <v>612139,50|4,0,0</v>
      </c>
      <c r="E50" t="str">
        <f>CONCATENATE(612184,",",ROW(BCLCTTRGT_06613!E50),"|",COLUMN(BCLCTTRGT_06613!E50),",0",",0")</f>
        <v>612184,50|5,0,0</v>
      </c>
    </row>
    <row r="51" spans="1:5" x14ac:dyDescent="0.25">
      <c r="A51" t="str">
        <f>CONCATENATE(612085,",",ROW(BCLCTTRGT_06613!A51),"|",COLUMN(BCLCTTRGT_06613!A51),",0",",0")</f>
        <v>612085,51|1,0,0</v>
      </c>
      <c r="B51" t="str">
        <f>CONCATENATE(612166,",",ROW(BCLCTTRGT_06613!B51),"|",COLUMN(BCLCTTRGT_06613!B51),",0",",0")</f>
        <v>612166,51|2,0,0</v>
      </c>
      <c r="C51" t="str">
        <f>CONCATENATE(612097,",",ROW(BCLCTTRGT_06613!C51),"|",COLUMN(BCLCTTRGT_06613!C51),",0",",0")</f>
        <v>612097,51|3,0,0</v>
      </c>
      <c r="D51" t="str">
        <f>CONCATENATE(612140,",",ROW(BCLCTTRGT_06613!D51),"|",COLUMN(BCLCTTRGT_06613!D51),",0",",0")</f>
        <v>612140,51|4,0,0</v>
      </c>
      <c r="E51" t="str">
        <f>CONCATENATE(611823,",",ROW(BCLCTTRGT_06613!E51),"|",COLUMN(BCLCTTRGT_06613!E51),",0",",0")</f>
        <v>611823,51|5,0,0</v>
      </c>
    </row>
    <row r="52" spans="1:5" x14ac:dyDescent="0.25">
      <c r="A52" t="str">
        <f>CONCATENATE(611905,",",ROW(BCLCTTRGT_06613!A52),"|",COLUMN(BCLCTTRGT_06613!A52),",0",",0")</f>
        <v>611905,52|1,0,0</v>
      </c>
      <c r="B52" t="s">
        <v>5</v>
      </c>
      <c r="C52" t="str">
        <f>CONCATENATE(612098,",",ROW(BCLCTTRGT_06613!C52),"|",COLUMN(BCLCTTRGT_06613!C52),",0",",0")</f>
        <v>612098,52|3,0,0</v>
      </c>
      <c r="D52" t="str">
        <f>CONCATENATE(612141,",",ROW(BCLCTTRGT_06613!D52),"|",COLUMN(BCLCTTRGT_06613!D52),",0",",0")</f>
        <v>612141,52|4,0,0</v>
      </c>
      <c r="E52" t="str">
        <f>CONCATENATE(611824,",",ROW(BCLCTTRGT_06613!E52),"|",COLUMN(BCLCTTRGT_06613!E52),",0",",0")</f>
        <v>611824,52|5,0,0</v>
      </c>
    </row>
    <row r="53" spans="1:5" x14ac:dyDescent="0.25">
      <c r="A53" t="str">
        <f>CONCATENATE(611959,",",ROW(BCLCTTRGT_06613!A53),"|",COLUMN(BCLCTTRGT_06613!A53),",0",",0")</f>
        <v>611959,53|1,0,0</v>
      </c>
      <c r="B53" t="str">
        <f>CONCATENATE(612111,",",ROW(BCLCTTRGT_06613!B53),"|",COLUMN(BCLCTTRGT_06613!B53),",0",",0")</f>
        <v>612111,53|2,0,0</v>
      </c>
      <c r="C53" t="str">
        <f>CONCATENATE(612099,",",ROW(BCLCTTRGT_06613!C53),"|",COLUMN(BCLCTTRGT_06613!C53),",0",",0")</f>
        <v>612099,53|3,0,0</v>
      </c>
      <c r="D53" t="str">
        <f>CONCATENATE(612142,",",ROW(BCLCTTRGT_06613!D53),"|",COLUMN(BCLCTTRGT_06613!D53),",0",",0")</f>
        <v>612142,53|4,0,0</v>
      </c>
      <c r="E53" t="str">
        <f>CONCATENATE(611825,",",ROW(BCLCTTRGT_06613!E53),"|",COLUMN(BCLCTTRGT_06613!E53),",0",",0")</f>
        <v>611825,53|5,0,0</v>
      </c>
    </row>
    <row r="54" spans="1:5" x14ac:dyDescent="0.25">
      <c r="A54" t="str">
        <f>CONCATENATE(611834,",",ROW(BCLCTTRGT_06613!A54),"|",COLUMN(BCLCTTRGT_06613!A54),",0",",0")</f>
        <v>611834,54|1,0,0</v>
      </c>
      <c r="B54" t="str">
        <f>CONCATENATE(612112,",",ROW(BCLCTTRGT_06613!B54),"|",COLUMN(BCLCTTRGT_06613!B54),",0",",0")</f>
        <v>612112,54|2,0,0</v>
      </c>
      <c r="C54" t="str">
        <f>CONCATENATE(612100,",",ROW(BCLCTTRGT_06613!C54),"|",COLUMN(BCLCTTRGT_06613!C54),",0",",0")</f>
        <v>612100,54|3,0,0</v>
      </c>
      <c r="D54" t="str">
        <f>CONCATENATE(612143,",",ROW(BCLCTTRGT_06613!D54),"|",COLUMN(BCLCTTRGT_06613!D54),",0",",0")</f>
        <v>612143,54|4,0,0</v>
      </c>
      <c r="E54" t="str">
        <f>CONCATENATE(611826,",",ROW(BCLCTTRGT_06613!E54),"|",COLUMN(BCLCTTRGT_06613!E54),",0",",0")</f>
        <v>611826,54|5,0,0</v>
      </c>
    </row>
    <row r="55" spans="1:5" x14ac:dyDescent="0.25">
      <c r="A55" t="str">
        <f>CONCATENATE(612008,",",ROW(BCLCTTRGT_06613!A55),"|",COLUMN(BCLCTTRGT_06613!A55),",0",",0")</f>
        <v>612008,55|1,0,0</v>
      </c>
      <c r="B55" t="str">
        <f>CONCATENATE(611902,",",ROW(BCLCTTRGT_06613!B55),"|",COLUMN(BCLCTTRGT_06613!B55),",0",",0")</f>
        <v>611902,55|2,0,0</v>
      </c>
      <c r="C55" t="str">
        <f>CONCATENATE(612101,",",ROW(BCLCTTRGT_06613!C55),"|",COLUMN(BCLCTTRGT_06613!C55),",0",",0")</f>
        <v>612101,55|3,0,0</v>
      </c>
      <c r="D55" t="str">
        <f>CONCATENATE(612144,",",ROW(BCLCTTRGT_06613!D55),"|",COLUMN(BCLCTTRGT_06613!D55),",0",",0")</f>
        <v>612144,55|4,0,0</v>
      </c>
      <c r="E55" t="str">
        <f>CONCATENATE(611976,",",ROW(BCLCTTRGT_06613!E55),"|",COLUMN(BCLCTTRGT_06613!E55),",0",",0")</f>
        <v>611976,55|5,0,0</v>
      </c>
    </row>
    <row r="56" spans="1:5" x14ac:dyDescent="0.25">
      <c r="A56" t="str">
        <f>CONCATENATE(611914,",",ROW(BCLCTTRGT_06613!A56),"|",COLUMN(BCLCTTRGT_06613!A56),",0",",0")</f>
        <v>611914,56|1,0,0</v>
      </c>
      <c r="B56" t="str">
        <f>CONCATENATE(612167,",",ROW(BCLCTTRGT_06613!B56),"|",COLUMN(BCLCTTRGT_06613!B56),",0",",0")</f>
        <v>612167,56|2,0,0</v>
      </c>
      <c r="C56" t="str">
        <f>CONCATENATE(612102,",",ROW(BCLCTTRGT_06613!C56),"|",COLUMN(BCLCTTRGT_06613!C56),",0",",0")</f>
        <v>612102,56|3,0,0</v>
      </c>
      <c r="D56" t="str">
        <f>CONCATENATE(612145,",",ROW(BCLCTTRGT_06613!D56),"|",COLUMN(BCLCTTRGT_06613!D56),",0",",0")</f>
        <v>612145,56|4,0,0</v>
      </c>
      <c r="E56" t="str">
        <f>CONCATENATE(611977,",",ROW(BCLCTTRGT_06613!E56),"|",COLUMN(BCLCTTRGT_06613!E56),",0",",0")</f>
        <v>611977,56|5,0,0</v>
      </c>
    </row>
    <row r="57" spans="1:5" x14ac:dyDescent="0.25">
      <c r="A57" t="str">
        <f>CONCATENATE(612079,",",ROW(BCLCTTRGT_06613!A57),"|",COLUMN(BCLCTTRGT_06613!A57),",0",",0")</f>
        <v>612079,57|1,0,0</v>
      </c>
      <c r="B57" t="str">
        <f>CONCATENATE(612168,",",ROW(BCLCTTRGT_06613!B57),"|",COLUMN(BCLCTTRGT_06613!B57),",0",",0")</f>
        <v>612168,57|2,0,0</v>
      </c>
      <c r="C57" t="str">
        <f>CONCATENATE(612103,",",ROW(BCLCTTRGT_06613!C57),"|",COLUMN(BCLCTTRGT_06613!C57),",0",",0")</f>
        <v>612103,57|3,0,0</v>
      </c>
      <c r="D57" t="str">
        <f>CONCATENATE(612146,",",ROW(BCLCTTRGT_06613!D57),"|",COLUMN(BCLCTTRGT_06613!D57),",0",",0")</f>
        <v>612146,57|4,0,0</v>
      </c>
      <c r="E57" t="str">
        <f>CONCATENATE(611978,",",ROW(BCLCTTRGT_06613!E57),"|",COLUMN(BCLCTTRGT_06613!E57),",0",",0")</f>
        <v>611978,57|5,0,0</v>
      </c>
    </row>
    <row r="58" spans="1:5" x14ac:dyDescent="0.25">
      <c r="A58" t="str">
        <f>CONCATENATE(612181,",",ROW(BCLCTTRGT_06613!A58),"|",COLUMN(BCLCTTRGT_06613!A58),",0",",0")</f>
        <v>612181,58|1,0,0</v>
      </c>
      <c r="B58" t="str">
        <f>CONCATENATE(611846,",",ROW(BCLCTTRGT_06613!B58),"|",COLUMN(BCLCTTRGT_06613!B58),",0",",0")</f>
        <v>611846,58|2,0,0</v>
      </c>
      <c r="C58" t="str">
        <f>CONCATENATE(612104,",",ROW(BCLCTTRGT_06613!C58),"|",COLUMN(BCLCTTRGT_06613!C58),",0",",0")</f>
        <v>612104,58|3,0,0</v>
      </c>
      <c r="D58" t="str">
        <f>CONCATENATE(612147,",",ROW(BCLCTTRGT_06613!D58),"|",COLUMN(BCLCTTRGT_06613!D58),",0",",0")</f>
        <v>612147,58|4,0,0</v>
      </c>
      <c r="E58" t="str">
        <f>CONCATENATE(611979,",",ROW(BCLCTTRGT_06613!E58),"|",COLUMN(BCLCTTRGT_06613!E58),",0",",0")</f>
        <v>611979,58|5,0,0</v>
      </c>
    </row>
    <row r="59" spans="1:5" x14ac:dyDescent="0.25">
      <c r="A59" t="str">
        <f>CONCATENATE(611839,",",ROW(BCLCTTRGT_06613!A59),"|",COLUMN(BCLCTTRGT_06613!A59),",0",",0")</f>
        <v>611839,59|1,0,0</v>
      </c>
      <c r="B59" t="s">
        <v>5</v>
      </c>
      <c r="C59" t="str">
        <f>CONCATENATE(612105,",",ROW(BCLCTTRGT_06613!C59),"|",COLUMN(BCLCTTRGT_06613!C59),",0",",0")</f>
        <v>612105,59|3,0,0</v>
      </c>
      <c r="D59" t="str">
        <f>CONCATENATE(612148,",",ROW(BCLCTTRGT_06613!D59),"|",COLUMN(BCLCTTRGT_06613!D59),",0",",0")</f>
        <v>612148,59|4,0,0</v>
      </c>
      <c r="E59" t="str">
        <f>CONCATENATE(611980,",",ROW(BCLCTTRGT_06613!E59),"|",COLUMN(BCLCTTRGT_06613!E59),",0",",0")</f>
        <v>611980,59|5,0,0</v>
      </c>
    </row>
    <row r="60" spans="1:5" x14ac:dyDescent="0.25">
      <c r="A60" t="str">
        <f>CONCATENATE(611840,",",ROW(BCLCTTRGT_06613!A60),"|",COLUMN(BCLCTTRGT_06613!A60),",0",",0")</f>
        <v>611840,60|1,0,0</v>
      </c>
      <c r="B60" t="str">
        <f>CONCATENATE(611903,",",ROW(BCLCTTRGT_06613!B60),"|",COLUMN(BCLCTTRGT_06613!B60),",0",",0")</f>
        <v>611903,60|2,0,0</v>
      </c>
      <c r="C60" t="str">
        <f>CONCATENATE(612117,",",ROW(BCLCTTRGT_06613!C60),"|",COLUMN(BCLCTTRGT_06613!C60),",0",",0")</f>
        <v>612117,60|3,0,0</v>
      </c>
      <c r="D60" t="str">
        <f>CONCATENATE(612149,",",ROW(BCLCTTRGT_06613!D60),"|",COLUMN(BCLCTTRGT_06613!D60),",0",",0")</f>
        <v>612149,60|4,0,0</v>
      </c>
      <c r="E60" t="str">
        <f>CONCATENATE(611981,",",ROW(BCLCTTRGT_06613!E60),"|",COLUMN(BCLCTTRGT_06613!E60),",0",",0")</f>
        <v>611981,60|5,0,0</v>
      </c>
    </row>
    <row r="61" spans="1:5" x14ac:dyDescent="0.25">
      <c r="A61" t="str">
        <f>CONCATENATE(612086,",",ROW(BCLCTTRGT_06613!A61),"|",COLUMN(BCLCTTRGT_06613!A61),",0",",0")</f>
        <v>612086,61|1,0,0</v>
      </c>
      <c r="B61" t="str">
        <f>CONCATENATE(612113,",",ROW(BCLCTTRGT_06613!B61),"|",COLUMN(BCLCTTRGT_06613!B61),",0",",0")</f>
        <v>612113,61|2,0,0</v>
      </c>
      <c r="C61" t="str">
        <f>CONCATENATE(612118,",",ROW(BCLCTTRGT_06613!C61),"|",COLUMN(BCLCTTRGT_06613!C61),",0",",0")</f>
        <v>612118,61|3,0,0</v>
      </c>
      <c r="D61" t="str">
        <f>CONCATENATE(612150,",",ROW(BCLCTTRGT_06613!D61),"|",COLUMN(BCLCTTRGT_06613!D61),",0",",0")</f>
        <v>612150,61|4,0,0</v>
      </c>
      <c r="E61" t="str">
        <f>CONCATENATE(611855,",",ROW(BCLCTTRGT_06613!E61),"|",COLUMN(BCLCTTRGT_06613!E61),",0",",0")</f>
        <v>611855,61|5,0,0</v>
      </c>
    </row>
    <row r="62" spans="1:5" x14ac:dyDescent="0.25">
      <c r="A62" t="str">
        <f>CONCATENATE(611960,",",ROW(BCLCTTRGT_06613!A62),"|",COLUMN(BCLCTTRGT_06613!A62),",0",",0")</f>
        <v>611960,62|1,0,0</v>
      </c>
      <c r="B62" t="str">
        <f>CONCATENATE(612188,",",ROW(BCLCTTRGT_06613!B62),"|",COLUMN(BCLCTTRGT_06613!B62),",0",",0")</f>
        <v>612188,62|2,0,0</v>
      </c>
      <c r="C62" t="str">
        <f>CONCATENATE(612119,",",ROW(BCLCTTRGT_06613!C62),"|",COLUMN(BCLCTTRGT_06613!C62),",0",",0")</f>
        <v>612119,62|3,0,0</v>
      </c>
      <c r="D62" t="str">
        <f>CONCATENATE(612151,",",ROW(BCLCTTRGT_06613!D62),"|",COLUMN(BCLCTTRGT_06613!D62),",0",",0")</f>
        <v>612151,62|4,0,0</v>
      </c>
      <c r="E62" t="str">
        <f>CONCATENATE(611964,",",ROW(BCLCTTRGT_06613!E62),"|",COLUMN(BCLCTTRGT_06613!E62),",0",",0")</f>
        <v>611964,62|5,0,0</v>
      </c>
    </row>
    <row r="63" spans="1:5" x14ac:dyDescent="0.25">
      <c r="A63" t="str">
        <f>CONCATENATE(611880,",",ROW(BCLCTTRGT_06613!A63),"|",COLUMN(BCLCTTRGT_06613!A63),",0",",0")</f>
        <v>611880,63|1,0,0</v>
      </c>
      <c r="B63" t="str">
        <f>CONCATENATE(612114,",",ROW(BCLCTTRGT_06613!B63),"|",COLUMN(BCLCTTRGT_06613!B63),",0",",0")</f>
        <v>612114,63|2,0,0</v>
      </c>
      <c r="C63" t="str">
        <f>CONCATENATE(612120,",",ROW(BCLCTTRGT_06613!C63),"|",COLUMN(BCLCTTRGT_06613!C63),",0",",0")</f>
        <v>612120,63|3,0,0</v>
      </c>
      <c r="D63" t="str">
        <f>CONCATENATE(612152,",",ROW(BCLCTTRGT_06613!D63),"|",COLUMN(BCLCTTRGT_06613!D63),",0",",0")</f>
        <v>612152,63|4,0,0</v>
      </c>
      <c r="E63" t="str">
        <f>CONCATENATE(611965,",",ROW(BCLCTTRGT_06613!E63),"|",COLUMN(BCLCTTRGT_06613!E63),",0",",0")</f>
        <v>611965,63|5,0,0</v>
      </c>
    </row>
    <row r="64" spans="1:5" x14ac:dyDescent="0.25">
      <c r="A64" t="str">
        <f>CONCATENATE(612087,",",ROW(BCLCTTRGT_06613!A64),"|",COLUMN(BCLCTTRGT_06613!A64),",0",",0")</f>
        <v>612087,64|1,0,0</v>
      </c>
      <c r="B64" t="str">
        <f>CONCATENATE(612169,",",ROW(BCLCTTRGT_06613!B64),"|",COLUMN(BCLCTTRGT_06613!B64),",0",",0")</f>
        <v>612169,64|2,0,0</v>
      </c>
      <c r="C64" t="str">
        <f>CONCATENATE(612121,",",ROW(BCLCTTRGT_06613!C64),"|",COLUMN(BCLCTTRGT_06613!C64),",0",",0")</f>
        <v>612121,64|3,0,0</v>
      </c>
      <c r="D64" t="str">
        <f>CONCATENATE(612153,",",ROW(BCLCTTRGT_06613!D64),"|",COLUMN(BCLCTTRGT_06613!D64),",0",",0")</f>
        <v>612153,64|4,0,0</v>
      </c>
      <c r="E64" t="str">
        <f>CONCATENATE(611966,",",ROW(BCLCTTRGT_06613!E64),"|",COLUMN(BCLCTTRGT_06613!E64),",0",",0")</f>
        <v>611966,64|5,0,0</v>
      </c>
    </row>
    <row r="65" spans="1:5" x14ac:dyDescent="0.25">
      <c r="A65" t="str">
        <f>CONCATENATE(612088,",",ROW(BCLCTTRGT_06613!A65),"|",COLUMN(BCLCTTRGT_06613!A65),",0",",0")</f>
        <v>612088,65|1,0,0</v>
      </c>
      <c r="B65" t="str">
        <f>CONCATENATE(611957,",",ROW(BCLCTTRGT_06613!B65),"|",COLUMN(BCLCTTRGT_06613!B65),",0",",0")</f>
        <v>611957,65|2,0,0</v>
      </c>
      <c r="C65" t="str">
        <f>CONCATENATE(612122,",",ROW(BCLCTTRGT_06613!C65),"|",COLUMN(BCLCTTRGT_06613!C65),",0",",0")</f>
        <v>612122,65|3,0,0</v>
      </c>
      <c r="D65" t="str">
        <f>CONCATENATE(612154,",",ROW(BCLCTTRGT_06613!D65),"|",COLUMN(BCLCTTRGT_06613!D65),",0",",0")</f>
        <v>612154,65|4,0,0</v>
      </c>
      <c r="E65" t="str">
        <f>CONCATENATE(611967,",",ROW(BCLCTTRGT_06613!E65),"|",COLUMN(BCLCTTRGT_06613!E65),",0",",0")</f>
        <v>611967,65|5,0,0</v>
      </c>
    </row>
    <row r="66" spans="1:5" x14ac:dyDescent="0.25">
      <c r="A66" t="str">
        <f>CONCATENATE(612089,",",ROW(BCLCTTRGT_06613!A66),"|",COLUMN(BCLCTTRGT_06613!A66),",0",",0")</f>
        <v>612089,66|1,0,0</v>
      </c>
      <c r="B66" t="str">
        <f>CONCATENATE(611851,",",ROW(BCLCTTRGT_06613!B66),"|",COLUMN(BCLCTTRGT_06613!B66),",0",",0")</f>
        <v>611851,66|2,0,0</v>
      </c>
      <c r="C66" t="str">
        <f>CONCATENATE(612123,",",ROW(BCLCTTRGT_06613!C66),"|",COLUMN(BCLCTTRGT_06613!C66),",0",",0")</f>
        <v>612123,66|3,0,0</v>
      </c>
      <c r="D66" t="str">
        <f>CONCATENATE(612155,",",ROW(BCLCTTRGT_06613!D66),"|",COLUMN(BCLCTTRGT_06613!D66),",0",",0")</f>
        <v>612155,66|4,0,0</v>
      </c>
      <c r="E66" t="str">
        <f>CONCATENATE(611856,",",ROW(BCLCTTRGT_06613!E66),"|",COLUMN(BCLCTTRGT_06613!E66),",0",",0")</f>
        <v>611856,66|5,0,0</v>
      </c>
    </row>
    <row r="67" spans="1:5" x14ac:dyDescent="0.25">
      <c r="A67" t="str">
        <f>CONCATENATE(612090,",",ROW(BCLCTTRGT_06613!A67),"|",COLUMN(BCLCTTRGT_06613!A67),",0",",0")</f>
        <v>612090,67|1,0,0</v>
      </c>
      <c r="B67" t="str">
        <f>CONCATENATE(612115,",",ROW(BCLCTTRGT_06613!B67),"|",COLUMN(BCLCTTRGT_06613!B67),",0",",0")</f>
        <v>612115,67|2,0,0</v>
      </c>
      <c r="C67" t="str">
        <f>CONCATENATE(612124,",",ROW(BCLCTTRGT_06613!C67),"|",COLUMN(BCLCTTRGT_06613!C67),",0",",0")</f>
        <v>612124,67|3,0,0</v>
      </c>
      <c r="D67" t="str">
        <f>CONCATENATE(612156,",",ROW(BCLCTTRGT_06613!D67),"|",COLUMN(BCLCTTRGT_06613!D67),",0",",0")</f>
        <v>612156,67|4,0,0</v>
      </c>
      <c r="E67" t="str">
        <f>CONCATENATE(611857,",",ROW(BCLCTTRGT_06613!E67),"|",COLUMN(BCLCTTRGT_06613!E67),",0",",0")</f>
        <v>611857,67|5,0,0</v>
      </c>
    </row>
    <row r="68" spans="1:5" x14ac:dyDescent="0.25">
      <c r="A68" t="str">
        <f>CONCATENATE(611906,",",ROW(BCLCTTRGT_06613!A68),"|",COLUMN(BCLCTTRGT_06613!A68),",0",",0")</f>
        <v>611906,68|1,0,0</v>
      </c>
      <c r="B68" t="str">
        <f>CONCATENATE(611892,",",ROW(BCLCTTRGT_06613!B68),"|",COLUMN(BCLCTTRGT_06613!B68),",0",",0")</f>
        <v>611892,68|2,0,0</v>
      </c>
      <c r="C68" t="str">
        <f>CONCATENATE(612125,",",ROW(BCLCTTRGT_06613!C68),"|",COLUMN(BCLCTTRGT_06613!C68),",0",",0")</f>
        <v>612125,68|3,0,0</v>
      </c>
      <c r="D68" t="str">
        <f>CONCATENATE(612157,",",ROW(BCLCTTRGT_06613!D68),"|",COLUMN(BCLCTTRGT_06613!D68),",0",",0")</f>
        <v>612157,68|4,0,0</v>
      </c>
      <c r="E68" t="str">
        <f>CONCATENATE(611858,",",ROW(BCLCTTRGT_06613!E68),"|",COLUMN(BCLCTTRGT_06613!E68),",0",",0")</f>
        <v>611858,68|5,0,0</v>
      </c>
    </row>
    <row r="69" spans="1:5" x14ac:dyDescent="0.25">
      <c r="A69" t="str">
        <f>CONCATENATE(611867,",",ROW(BCLCTTRGT_06613!A69),"|",COLUMN(BCLCTTRGT_06613!A69),",0",",0")</f>
        <v>611867,69|1,0,0</v>
      </c>
      <c r="B69" t="str">
        <f>CONCATENATE(612170,",",ROW(BCLCTTRGT_06613!B69),"|",COLUMN(BCLCTTRGT_06613!B69),",0",",0")</f>
        <v>612170,69|2,0,0</v>
      </c>
      <c r="C69" t="str">
        <f>CONCATENATE(612126,",",ROW(BCLCTTRGT_06613!C69),"|",COLUMN(BCLCTTRGT_06613!C69),",0",",0")</f>
        <v>612126,69|3,0,0</v>
      </c>
      <c r="D69" t="str">
        <f>CONCATENATE(611884,",",ROW(BCLCTTRGT_06613!D69),"|",COLUMN(BCLCTTRGT_06613!D69),",0",",0")</f>
        <v>611884,69|4,0,0</v>
      </c>
      <c r="E69" t="str">
        <f>CONCATENATE(611859,",",ROW(BCLCTTRGT_06613!E69),"|",COLUMN(BCLCTTRGT_06613!E69),",0",",0")</f>
        <v>611859,69|5,0,0</v>
      </c>
    </row>
    <row r="70" spans="1:5" x14ac:dyDescent="0.25">
      <c r="A70" t="str">
        <f>CONCATENATE(612009,",",ROW(BCLCTTRGT_06613!A70),"|",COLUMN(BCLCTTRGT_06613!A70),",0",",0")</f>
        <v>612009,70|1,0,0</v>
      </c>
      <c r="B70" t="str">
        <f>CONCATENATE(612189,",",ROW(BCLCTTRGT_06613!B70),"|",COLUMN(BCLCTTRGT_06613!B70),",0",",0")</f>
        <v>612189,70|2,0,0</v>
      </c>
      <c r="C70" t="str">
        <f>CONCATENATE(612127,",",ROW(BCLCTTRGT_06613!C70),"|",COLUMN(BCLCTTRGT_06613!C70),",0",",0")</f>
        <v>612127,70|3,0,0</v>
      </c>
      <c r="D70" t="str">
        <f>CONCATENATE(611885,",",ROW(BCLCTTRGT_06613!D70),"|",COLUMN(BCLCTTRGT_06613!D70),",0",",0")</f>
        <v>611885,70|4,0,0</v>
      </c>
      <c r="E70" t="str">
        <f>CONCATENATE(611860,",",ROW(BCLCTTRGT_06613!E70),"|",COLUMN(BCLCTTRGT_06613!E70),",0",",0")</f>
        <v>611860,70|5,0,0</v>
      </c>
    </row>
    <row r="71" spans="1:5" x14ac:dyDescent="0.25">
      <c r="A71" t="str">
        <f>CONCATENATE(612091,",",ROW(BCLCTTRGT_06613!A71),"|",COLUMN(BCLCTTRGT_06613!A71),",0",",0")</f>
        <v>612091,71|1,0,0</v>
      </c>
      <c r="B71" t="str">
        <f>CONCATENATE(611852,",",ROW(BCLCTTRGT_06613!B71),"|",COLUMN(BCLCTTRGT_06613!B71),",0",",0")</f>
        <v>611852,71|2,0,0</v>
      </c>
      <c r="C71" t="str">
        <f>CONCATENATE(612128,",",ROW(BCLCTTRGT_06613!C71),"|",COLUMN(BCLCTTRGT_06613!C71),",0",",0")</f>
        <v>612128,71|3,0,0</v>
      </c>
      <c r="D71" t="str">
        <f>CONCATENATE(611886,",",ROW(BCLCTTRGT_06613!D71),"|",COLUMN(BCLCTTRGT_06613!D71),",0",",0")</f>
        <v>611886,71|4,0,0</v>
      </c>
      <c r="E71" t="str">
        <f>CONCATENATE(611861,",",ROW(BCLCTTRGT_06613!E71),"|",COLUMN(BCLCTTRGT_06613!E71),",0",",0")</f>
        <v>611861,71|5,0,0</v>
      </c>
    </row>
    <row r="72" spans="1:5" x14ac:dyDescent="0.25">
      <c r="A72" t="str">
        <f>CONCATENATE(611847,",",ROW(BCLCTTRGT_06613!A72),"|",COLUMN(BCLCTTRGT_06613!A72),",0",",0")</f>
        <v>611847,72|1,0,0</v>
      </c>
      <c r="B72" t="str">
        <f>CONCATENATE(611853,",",ROW(BCLCTTRGT_06613!B72),"|",COLUMN(BCLCTTRGT_06613!B72),",0",",0")</f>
        <v>611853,72|2,0,0</v>
      </c>
      <c r="C72" t="str">
        <f>CONCATENATE(612129,",",ROW(BCLCTTRGT_06613!C72),"|",COLUMN(BCLCTTRGT_06613!C72),",0",",0")</f>
        <v>612129,72|3,0,0</v>
      </c>
      <c r="D72" t="str">
        <f>CONCATENATE(611887,",",ROW(BCLCTTRGT_06613!D72),"|",COLUMN(BCLCTTRGT_06613!D72),",0",",0")</f>
        <v>611887,72|4,0,0</v>
      </c>
      <c r="E72" t="str">
        <f>CONCATENATE(611862,",",ROW(BCLCTTRGT_06613!E72),"|",COLUMN(BCLCTTRGT_06613!E72),",0",",0")</f>
        <v>611862,72|5,0,0</v>
      </c>
    </row>
    <row r="73" spans="1:5" x14ac:dyDescent="0.25">
      <c r="A73" t="str">
        <f>CONCATENATE(612080,",",ROW(BCLCTTRGT_06613!A73),"|",COLUMN(BCLCTTRGT_06613!A73),",0",",0")</f>
        <v>612080,73|1,0,0</v>
      </c>
      <c r="B73" t="str">
        <f>CONCATENATE(611854,",",ROW(BCLCTTRGT_06613!B73),"|",COLUMN(BCLCTTRGT_06613!B73),",0",",0")</f>
        <v>611854,73|2,0,0</v>
      </c>
      <c r="C73" t="str">
        <f>CONCATENATE(612130,",",ROW(BCLCTTRGT_06613!C73),"|",COLUMN(BCLCTTRGT_06613!C73),",0",",0")</f>
        <v>612130,73|3,0,0</v>
      </c>
      <c r="D73" t="str">
        <f>CONCATENATE(611888,",",ROW(BCLCTTRGT_06613!D73),"|",COLUMN(BCLCTTRGT_06613!D73),",0",",0")</f>
        <v>611888,73|4,0,0</v>
      </c>
      <c r="E73" t="str">
        <f>CONCATENATE(611863,",",ROW(BCLCTTRGT_06613!E73),"|",COLUMN(BCLCTTRGT_06613!E73),",0",",0")</f>
        <v>611863,73|5,0,0</v>
      </c>
    </row>
    <row r="74" spans="1:5" x14ac:dyDescent="0.25">
      <c r="A74" t="str">
        <f>CONCATENATE(611841,",",ROW(BCLCTTRGT_06613!A74),"|",COLUMN(BCLCTTRGT_06613!A74),",0",",0")</f>
        <v>611841,74|1,0,0</v>
      </c>
      <c r="B74" t="str">
        <f>CONCATENATE(612116,",",ROW(BCLCTTRGT_06613!B74),"|",COLUMN(BCLCTTRGT_06613!B74),",0",",0")</f>
        <v>612116,74|2,0,0</v>
      </c>
      <c r="C74" t="str">
        <f>CONCATENATE(612131,",",ROW(BCLCTTRGT_06613!C74),"|",COLUMN(BCLCTTRGT_06613!C74),",0",",0")</f>
        <v>612131,74|3,0,0</v>
      </c>
      <c r="D74" t="str">
        <f>CONCATENATE(611889,",",ROW(BCLCTTRGT_06613!D74),"|",COLUMN(BCLCTTRGT_06613!D74),",0",",0")</f>
        <v>611889,74|4,0,0</v>
      </c>
      <c r="E74" t="str">
        <f>CONCATENATE(611864,",",ROW(BCLCTTRGT_06613!E74),"|",COLUMN(BCLCTTRGT_06613!E74),",0",",0")</f>
        <v>611864,74|5,0,0</v>
      </c>
    </row>
    <row r="75" spans="1:5" x14ac:dyDescent="0.25">
      <c r="A75" t="str">
        <f>CONCATENATE(611881,",",ROW(BCLCTTRGT_06613!A75),"|",COLUMN(BCLCTTRGT_06613!A75),",0",",0")</f>
        <v>611881,75|1,0,0</v>
      </c>
      <c r="B75" t="str">
        <f>CONCATENATE(612190,",",ROW(BCLCTTRGT_06613!B75),"|",COLUMN(BCLCTTRGT_06613!B75),",0",",0")</f>
        <v>612190,75|2,0,0</v>
      </c>
      <c r="C75" t="str">
        <f>CONCATENATE(611869,",",ROW(BCLCTTRGT_06613!C75),"|",COLUMN(BCLCTTRGT_06613!C75),",0",",0")</f>
        <v>611869,75|3,0,0</v>
      </c>
      <c r="D75" t="str">
        <f>CONCATENATE(611879,",",ROW(BCLCTTRGT_06613!D75),"|",COLUMN(BCLCTTRGT_06613!D75),",0",",0")</f>
        <v>611879,75|4,0,0</v>
      </c>
      <c r="E75" t="str">
        <f>CONCATENATE(611865,",",ROW(BCLCTTRGT_06613!E75),"|",COLUMN(BCLCTTRGT_06613!E75),",0",",0")</f>
        <v>611865,75|5,0,0</v>
      </c>
    </row>
    <row r="76" spans="1:5" x14ac:dyDescent="0.25">
      <c r="A76" t="str">
        <f>CONCATENATE(612106,",",ROW(BCLCTTRGT_06613!A76),"|",COLUMN(BCLCTTRGT_06613!A76),",0",",0")</f>
        <v>612106,76|1,0,0</v>
      </c>
      <c r="B76" t="str">
        <f>CONCATENATE(611907,",",ROW(BCLCTTRGT_06613!B76),"|",COLUMN(BCLCTTRGT_06613!B76),",0",",0")</f>
        <v>611907,76|2,0,0</v>
      </c>
      <c r="C76" t="str">
        <f>CONCATENATE(611871,",",ROW(BCLCTTRGT_06613!C76),"|",COLUMN(BCLCTTRGT_06613!C76),",0",",0")</f>
        <v>611871,76|3,0,0</v>
      </c>
      <c r="D76" t="str">
        <f>CONCATENATE(611921,",",ROW(BCLCTTRGT_06613!D76),"|",COLUMN(BCLCTTRGT_06613!D76),",0",",0")</f>
        <v>611921,76|4,0,0</v>
      </c>
      <c r="E76" t="str">
        <f>CONCATENATE(611868,",",ROW(BCLCTTRGT_06613!E76),"|",COLUMN(BCLCTTRGT_06613!E76),",0",",0")</f>
        <v>611868,76|5,0,0</v>
      </c>
    </row>
    <row r="77" spans="1:5" x14ac:dyDescent="0.25">
      <c r="A77" t="str">
        <f>CONCATENATE(611842,",",ROW(BCLCTTRGT_06613!A77),"|",COLUMN(BCLCTTRGT_06613!A77),",0",",0")</f>
        <v>611842,77|1,0,0</v>
      </c>
      <c r="B77" t="str">
        <f>CONCATENATE(611838,",",ROW(BCLCTTRGT_06613!B77),"|",COLUMN(BCLCTTRGT_06613!B77),",0",",0")</f>
        <v>611838,77|2,0,0</v>
      </c>
      <c r="C77" t="str">
        <f>CONCATENATE(611872,",",ROW(BCLCTTRGT_06613!C77),"|",COLUMN(BCLCTTRGT_06613!C77),",0",",0")</f>
        <v>611872,77|3,0,0</v>
      </c>
      <c r="D77" t="str">
        <f>CONCATENATE(611998,",",ROW(BCLCTTRGT_06613!D77),"|",COLUMN(BCLCTTRGT_06613!D77),",0",",0")</f>
        <v>611998,77|4,0,0</v>
      </c>
      <c r="E77" t="str">
        <f>CONCATENATE(612063,",",ROW(BCLCTTRGT_06613!E77),"|",COLUMN(BCLCTTRGT_06613!E77),",0",",0")</f>
        <v>612063,77|5,0,0</v>
      </c>
    </row>
    <row r="78" spans="1:5" x14ac:dyDescent="0.25">
      <c r="A78" t="str">
        <f>CONCATENATE(612182,",",ROW(BCLCTTRGT_06613!A78),"|",COLUMN(BCLCTTRGT_06613!A78),",0",",0")</f>
        <v>612182,78|1,0,0</v>
      </c>
      <c r="B78" t="str">
        <f>CONCATENATE(611837,",",ROW(BCLCTTRGT_06613!B78),"|",COLUMN(BCLCTTRGT_06613!B78),",0",",0")</f>
        <v>611837,78|2,0,0</v>
      </c>
      <c r="C78" t="str">
        <f>CONCATENATE(611870,",",ROW(BCLCTTRGT_06613!C78),"|",COLUMN(BCLCTTRGT_06613!C78),",0",",0")</f>
        <v>611870,78|3,0,0</v>
      </c>
      <c r="D78" t="str">
        <f>CONCATENATE(611890,",",ROW(BCLCTTRGT_06613!D78),"|",COLUMN(BCLCTTRGT_06613!D78),",0",",0")</f>
        <v>611890,78|4,0,0</v>
      </c>
      <c r="E78" t="str">
        <f>CONCATENATE(611866,",",ROW(BCLCTTRGT_06613!E78),"|",COLUMN(BCLCTTRGT_06613!E78),",0",",0")</f>
        <v>611866,78|5,0,0</v>
      </c>
    </row>
    <row r="79" spans="1:5" x14ac:dyDescent="0.25">
      <c r="A79" t="str">
        <f>CONCATENATE(611929,",",ROW(BCLCTTRGT_06613!A79),"|",COLUMN(BCLCTTRGT_06613!A79),",0",",0")</f>
        <v>611929,79|1,0,0</v>
      </c>
      <c r="B79" t="str">
        <f>CONCATENATE(611985,",",ROW(BCLCTTRGT_06613!B79),"|",COLUMN(BCLCTTRGT_06613!B79),",0",",0")</f>
        <v>611985,79|2,0,0</v>
      </c>
      <c r="C79" t="str">
        <f>CONCATENATE(611953,",",ROW(BCLCTTRGT_06613!C79),"|",COLUMN(BCLCTTRGT_06613!C79),",0",",0")</f>
        <v>611953,79|3,0,0</v>
      </c>
      <c r="D79" t="str">
        <f>CONCATENATE(612041,",",ROW(BCLCTTRGT_06613!D79),"|",COLUMN(BCLCTTRGT_06613!D79),",0",",0")</f>
        <v>612041,79|4,0,0</v>
      </c>
      <c r="E79" t="str">
        <f>CONCATENATE(612059,",",ROW(BCLCTTRGT_06613!E79),"|",COLUMN(BCLCTTRGT_06613!E79),",0",",0")</f>
        <v>612059,79|5,0,0</v>
      </c>
    </row>
    <row r="80" spans="1:5" x14ac:dyDescent="0.25">
      <c r="A80" t="str">
        <f>CONCATENATE(612061,",",ROW(BCLCTTRGT_06613!A80),"|",COLUMN(BCLCTTRGT_06613!A80),",0",",0")</f>
        <v>612061,80|1,0,0</v>
      </c>
      <c r="B80" t="str">
        <f>CONCATENATE(612062,",",ROW(BCLCTTRGT_06613!B80),"|",COLUMN(BCLCTTRGT_06613!B80),",0",",0")</f>
        <v>612062,80|2,0,0</v>
      </c>
      <c r="C80" t="str">
        <f>CONCATENATE(611968,",",ROW(BCLCTTRGT_06613!C80),"|",COLUMN(BCLCTTRGT_06613!C80),",0",",0")</f>
        <v>611968,80|3,0,0</v>
      </c>
      <c r="D80" t="str">
        <f>CONCATENATE(612042,",",ROW(BCLCTTRGT_06613!D80),"|",COLUMN(BCLCTTRGT_06613!D80),",0",",0")</f>
        <v>612042,80|4,0,0</v>
      </c>
      <c r="E80" t="str">
        <f>CONCATENATE(612060,",",ROW(BCLCTTRGT_06613!E80),"|",COLUMN(BCLCTTRGT_06613!E80),",0",",0")</f>
        <v>612060,80|5,0,0</v>
      </c>
    </row>
  </sheetData>
  <sheetProtection password="CB7D" sheet="1" objects="1" scenarios="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topLeftCell="A34" workbookViewId="0">
      <selection activeCell="D5" sqref="D5:E40"/>
    </sheetView>
  </sheetViews>
  <sheetFormatPr defaultRowHeight="15" x14ac:dyDescent="0.25"/>
  <cols>
    <col min="1" max="1" width="31.28515625" bestFit="1" customWidth="1"/>
    <col min="2" max="5" width="26.140625" bestFit="1" customWidth="1"/>
  </cols>
  <sheetData>
    <row r="1" spans="1:5" ht="20.25" x14ac:dyDescent="0.3">
      <c r="A1" s="2538" t="s">
        <v>22</v>
      </c>
      <c r="B1" s="2538" t="s">
        <v>5</v>
      </c>
      <c r="C1" s="2538" t="s">
        <v>5</v>
      </c>
      <c r="D1" s="2538" t="s">
        <v>5</v>
      </c>
      <c r="E1" s="2538" t="s">
        <v>5</v>
      </c>
    </row>
    <row r="2" spans="1:5" ht="18.75" x14ac:dyDescent="0.25">
      <c r="A2" s="2075" t="s">
        <v>397</v>
      </c>
      <c r="B2" s="2075" t="s">
        <v>41</v>
      </c>
      <c r="C2" s="2075" t="s">
        <v>42</v>
      </c>
      <c r="D2" s="2075" t="s">
        <v>398</v>
      </c>
      <c r="E2" s="2075" t="s">
        <v>399</v>
      </c>
    </row>
    <row r="3" spans="1:5" ht="16.5" x14ac:dyDescent="0.25">
      <c r="A3" s="2143" t="s">
        <v>288</v>
      </c>
      <c r="B3" s="2137" t="s">
        <v>74</v>
      </c>
      <c r="C3" s="2189" t="s">
        <v>283</v>
      </c>
      <c r="D3" s="2191" t="s">
        <v>147</v>
      </c>
      <c r="E3" s="2139" t="s">
        <v>284</v>
      </c>
    </row>
    <row r="4" spans="1:5" ht="66" x14ac:dyDescent="0.25">
      <c r="A4" s="2128" t="s">
        <v>604</v>
      </c>
      <c r="B4" s="2074" t="s">
        <v>5</v>
      </c>
      <c r="C4" s="2172"/>
      <c r="D4" s="2082" t="s">
        <v>5</v>
      </c>
      <c r="E4" s="2101" t="s">
        <v>5</v>
      </c>
    </row>
    <row r="5" spans="1:5" ht="49.5" x14ac:dyDescent="0.25">
      <c r="A5" s="2194" t="s">
        <v>600</v>
      </c>
      <c r="B5" s="2245" t="s">
        <v>147</v>
      </c>
      <c r="C5" s="2205"/>
      <c r="D5" s="2264">
        <v>70668638364890</v>
      </c>
      <c r="E5" s="2094">
        <v>89207811816600</v>
      </c>
    </row>
    <row r="6" spans="1:5" ht="49.5" x14ac:dyDescent="0.25">
      <c r="A6" s="2217" t="s">
        <v>595</v>
      </c>
      <c r="B6" s="2188" t="s">
        <v>284</v>
      </c>
      <c r="C6" s="2203"/>
      <c r="D6" s="2123">
        <v>-74869733193480</v>
      </c>
      <c r="E6" s="2109">
        <v>-92807371270820</v>
      </c>
    </row>
    <row r="7" spans="1:5" ht="49.5" x14ac:dyDescent="0.25">
      <c r="A7" s="2218" t="s">
        <v>602</v>
      </c>
      <c r="B7" s="2190" t="s">
        <v>385</v>
      </c>
      <c r="C7" s="2204"/>
      <c r="D7" s="2124" t="s">
        <v>5</v>
      </c>
      <c r="E7" s="2110" t="s">
        <v>5</v>
      </c>
    </row>
    <row r="8" spans="1:5" ht="49.5" x14ac:dyDescent="0.25">
      <c r="A8" s="2219" t="s">
        <v>719</v>
      </c>
      <c r="B8" s="2223" t="s">
        <v>386</v>
      </c>
      <c r="C8" s="2104"/>
      <c r="D8" s="2259" t="s">
        <v>5</v>
      </c>
      <c r="E8" s="2089" t="s">
        <v>5</v>
      </c>
    </row>
    <row r="9" spans="1:5" ht="49.5" x14ac:dyDescent="0.25">
      <c r="A9" s="2224" t="s">
        <v>614</v>
      </c>
      <c r="B9" s="2152" t="s">
        <v>352</v>
      </c>
      <c r="C9" s="2226"/>
      <c r="D9" s="2260" t="s">
        <v>5</v>
      </c>
      <c r="E9" s="2090" t="s">
        <v>5</v>
      </c>
    </row>
    <row r="10" spans="1:5" ht="49.5" x14ac:dyDescent="0.25">
      <c r="A10" s="2225" t="s">
        <v>609</v>
      </c>
      <c r="B10" s="2153" t="s">
        <v>388</v>
      </c>
      <c r="C10" s="2227"/>
      <c r="D10" s="2261" t="s">
        <v>5</v>
      </c>
      <c r="E10" s="2091" t="s">
        <v>5</v>
      </c>
    </row>
    <row r="11" spans="1:5" ht="49.5" x14ac:dyDescent="0.25">
      <c r="A11" s="2238" t="s">
        <v>605</v>
      </c>
      <c r="B11" s="2199" t="s">
        <v>389</v>
      </c>
      <c r="C11" s="2232"/>
      <c r="D11" s="2078">
        <v>55239058591121</v>
      </c>
      <c r="E11" s="2097">
        <v>62052507600165</v>
      </c>
    </row>
    <row r="12" spans="1:5" ht="66" x14ac:dyDescent="0.25">
      <c r="A12" s="2196" t="s">
        <v>715</v>
      </c>
      <c r="B12" s="2154" t="s">
        <v>353</v>
      </c>
      <c r="C12" s="2228"/>
      <c r="D12" s="2262">
        <v>-51042006947865</v>
      </c>
      <c r="E12" s="2092">
        <v>-57981986085424</v>
      </c>
    </row>
    <row r="13" spans="1:5" ht="66" x14ac:dyDescent="0.25">
      <c r="A13" s="2140" t="s">
        <v>712</v>
      </c>
      <c r="B13" s="2200" t="s">
        <v>311</v>
      </c>
      <c r="C13" s="2208"/>
      <c r="D13" s="2132" t="s">
        <v>5</v>
      </c>
      <c r="E13" s="2083" t="s">
        <v>5</v>
      </c>
    </row>
    <row r="14" spans="1:5" ht="49.5" x14ac:dyDescent="0.25">
      <c r="A14" s="2239" t="s">
        <v>720</v>
      </c>
      <c r="B14" s="2234" t="s">
        <v>361</v>
      </c>
      <c r="C14" s="2233"/>
      <c r="D14" s="2079" t="s">
        <v>5</v>
      </c>
      <c r="E14" s="2098" t="s">
        <v>5</v>
      </c>
    </row>
    <row r="15" spans="1:5" ht="33" x14ac:dyDescent="0.25">
      <c r="A15" s="2197" t="s">
        <v>716</v>
      </c>
      <c r="B15" s="2155" t="s">
        <v>390</v>
      </c>
      <c r="C15" s="2229"/>
      <c r="D15" s="2263">
        <v>-3304591700</v>
      </c>
      <c r="E15" s="2093">
        <v>-2892957335</v>
      </c>
    </row>
    <row r="16" spans="1:5" ht="49.5" x14ac:dyDescent="0.25">
      <c r="A16" s="2240" t="s">
        <v>721</v>
      </c>
      <c r="B16" s="2213" t="s">
        <v>354</v>
      </c>
      <c r="C16" s="2195"/>
      <c r="D16" s="2256" t="s">
        <v>5</v>
      </c>
      <c r="E16" s="2085" t="s">
        <v>5</v>
      </c>
    </row>
    <row r="17" spans="1:5" ht="49.5" x14ac:dyDescent="0.25">
      <c r="A17" s="2241" t="s">
        <v>722</v>
      </c>
      <c r="B17" s="2249" t="s">
        <v>355</v>
      </c>
      <c r="C17" s="2171"/>
      <c r="D17" s="2081" t="s">
        <v>5</v>
      </c>
      <c r="E17" s="2100" t="s">
        <v>5</v>
      </c>
    </row>
    <row r="18" spans="1:5" ht="49.5" x14ac:dyDescent="0.25">
      <c r="A18" s="2135" t="s">
        <v>711</v>
      </c>
      <c r="B18" s="2192" t="s">
        <v>686</v>
      </c>
      <c r="C18" s="2206"/>
      <c r="D18" s="2125">
        <v>343920017570</v>
      </c>
      <c r="E18" s="2111">
        <v>532738476003</v>
      </c>
    </row>
    <row r="19" spans="1:5" ht="49.5" x14ac:dyDescent="0.25">
      <c r="A19" s="2198" t="s">
        <v>717</v>
      </c>
      <c r="B19" s="2193" t="s">
        <v>691</v>
      </c>
      <c r="C19" s="2207"/>
      <c r="D19" s="2131">
        <v>-347656548145</v>
      </c>
      <c r="E19" s="2112">
        <v>-529032417578</v>
      </c>
    </row>
    <row r="20" spans="1:5" ht="51.75" x14ac:dyDescent="0.25">
      <c r="A20" s="2144" t="s">
        <v>713</v>
      </c>
      <c r="B20" s="2254" t="s">
        <v>521</v>
      </c>
      <c r="C20" s="2169"/>
      <c r="D20" s="2127">
        <v>-11084307609</v>
      </c>
      <c r="E20" s="2184">
        <v>471775161611</v>
      </c>
    </row>
    <row r="21" spans="1:5" ht="66" x14ac:dyDescent="0.25">
      <c r="A21" s="2145" t="s">
        <v>597</v>
      </c>
      <c r="B21" s="2235" t="s">
        <v>574</v>
      </c>
      <c r="C21" s="2170"/>
      <c r="D21" s="2080">
        <v>938212261852</v>
      </c>
      <c r="E21" s="2099">
        <v>466437100241</v>
      </c>
    </row>
    <row r="22" spans="1:5" ht="33" x14ac:dyDescent="0.25">
      <c r="A22" s="2146" t="s">
        <v>598</v>
      </c>
      <c r="B22" s="2214" t="s">
        <v>575</v>
      </c>
      <c r="C22" s="2105"/>
      <c r="D22" s="2257">
        <v>938212261852</v>
      </c>
      <c r="E22" s="2086">
        <v>466437100241</v>
      </c>
    </row>
    <row r="23" spans="1:5" ht="49.5" x14ac:dyDescent="0.25">
      <c r="A23" s="2156" t="s">
        <v>599</v>
      </c>
      <c r="B23" s="2215" t="s">
        <v>522</v>
      </c>
      <c r="C23" s="2106"/>
      <c r="D23" s="2258">
        <v>938212261852</v>
      </c>
      <c r="E23" s="2087">
        <v>466437100241</v>
      </c>
    </row>
    <row r="24" spans="1:5" ht="33" x14ac:dyDescent="0.25">
      <c r="A24" s="2138" t="s">
        <v>583</v>
      </c>
      <c r="B24" s="2186" t="s">
        <v>522</v>
      </c>
      <c r="C24" s="2201"/>
      <c r="D24" s="2129" t="s">
        <v>5</v>
      </c>
      <c r="E24" s="2107" t="s">
        <v>5</v>
      </c>
    </row>
    <row r="25" spans="1:5" ht="33" x14ac:dyDescent="0.25">
      <c r="A25" s="2220" t="s">
        <v>581</v>
      </c>
      <c r="B25" s="2236" t="s">
        <v>569</v>
      </c>
      <c r="C25" s="2230"/>
      <c r="D25" s="2076" t="s">
        <v>5</v>
      </c>
      <c r="E25" s="2095" t="s">
        <v>5</v>
      </c>
    </row>
    <row r="26" spans="1:5" ht="49.5" x14ac:dyDescent="0.25">
      <c r="A26" s="2242" t="s">
        <v>584</v>
      </c>
      <c r="B26" s="2216" t="s">
        <v>616</v>
      </c>
      <c r="C26" s="2103"/>
      <c r="D26" s="2102" t="s">
        <v>5</v>
      </c>
      <c r="E26" s="2088" t="s">
        <v>5</v>
      </c>
    </row>
    <row r="27" spans="1:5" ht="49.5" x14ac:dyDescent="0.25">
      <c r="A27" s="2187" t="s">
        <v>714</v>
      </c>
      <c r="B27" s="2250" t="s">
        <v>606</v>
      </c>
      <c r="C27" s="2202"/>
      <c r="D27" s="2130" t="s">
        <v>5</v>
      </c>
      <c r="E27" s="2108" t="s">
        <v>5</v>
      </c>
    </row>
    <row r="28" spans="1:5" ht="33" x14ac:dyDescent="0.25">
      <c r="A28" s="2141" t="s">
        <v>583</v>
      </c>
      <c r="B28" s="2253" t="s">
        <v>606</v>
      </c>
      <c r="C28" s="2168"/>
      <c r="D28" s="2126" t="s">
        <v>5</v>
      </c>
      <c r="E28" s="2183" t="s">
        <v>5</v>
      </c>
    </row>
    <row r="29" spans="1:5" ht="33" x14ac:dyDescent="0.25">
      <c r="A29" s="2221" t="s">
        <v>535</v>
      </c>
      <c r="B29" s="2237" t="s">
        <v>585</v>
      </c>
      <c r="C29" s="2231"/>
      <c r="D29" s="2077" t="s">
        <v>5</v>
      </c>
      <c r="E29" s="2096" t="s">
        <v>5</v>
      </c>
    </row>
    <row r="30" spans="1:5" ht="49.5" x14ac:dyDescent="0.25">
      <c r="A30" s="2210" t="s">
        <v>568</v>
      </c>
      <c r="B30" s="2246" t="s">
        <v>586</v>
      </c>
      <c r="C30" s="2209"/>
      <c r="D30" s="2255" t="s">
        <v>5</v>
      </c>
      <c r="E30" s="2084" t="s">
        <v>5</v>
      </c>
    </row>
    <row r="31" spans="1:5" ht="66" x14ac:dyDescent="0.25">
      <c r="A31" s="2211" t="s">
        <v>718</v>
      </c>
      <c r="B31" s="2133" t="s">
        <v>587</v>
      </c>
      <c r="C31" s="2158"/>
      <c r="D31" s="2113">
        <v>927127954243</v>
      </c>
      <c r="E31" s="2173">
        <v>938212261852</v>
      </c>
    </row>
    <row r="32" spans="1:5" ht="33" x14ac:dyDescent="0.25">
      <c r="A32" s="2222" t="s">
        <v>594</v>
      </c>
      <c r="B32" s="2247" t="s">
        <v>611</v>
      </c>
      <c r="C32" s="2159"/>
      <c r="D32" s="2114">
        <v>927127954243</v>
      </c>
      <c r="E32" s="2174">
        <v>938212261852</v>
      </c>
    </row>
    <row r="33" spans="1:5" ht="49.5" x14ac:dyDescent="0.25">
      <c r="A33" s="2147" t="s">
        <v>599</v>
      </c>
      <c r="B33" s="2251" t="s">
        <v>588</v>
      </c>
      <c r="C33" s="2160"/>
      <c r="D33" s="2115">
        <v>927127835243</v>
      </c>
      <c r="E33" s="2175">
        <v>938191498277</v>
      </c>
    </row>
    <row r="34" spans="1:5" ht="33" x14ac:dyDescent="0.25">
      <c r="A34" s="2212" t="s">
        <v>583</v>
      </c>
      <c r="B34" s="2134" t="s">
        <v>588</v>
      </c>
      <c r="C34" s="2161"/>
      <c r="D34" s="2116" t="s">
        <v>5</v>
      </c>
      <c r="E34" s="2176" t="s">
        <v>5</v>
      </c>
    </row>
    <row r="35" spans="1:5" ht="33" x14ac:dyDescent="0.25">
      <c r="A35" s="2148" t="s">
        <v>581</v>
      </c>
      <c r="B35" s="2252" t="s">
        <v>589</v>
      </c>
      <c r="C35" s="2162"/>
      <c r="D35" s="2117" t="s">
        <v>5</v>
      </c>
      <c r="E35" s="2177" t="s">
        <v>5</v>
      </c>
    </row>
    <row r="36" spans="1:5" ht="49.5" x14ac:dyDescent="0.25">
      <c r="A36" s="2149" t="s">
        <v>584</v>
      </c>
      <c r="B36" s="2248" t="s">
        <v>613</v>
      </c>
      <c r="C36" s="2163"/>
      <c r="D36" s="2118" t="s">
        <v>5</v>
      </c>
      <c r="E36" s="2178" t="s">
        <v>5</v>
      </c>
    </row>
    <row r="37" spans="1:5" ht="49.5" x14ac:dyDescent="0.25">
      <c r="A37" s="2243" t="s">
        <v>723</v>
      </c>
      <c r="B37" s="2185" t="s">
        <v>601</v>
      </c>
      <c r="C37" s="2164"/>
      <c r="D37" s="2119">
        <v>119000</v>
      </c>
      <c r="E37" s="2179">
        <v>20763575</v>
      </c>
    </row>
    <row r="38" spans="1:5" ht="33" x14ac:dyDescent="0.25">
      <c r="A38" s="2244" t="s">
        <v>583</v>
      </c>
      <c r="B38" s="2142" t="s">
        <v>601</v>
      </c>
      <c r="C38" s="2165"/>
      <c r="D38" s="2120" t="s">
        <v>5</v>
      </c>
      <c r="E38" s="2180" t="s">
        <v>5</v>
      </c>
    </row>
    <row r="39" spans="1:5" ht="33" x14ac:dyDescent="0.25">
      <c r="A39" s="2150" t="s">
        <v>535</v>
      </c>
      <c r="B39" s="2157" t="s">
        <v>590</v>
      </c>
      <c r="C39" s="2166"/>
      <c r="D39" s="2121" t="s">
        <v>5</v>
      </c>
      <c r="E39" s="2181" t="s">
        <v>5</v>
      </c>
    </row>
    <row r="40" spans="1:5" ht="49.5" x14ac:dyDescent="0.25">
      <c r="A40" s="2151" t="s">
        <v>683</v>
      </c>
      <c r="B40" s="2136" t="s">
        <v>607</v>
      </c>
      <c r="C40" s="2167"/>
      <c r="D40" s="2122" t="s">
        <v>5</v>
      </c>
      <c r="E40" s="2182" t="s">
        <v>5</v>
      </c>
    </row>
  </sheetData>
  <mergeCells count="1">
    <mergeCell ref="A1:E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40"/>
  <sheetViews>
    <sheetView workbookViewId="0"/>
  </sheetViews>
  <sheetFormatPr defaultRowHeight="15" x14ac:dyDescent="0.25"/>
  <cols>
    <col min="1" max="1" width="1" style="2265" bestFit="1" customWidth="1"/>
    <col min="2" max="5" width="1" bestFit="1" customWidth="1"/>
  </cols>
  <sheetData>
    <row r="3" spans="1:5" x14ac:dyDescent="0.25">
      <c r="A3" t="str">
        <f>CONCATENATE(611050,",",ROW(PLCTTHDMGUTCKHGT_06614!A3),"|",COLUMN(PLCTTHDMGUTCKHGT_06614!A3),",0",",0")</f>
        <v>611050,3|1,0,0</v>
      </c>
      <c r="B3" t="str">
        <f>CONCATENATE(611044,",",ROW(PLCTTHDMGUTCKHGT_06614!B3),"|",COLUMN(PLCTTHDMGUTCKHGT_06614!B3),",0",",0")</f>
        <v>611044,3|2,0,0</v>
      </c>
      <c r="C3" t="str">
        <f>CONCATENATE(611096,",",ROW(PLCTTHDMGUTCKHGT_06614!C3),"|",COLUMN(PLCTTHDMGUTCKHGT_06614!C3),",0",",0")</f>
        <v>611096,3|3,0,0</v>
      </c>
      <c r="D3" t="str">
        <f>CONCATENATE(611098,",",ROW(PLCTTHDMGUTCKHGT_06614!D3),"|",COLUMN(PLCTTHDMGUTCKHGT_06614!D3),",0",",0")</f>
        <v>611098,3|4,0,0</v>
      </c>
      <c r="E3" t="str">
        <f>CONCATENATE(611046,",",ROW(PLCTTHDMGUTCKHGT_06614!E3),"|",COLUMN(PLCTTHDMGUTCKHGT_06614!E3),",0",",0")</f>
        <v>611046,3|5,0,0</v>
      </c>
    </row>
    <row r="4" spans="1:5" x14ac:dyDescent="0.25">
      <c r="A4" t="str">
        <f>CONCATENATE(611035,",",ROW(PLCTTHDMGUTCKHGT_06614!A4),"|",COLUMN(PLCTTHDMGUTCKHGT_06614!A4),",0",",0")</f>
        <v>611035,4|1,0,0</v>
      </c>
      <c r="B4" t="s">
        <v>5</v>
      </c>
      <c r="C4" t="str">
        <f>CONCATENATE(611079,",",ROW(PLCTTHDMGUTCKHGT_06614!C4),"|",COLUMN(PLCTTHDMGUTCKHGT_06614!C4),",0",",0")</f>
        <v>611079,4|3,0,0</v>
      </c>
      <c r="D4" t="str">
        <f>CONCATENATE(610989,",",ROW(PLCTTHDMGUTCKHGT_06614!D4),"|",COLUMN(PLCTTHDMGUTCKHGT_06614!D4),",0",",0")</f>
        <v>610989,4|4,0,0</v>
      </c>
      <c r="E4" t="str">
        <f>CONCATENATE(611008,",",ROW(PLCTTHDMGUTCKHGT_06614!E4),"|",COLUMN(PLCTTHDMGUTCKHGT_06614!E4),",0",",0")</f>
        <v>611008,4|5,0,0</v>
      </c>
    </row>
    <row r="5" spans="1:5" x14ac:dyDescent="0.25">
      <c r="A5" t="str">
        <f>CONCATENATE(611101,",",ROW(PLCTTHDMGUTCKHGT_06614!A5),"|",COLUMN(PLCTTHDMGUTCKHGT_06614!A5),",0",",0")</f>
        <v>611101,5|1,0,0</v>
      </c>
      <c r="B5" t="str">
        <f>CONCATENATE(610963,",",ROW(PLCTTHDMGUTCKHGT_06614!B5),"|",COLUMN(PLCTTHDMGUTCKHGT_06614!B5),",0",",0")</f>
        <v>610963,5|2,0,0</v>
      </c>
      <c r="C5" t="str">
        <f>CONCATENATE(610923,",",ROW(PLCTTHDMGUTCKHGT_06614!C5),"|",COLUMN(PLCTTHDMGUTCKHGT_06614!C5),",0",",0")</f>
        <v>610923,5|3,0,0</v>
      </c>
      <c r="D5" t="str">
        <f>CONCATENATE(610982,",",ROW(PLCTTHDMGUTCKHGT_06614!D5),"|",COLUMN(PLCTTHDMGUTCKHGT_06614!D5),",0",",0")</f>
        <v>610982,5|4,0,0</v>
      </c>
      <c r="E5" t="str">
        <f>CONCATENATE(611001,",",ROW(PLCTTHDMGUTCKHGT_06614!E5),"|",COLUMN(PLCTTHDMGUTCKHGT_06614!E5),",0",",0")</f>
        <v>611001,5|5,0,0</v>
      </c>
    </row>
    <row r="6" spans="1:5" x14ac:dyDescent="0.25">
      <c r="A6" t="str">
        <f>CONCATENATE(610935,",",ROW(PLCTTHDMGUTCKHGT_06614!A6),"|",COLUMN(PLCTTHDMGUTCKHGT_06614!A6),",0",",0")</f>
        <v>610935,6|1,0,0</v>
      </c>
      <c r="B6" t="str">
        <f>CONCATENATE(611095,",",ROW(PLCTTHDMGUTCKHGT_06614!B6),"|",COLUMN(PLCTTHDMGUTCKHGT_06614!B6),",0",",0")</f>
        <v>611095,6|2,0,0</v>
      </c>
      <c r="C6" t="str">
        <f>CONCATENATE(610921,",",ROW(PLCTTHDMGUTCKHGT_06614!C6),"|",COLUMN(PLCTTHDMGUTCKHGT_06614!C6),",0",",0")</f>
        <v>610921,6|3,0,0</v>
      </c>
      <c r="D6" t="str">
        <f>CONCATENATE(611030,",",ROW(PLCTTHDMGUTCKHGT_06614!D6),"|",COLUMN(PLCTTHDMGUTCKHGT_06614!D6),",0",",0")</f>
        <v>611030,6|4,0,0</v>
      </c>
      <c r="E6" t="str">
        <f>CONCATENATE(611016,",",ROW(PLCTTHDMGUTCKHGT_06614!E6),"|",COLUMN(PLCTTHDMGUTCKHGT_06614!E6),",0",",0")</f>
        <v>611016,6|5,0,0</v>
      </c>
    </row>
    <row r="7" spans="1:5" x14ac:dyDescent="0.25">
      <c r="A7" t="str">
        <f>CONCATENATE(610936,",",ROW(PLCTTHDMGUTCKHGT_06614!A7),"|",COLUMN(PLCTTHDMGUTCKHGT_06614!A7),",0",",0")</f>
        <v>610936,7|1,0,0</v>
      </c>
      <c r="B7" t="str">
        <f>CONCATENATE(611097,",",ROW(PLCTTHDMGUTCKHGT_06614!B7),"|",COLUMN(PLCTTHDMGUTCKHGT_06614!B7),",0",",0")</f>
        <v>611097,7|2,0,0</v>
      </c>
      <c r="C7" t="str">
        <f>CONCATENATE(610922,",",ROW(PLCTTHDMGUTCKHGT_06614!C7),"|",COLUMN(PLCTTHDMGUTCKHGT_06614!C7),",0",",0")</f>
        <v>610922,7|3,0,0</v>
      </c>
      <c r="D7" t="str">
        <f>CONCATENATE(611031,",",ROW(PLCTTHDMGUTCKHGT_06614!D7),"|",COLUMN(PLCTTHDMGUTCKHGT_06614!D7),",0",",0")</f>
        <v>611031,7|4,0,0</v>
      </c>
      <c r="E7" t="str">
        <f>CONCATENATE(611017,",",ROW(PLCTTHDMGUTCKHGT_06614!E7),"|",COLUMN(PLCTTHDMGUTCKHGT_06614!E7),",0",",0")</f>
        <v>611017,7|5,0,0</v>
      </c>
    </row>
    <row r="8" spans="1:5" x14ac:dyDescent="0.25">
      <c r="A8" t="str">
        <f>CONCATENATE(610937,",",ROW(PLCTTHDMGUTCKHGT_06614!A8),"|",COLUMN(PLCTTHDMGUTCKHGT_06614!A8),",0",",0")</f>
        <v>610937,8|1,0,0</v>
      </c>
      <c r="B8" t="str">
        <f>CONCATENATE(610941,",",ROW(PLCTTHDMGUTCKHGT_06614!B8),"|",COLUMN(PLCTTHDMGUTCKHGT_06614!B8),",0",",0")</f>
        <v>610941,8|2,0,0</v>
      </c>
      <c r="C8" t="str">
        <f>CONCATENATE(611011,",",ROW(PLCTTHDMGUTCKHGT_06614!C8),"|",COLUMN(PLCTTHDMGUTCKHGT_06614!C8),",0",",0")</f>
        <v>611011,8|3,0,0</v>
      </c>
      <c r="D8" t="str">
        <f>CONCATENATE(610977,",",ROW(PLCTTHDMGUTCKHGT_06614!D8),"|",COLUMN(PLCTTHDMGUTCKHGT_06614!D8),",0",",0")</f>
        <v>610977,8|4,0,0</v>
      </c>
      <c r="E8" t="str">
        <f>CONCATENATE(610996,",",ROW(PLCTTHDMGUTCKHGT_06614!E8),"|",COLUMN(PLCTTHDMGUTCKHGT_06614!E8),",0",",0")</f>
        <v>610996,8|5,0,0</v>
      </c>
    </row>
    <row r="9" spans="1:5" x14ac:dyDescent="0.25">
      <c r="A9" t="str">
        <f>CONCATENATE(610942,",",ROW(PLCTTHDMGUTCKHGT_06614!A9),"|",COLUMN(PLCTTHDMGUTCKHGT_06614!A9),",0",",0")</f>
        <v>610942,9|1,0,0</v>
      </c>
      <c r="B9" t="str">
        <f>CONCATENATE(611059,",",ROW(PLCTTHDMGUTCKHGT_06614!B9),"|",COLUMN(PLCTTHDMGUTCKHGT_06614!B9),",0",",0")</f>
        <v>611059,9|2,0,0</v>
      </c>
      <c r="C9" t="str">
        <f>CONCATENATE(610944,",",ROW(PLCTTHDMGUTCKHGT_06614!C9),"|",COLUMN(PLCTTHDMGUTCKHGT_06614!C9),",0",",0")</f>
        <v>610944,9|3,0,0</v>
      </c>
      <c r="D9" t="str">
        <f>CONCATENATE(610978,",",ROW(PLCTTHDMGUTCKHGT_06614!D9),"|",COLUMN(PLCTTHDMGUTCKHGT_06614!D9),",0",",0")</f>
        <v>610978,9|4,0,0</v>
      </c>
      <c r="E9" t="str">
        <f>CONCATENATE(610997,",",ROW(PLCTTHDMGUTCKHGT_06614!E9),"|",COLUMN(PLCTTHDMGUTCKHGT_06614!E9),",0",",0")</f>
        <v>610997,9|5,0,0</v>
      </c>
    </row>
    <row r="10" spans="1:5" x14ac:dyDescent="0.25">
      <c r="A10" t="str">
        <f>CONCATENATE(610943,",",ROW(PLCTTHDMGUTCKHGT_06614!A10),"|",COLUMN(PLCTTHDMGUTCKHGT_06614!A10),",0",",0")</f>
        <v>610943,10|1,0,0</v>
      </c>
      <c r="B10" t="str">
        <f>CONCATENATE(611060,",",ROW(PLCTTHDMGUTCKHGT_06614!B10),"|",COLUMN(PLCTTHDMGUTCKHGT_06614!B10),",0",",0")</f>
        <v>611060,10|2,0,0</v>
      </c>
      <c r="C10" t="str">
        <f>CONCATENATE(610945,",",ROW(PLCTTHDMGUTCKHGT_06614!C10),"|",COLUMN(PLCTTHDMGUTCKHGT_06614!C10),",0",",0")</f>
        <v>610945,10|3,0,0</v>
      </c>
      <c r="D10" t="str">
        <f>CONCATENATE(610979,",",ROW(PLCTTHDMGUTCKHGT_06614!D10),"|",COLUMN(PLCTTHDMGUTCKHGT_06614!D10),",0",",0")</f>
        <v>610979,10|4,0,0</v>
      </c>
      <c r="E10" t="str">
        <f>CONCATENATE(610998,",",ROW(PLCTTHDMGUTCKHGT_06614!E10),"|",COLUMN(PLCTTHDMGUTCKHGT_06614!E10),",0",",0")</f>
        <v>610998,10|5,0,0</v>
      </c>
    </row>
    <row r="11" spans="1:5" x14ac:dyDescent="0.25">
      <c r="A11" t="str">
        <f>CONCATENATE(610956,",",ROW(PLCTTHDMGUTCKHGT_06614!A11),"|",COLUMN(PLCTTHDMGUTCKHGT_06614!A11),",0",",0")</f>
        <v>610956,11|1,0,0</v>
      </c>
      <c r="B11" t="str">
        <f>CONCATENATE(611106,",",ROW(PLCTTHDMGUTCKHGT_06614!B11),"|",COLUMN(PLCTTHDMGUTCKHGT_06614!B11),",0",",0")</f>
        <v>611106,11|2,0,0</v>
      </c>
      <c r="C11" t="str">
        <f>CONCATENATE(610950,",",ROW(PLCTTHDMGUTCKHGT_06614!C11),"|",COLUMN(PLCTTHDMGUTCKHGT_06614!C11),",0",",0")</f>
        <v>610950,11|3,0,0</v>
      </c>
      <c r="D11" t="str">
        <f>CONCATENATE(610985,",",ROW(PLCTTHDMGUTCKHGT_06614!D11),"|",COLUMN(PLCTTHDMGUTCKHGT_06614!D11),",0",",0")</f>
        <v>610985,11|4,0,0</v>
      </c>
      <c r="E11" t="str">
        <f>CONCATENATE(611004,",",ROW(PLCTTHDMGUTCKHGT_06614!E11),"|",COLUMN(PLCTTHDMGUTCKHGT_06614!E11),",0",",0")</f>
        <v>611004,11|5,0,0</v>
      </c>
    </row>
    <row r="12" spans="1:5" x14ac:dyDescent="0.25">
      <c r="A12" t="str">
        <f>CONCATENATE(611103,",",ROW(PLCTTHDMGUTCKHGT_06614!A12),"|",COLUMN(PLCTTHDMGUTCKHGT_06614!A12),",0",",0")</f>
        <v>611103,12|1,0,0</v>
      </c>
      <c r="B12" t="str">
        <f>CONCATENATE(611061,",",ROW(PLCTTHDMGUTCKHGT_06614!B12),"|",COLUMN(PLCTTHDMGUTCKHGT_06614!B12),",0",",0")</f>
        <v>611061,12|2,0,0</v>
      </c>
      <c r="C12" t="str">
        <f>CONCATENATE(610946,",",ROW(PLCTTHDMGUTCKHGT_06614!C12),"|",COLUMN(PLCTTHDMGUTCKHGT_06614!C12),",0",",0")</f>
        <v>610946,12|3,0,0</v>
      </c>
      <c r="D12" t="str">
        <f>CONCATENATE(610980,",",ROW(PLCTTHDMGUTCKHGT_06614!D12),"|",COLUMN(PLCTTHDMGUTCKHGT_06614!D12),",0",",0")</f>
        <v>610980,12|4,0,0</v>
      </c>
      <c r="E12" t="str">
        <f>CONCATENATE(610999,",",ROW(PLCTTHDMGUTCKHGT_06614!E12),"|",COLUMN(PLCTTHDMGUTCKHGT_06614!E12),",0",",0")</f>
        <v>610999,12|5,0,0</v>
      </c>
    </row>
    <row r="13" spans="1:5" x14ac:dyDescent="0.25">
      <c r="A13" t="str">
        <f>CONCATENATE(611047,",",ROW(PLCTTHDMGUTCKHGT_06614!A13),"|",COLUMN(PLCTTHDMGUTCKHGT_06614!A13),",0",",0")</f>
        <v>611047,13|1,0,0</v>
      </c>
      <c r="B13" t="str">
        <f>CONCATENATE(611107,",",ROW(PLCTTHDMGUTCKHGT_06614!B13),"|",COLUMN(PLCTTHDMGUTCKHGT_06614!B13),",0",",0")</f>
        <v>611107,13|2,0,0</v>
      </c>
      <c r="C13" t="str">
        <f>CONCATENATE(610926,",",ROW(PLCTTHDMGUTCKHGT_06614!C13),"|",COLUMN(PLCTTHDMGUTCKHGT_06614!C13),",0",",0")</f>
        <v>610926,13|3,0,0</v>
      </c>
      <c r="D13" t="str">
        <f>CONCATENATE(611039,",",ROW(PLCTTHDMGUTCKHGT_06614!D13),"|",COLUMN(PLCTTHDMGUTCKHGT_06614!D13),",0",",0")</f>
        <v>611039,13|4,0,0</v>
      </c>
      <c r="E13" t="str">
        <f>CONCATENATE(610990,",",ROW(PLCTTHDMGUTCKHGT_06614!E13),"|",COLUMN(PLCTTHDMGUTCKHGT_06614!E13),",0",",0")</f>
        <v>610990,13|5,0,0</v>
      </c>
    </row>
    <row r="14" spans="1:5" x14ac:dyDescent="0.25">
      <c r="A14" t="str">
        <f>CONCATENATE(610957,",",ROW(PLCTTHDMGUTCKHGT_06614!A14),"|",COLUMN(PLCTTHDMGUTCKHGT_06614!A14),",0",",0")</f>
        <v>610957,14|1,0,0</v>
      </c>
      <c r="B14" t="str">
        <f>CONCATENATE(610952,",",ROW(PLCTTHDMGUTCKHGT_06614!B14),"|",COLUMN(PLCTTHDMGUTCKHGT_06614!B14),",0",",0")</f>
        <v>610952,14|2,0,0</v>
      </c>
      <c r="C14" t="str">
        <f>CONCATENATE(610951,",",ROW(PLCTTHDMGUTCKHGT_06614!C14),"|",COLUMN(PLCTTHDMGUTCKHGT_06614!C14),",0",",0")</f>
        <v>610951,14|3,0,0</v>
      </c>
      <c r="D14" t="str">
        <f>CONCATENATE(610986,",",ROW(PLCTTHDMGUTCKHGT_06614!D14),"|",COLUMN(PLCTTHDMGUTCKHGT_06614!D14),",0",",0")</f>
        <v>610986,14|4,0,0</v>
      </c>
      <c r="E14" t="str">
        <f>CONCATENATE(611005,",",ROW(PLCTTHDMGUTCKHGT_06614!E14),"|",COLUMN(PLCTTHDMGUTCKHGT_06614!E14),",0",",0")</f>
        <v>611005,14|5,0,0</v>
      </c>
    </row>
    <row r="15" spans="1:5" x14ac:dyDescent="0.25">
      <c r="A15" t="str">
        <f>CONCATENATE(611104,",",ROW(PLCTTHDMGUTCKHGT_06614!A15),"|",COLUMN(PLCTTHDMGUTCKHGT_06614!A15),",0",",0")</f>
        <v>611104,15|1,0,0</v>
      </c>
      <c r="B15" t="str">
        <f>CONCATENATE(611062,",",ROW(PLCTTHDMGUTCKHGT_06614!B15),"|",COLUMN(PLCTTHDMGUTCKHGT_06614!B15),",0",",0")</f>
        <v>611062,15|2,0,0</v>
      </c>
      <c r="C15" t="str">
        <f>CONCATENATE(610947,",",ROW(PLCTTHDMGUTCKHGT_06614!C15),"|",COLUMN(PLCTTHDMGUTCKHGT_06614!C15),",0",",0")</f>
        <v>610947,15|3,0,0</v>
      </c>
      <c r="D15" t="str">
        <f>CONCATENATE(610981,",",ROW(PLCTTHDMGUTCKHGT_06614!D15),"|",COLUMN(PLCTTHDMGUTCKHGT_06614!D15),",0",",0")</f>
        <v>610981,15|4,0,0</v>
      </c>
      <c r="E15" t="str">
        <f>CONCATENATE(611000,",",ROW(PLCTTHDMGUTCKHGT_06614!E15),"|",COLUMN(PLCTTHDMGUTCKHGT_06614!E15),",0",",0")</f>
        <v>611000,15|5,0,0</v>
      </c>
    </row>
    <row r="16" spans="1:5" x14ac:dyDescent="0.25">
      <c r="A16" t="str">
        <f>CONCATENATE(610958,",",ROW(PLCTTHDMGUTCKHGT_06614!A16),"|",COLUMN(PLCTTHDMGUTCKHGT_06614!A16),",0",",0")</f>
        <v>610958,16|1,0,0</v>
      </c>
      <c r="B16" t="str">
        <f>CONCATENATE(610931,",",ROW(PLCTTHDMGUTCKHGT_06614!B16),"|",COLUMN(PLCTTHDMGUTCKHGT_06614!B16),",0",",0")</f>
        <v>610931,16|2,0,0</v>
      </c>
      <c r="C16" t="str">
        <f>CONCATENATE(611102,",",ROW(PLCTTHDMGUTCKHGT_06614!C16),"|",COLUMN(PLCTTHDMGUTCKHGT_06614!C16),",0",",0")</f>
        <v>611102,16|3,0,0</v>
      </c>
      <c r="D16" t="str">
        <f>CONCATENATE(610974,",",ROW(PLCTTHDMGUTCKHGT_06614!D16),"|",COLUMN(PLCTTHDMGUTCKHGT_06614!D16),",0",",0")</f>
        <v>610974,16|4,0,0</v>
      </c>
      <c r="E16" t="str">
        <f>CONCATENATE(610992,",",ROW(PLCTTHDMGUTCKHGT_06614!E16),"|",COLUMN(PLCTTHDMGUTCKHGT_06614!E16),",0",",0")</f>
        <v>610992,16|5,0,0</v>
      </c>
    </row>
    <row r="17" spans="1:5" x14ac:dyDescent="0.25">
      <c r="A17" t="str">
        <f>CONCATENATE(610959,",",ROW(PLCTTHDMGUTCKHGT_06614!A17),"|",COLUMN(PLCTTHDMGUTCKHGT_06614!A17),",0",",0")</f>
        <v>610959,17|1,0,0</v>
      </c>
      <c r="B17" t="str">
        <f>CONCATENATE(610967,",",ROW(PLCTTHDMGUTCKHGT_06614!B17),"|",COLUMN(PLCTTHDMGUTCKHGT_06614!B17),",0",",0")</f>
        <v>610967,17|2,0,0</v>
      </c>
      <c r="C17" t="str">
        <f>CONCATENATE(611078,",",ROW(PLCTTHDMGUTCKHGT_06614!C17),"|",COLUMN(PLCTTHDMGUTCKHGT_06614!C17),",0",",0")</f>
        <v>611078,17|3,0,0</v>
      </c>
      <c r="D17" t="str">
        <f>CONCATENATE(610988,",",ROW(PLCTTHDMGUTCKHGT_06614!D17),"|",COLUMN(PLCTTHDMGUTCKHGT_06614!D17),",0",",0")</f>
        <v>610988,17|4,0,0</v>
      </c>
      <c r="E17" t="str">
        <f>CONCATENATE(611007,",",ROW(PLCTTHDMGUTCKHGT_06614!E17),"|",COLUMN(PLCTTHDMGUTCKHGT_06614!E17),",0",",0")</f>
        <v>611007,17|5,0,0</v>
      </c>
    </row>
    <row r="18" spans="1:5" x14ac:dyDescent="0.25">
      <c r="A18" t="str">
        <f>CONCATENATE(611042,",",ROW(PLCTTHDMGUTCKHGT_06614!A18),"|",COLUMN(PLCTTHDMGUTCKHGT_06614!A18),",0",",0")</f>
        <v>611042,18|1,0,0</v>
      </c>
      <c r="B18" t="str">
        <f>CONCATENATE(611099,",",ROW(PLCTTHDMGUTCKHGT_06614!B18),"|",COLUMN(PLCTTHDMGUTCKHGT_06614!B18),",0",",0")</f>
        <v>611099,18|2,0,0</v>
      </c>
      <c r="C18" t="str">
        <f>CONCATENATE(610924,",",ROW(PLCTTHDMGUTCKHGT_06614!C18),"|",COLUMN(PLCTTHDMGUTCKHGT_06614!C18),",0",",0")</f>
        <v>610924,18|3,0,0</v>
      </c>
      <c r="D18" t="str">
        <f>CONCATENATE(611032,",",ROW(PLCTTHDMGUTCKHGT_06614!D18),"|",COLUMN(PLCTTHDMGUTCKHGT_06614!D18),",0",",0")</f>
        <v>611032,18|4,0,0</v>
      </c>
      <c r="E18" t="str">
        <f>CONCATENATE(611018,",",ROW(PLCTTHDMGUTCKHGT_06614!E18),"|",COLUMN(PLCTTHDMGUTCKHGT_06614!E18),",0",",0")</f>
        <v>611018,18|5,0,0</v>
      </c>
    </row>
    <row r="19" spans="1:5" x14ac:dyDescent="0.25">
      <c r="A19" t="str">
        <f>CONCATENATE(611105,",",ROW(PLCTTHDMGUTCKHGT_06614!A19),"|",COLUMN(PLCTTHDMGUTCKHGT_06614!A19),",0",",0")</f>
        <v>611105,19|1,0,0</v>
      </c>
      <c r="B19" t="str">
        <f>CONCATENATE(611100,",",ROW(PLCTTHDMGUTCKHGT_06614!B19),"|",COLUMN(PLCTTHDMGUTCKHGT_06614!B19),",0",",0")</f>
        <v>611100,19|2,0,0</v>
      </c>
      <c r="C19" t="str">
        <f>CONCATENATE(610925,",",ROW(PLCTTHDMGUTCKHGT_06614!C19),"|",COLUMN(PLCTTHDMGUTCKHGT_06614!C19),",0",",0")</f>
        <v>610925,19|3,0,0</v>
      </c>
      <c r="D19" t="str">
        <f>CONCATENATE(611038,",",ROW(PLCTTHDMGUTCKHGT_06614!D19),"|",COLUMN(PLCTTHDMGUTCKHGT_06614!D19),",0",",0")</f>
        <v>611038,19|4,0,0</v>
      </c>
      <c r="E19" t="str">
        <f>CONCATENATE(611019,",",ROW(PLCTTHDMGUTCKHGT_06614!E19),"|",COLUMN(PLCTTHDMGUTCKHGT_06614!E19),",0",",0")</f>
        <v>611019,19|5,0,0</v>
      </c>
    </row>
    <row r="20" spans="1:5" x14ac:dyDescent="0.25">
      <c r="A20" t="str">
        <f>CONCATENATE(611051,",",ROW(PLCTTHDMGUTCKHGT_06614!A20),"|",COLUMN(PLCTTHDMGUTCKHGT_06614!A20),",0",",0")</f>
        <v>611051,20|1,0,0</v>
      </c>
      <c r="B20" t="str">
        <f>CONCATENATE(610972,",",ROW(PLCTTHDMGUTCKHGT_06614!B20),"|",COLUMN(PLCTTHDMGUTCKHGT_06614!B20),",0",",0")</f>
        <v>610972,20|2,0,0</v>
      </c>
      <c r="C20" t="str">
        <f>CONCATENATE(611076,",",ROW(PLCTTHDMGUTCKHGT_06614!C20),"|",COLUMN(PLCTTHDMGUTCKHGT_06614!C20),",0",",0")</f>
        <v>611076,20|3,0,0</v>
      </c>
      <c r="D20" t="str">
        <f>CONCATENATE(611034,",",ROW(PLCTTHDMGUTCKHGT_06614!D20),"|",COLUMN(PLCTTHDMGUTCKHGT_06614!D20),",0",",0")</f>
        <v>611034,20|4,0,0</v>
      </c>
      <c r="E20" t="str">
        <f>CONCATENATE(611091,",",ROW(PLCTTHDMGUTCKHGT_06614!E20),"|",COLUMN(PLCTTHDMGUTCKHGT_06614!E20),",0",",0")</f>
        <v>611091,20|5,0,0</v>
      </c>
    </row>
    <row r="21" spans="1:5" x14ac:dyDescent="0.25">
      <c r="A21" t="str">
        <f>CONCATENATE(611052,",",ROW(PLCTTHDMGUTCKHGT_06614!A21),"|",COLUMN(PLCTTHDMGUTCKHGT_06614!A21),",0",",0")</f>
        <v>611052,21|1,0,0</v>
      </c>
      <c r="B21" t="str">
        <f>CONCATENATE(610953,",",ROW(PLCTTHDMGUTCKHGT_06614!B21),"|",COLUMN(PLCTTHDMGUTCKHGT_06614!B21),",0",",0")</f>
        <v>610953,21|2,0,0</v>
      </c>
      <c r="C21" t="str">
        <f>CONCATENATE(611077,",",ROW(PLCTTHDMGUTCKHGT_06614!C21),"|",COLUMN(PLCTTHDMGUTCKHGT_06614!C21),",0",",0")</f>
        <v>611077,21|3,0,0</v>
      </c>
      <c r="D21" t="str">
        <f>CONCATENATE(610987,",",ROW(PLCTTHDMGUTCKHGT_06614!D21),"|",COLUMN(PLCTTHDMGUTCKHGT_06614!D21),",0",",0")</f>
        <v>610987,21|4,0,0</v>
      </c>
      <c r="E21" t="str">
        <f>CONCATENATE(611006,",",ROW(PLCTTHDMGUTCKHGT_06614!E21),"|",COLUMN(PLCTTHDMGUTCKHGT_06614!E21),",0",",0")</f>
        <v>611006,21|5,0,0</v>
      </c>
    </row>
    <row r="22" spans="1:5" x14ac:dyDescent="0.25">
      <c r="A22" t="str">
        <f>CONCATENATE(611053,",",ROW(PLCTTHDMGUTCKHGT_06614!A22),"|",COLUMN(PLCTTHDMGUTCKHGT_06614!A22),",0",",0")</f>
        <v>611053,22|1,0,0</v>
      </c>
      <c r="B22" t="str">
        <f>CONCATENATE(610932,",",ROW(PLCTTHDMGUTCKHGT_06614!B22),"|",COLUMN(PLCTTHDMGUTCKHGT_06614!B22),",0",",0")</f>
        <v>610932,22|2,0,0</v>
      </c>
      <c r="C22" t="str">
        <f>CONCATENATE(611012,",",ROW(PLCTTHDMGUTCKHGT_06614!C22),"|",COLUMN(PLCTTHDMGUTCKHGT_06614!C22),",0",",0")</f>
        <v>611012,22|3,0,0</v>
      </c>
      <c r="D22" t="str">
        <f>CONCATENATE(610975,",",ROW(PLCTTHDMGUTCKHGT_06614!D22),"|",COLUMN(PLCTTHDMGUTCKHGT_06614!D22),",0",",0")</f>
        <v>610975,22|4,0,0</v>
      </c>
      <c r="E22" t="str">
        <f>CONCATENATE(610993,",",ROW(PLCTTHDMGUTCKHGT_06614!E22),"|",COLUMN(PLCTTHDMGUTCKHGT_06614!E22),",0",",0")</f>
        <v>610993,22|5,0,0</v>
      </c>
    </row>
    <row r="23" spans="1:5" x14ac:dyDescent="0.25">
      <c r="A23" t="str">
        <f>CONCATENATE(611063,",",ROW(PLCTTHDMGUTCKHGT_06614!A23),"|",COLUMN(PLCTTHDMGUTCKHGT_06614!A23),",0",",0")</f>
        <v>611063,23|1,0,0</v>
      </c>
      <c r="B23" t="str">
        <f>CONCATENATE(610933,",",ROW(PLCTTHDMGUTCKHGT_06614!B23),"|",COLUMN(PLCTTHDMGUTCKHGT_06614!B23),",0",",0")</f>
        <v>610933,23|2,0,0</v>
      </c>
      <c r="C23" t="str">
        <f>CONCATENATE(611013,",",ROW(PLCTTHDMGUTCKHGT_06614!C23),"|",COLUMN(PLCTTHDMGUTCKHGT_06614!C23),",0",",0")</f>
        <v>611013,23|3,0,0</v>
      </c>
      <c r="D23" t="str">
        <f>CONCATENATE(610976,",",ROW(PLCTTHDMGUTCKHGT_06614!D23),"|",COLUMN(PLCTTHDMGUTCKHGT_06614!D23),",0",",0")</f>
        <v>610976,23|4,0,0</v>
      </c>
      <c r="E23" t="str">
        <f>CONCATENATE(610994,",",ROW(PLCTTHDMGUTCKHGT_06614!E23),"|",COLUMN(PLCTTHDMGUTCKHGT_06614!E23),",0",",0")</f>
        <v>610994,23|5,0,0</v>
      </c>
    </row>
    <row r="24" spans="1:5" x14ac:dyDescent="0.25">
      <c r="A24" t="str">
        <f>CONCATENATE(611045,",",ROW(PLCTTHDMGUTCKHGT_06614!A24),"|",COLUMN(PLCTTHDMGUTCKHGT_06614!A24),",0",",0")</f>
        <v>611045,24|1,0,0</v>
      </c>
      <c r="B24" t="str">
        <f>CONCATENATE(611093,",",ROW(PLCTTHDMGUTCKHGT_06614!B24),"|",COLUMN(PLCTTHDMGUTCKHGT_06614!B24),",0",",0")</f>
        <v>611093,24|2,0,0</v>
      </c>
      <c r="C24" t="str">
        <f>CONCATENATE(610919,",",ROW(PLCTTHDMGUTCKHGT_06614!C24),"|",COLUMN(PLCTTHDMGUTCKHGT_06614!C24),",0",",0")</f>
        <v>610919,24|3,0,0</v>
      </c>
      <c r="D24" t="str">
        <f>CONCATENATE(611036,",",ROW(PLCTTHDMGUTCKHGT_06614!D24),"|",COLUMN(PLCTTHDMGUTCKHGT_06614!D24),",0",",0")</f>
        <v>611036,24|4,0,0</v>
      </c>
      <c r="E24" t="str">
        <f>CONCATENATE(611014,",",ROW(PLCTTHDMGUTCKHGT_06614!E24),"|",COLUMN(PLCTTHDMGUTCKHGT_06614!E24),",0",",0")</f>
        <v>611014,24|5,0,0</v>
      </c>
    </row>
    <row r="25" spans="1:5" x14ac:dyDescent="0.25">
      <c r="A25" t="str">
        <f>CONCATENATE(610938,",",ROW(PLCTTHDMGUTCKHGT_06614!A25),"|",COLUMN(PLCTTHDMGUTCKHGT_06614!A25),",0",",0")</f>
        <v>610938,25|1,0,0</v>
      </c>
      <c r="B25" t="str">
        <f>CONCATENATE(610954,",",ROW(PLCTTHDMGUTCKHGT_06614!B25),"|",COLUMN(PLCTTHDMGUTCKHGT_06614!B25),",0",",0")</f>
        <v>610954,25|2,0,0</v>
      </c>
      <c r="C25" t="str">
        <f>CONCATENATE(610948,",",ROW(PLCTTHDMGUTCKHGT_06614!C25),"|",COLUMN(PLCTTHDMGUTCKHGT_06614!C25),",0",",0")</f>
        <v>610948,25|3,0,0</v>
      </c>
      <c r="D25" t="str">
        <f>CONCATENATE(610983,",",ROW(PLCTTHDMGUTCKHGT_06614!D25),"|",COLUMN(PLCTTHDMGUTCKHGT_06614!D25),",0",",0")</f>
        <v>610983,25|4,0,0</v>
      </c>
      <c r="E25" t="str">
        <f>CONCATENATE(611002,",",ROW(PLCTTHDMGUTCKHGT_06614!E25),"|",COLUMN(PLCTTHDMGUTCKHGT_06614!E25),",0",",0")</f>
        <v>611002,25|5,0,0</v>
      </c>
    </row>
    <row r="26" spans="1:5" x14ac:dyDescent="0.25">
      <c r="A26" t="str">
        <f>CONCATENATE(610960,",",ROW(PLCTTHDMGUTCKHGT_06614!A26),"|",COLUMN(PLCTTHDMGUTCKHGT_06614!A26),",0",",0")</f>
        <v>610960,26|1,0,0</v>
      </c>
      <c r="B26" t="str">
        <f>CONCATENATE(610934,",",ROW(PLCTTHDMGUTCKHGT_06614!B26),"|",COLUMN(PLCTTHDMGUTCKHGT_06614!B26),",0",",0")</f>
        <v>610934,26|2,0,0</v>
      </c>
      <c r="C26" t="str">
        <f>CONCATENATE(611010,",",ROW(PLCTTHDMGUTCKHGT_06614!C26),"|",COLUMN(PLCTTHDMGUTCKHGT_06614!C26),",0",",0")</f>
        <v>611010,26|3,0,0</v>
      </c>
      <c r="D26" t="str">
        <f>CONCATENATE(611009,",",ROW(PLCTTHDMGUTCKHGT_06614!D26),"|",COLUMN(PLCTTHDMGUTCKHGT_06614!D26),",0",",0")</f>
        <v>611009,26|4,0,0</v>
      </c>
      <c r="E26" t="str">
        <f>CONCATENATE(610995,",",ROW(PLCTTHDMGUTCKHGT_06614!E26),"|",COLUMN(PLCTTHDMGUTCKHGT_06614!E26),",0",",0")</f>
        <v>610995,26|5,0,0</v>
      </c>
    </row>
    <row r="27" spans="1:5" x14ac:dyDescent="0.25">
      <c r="A27" t="str">
        <f>CONCATENATE(611094,",",ROW(PLCTTHDMGUTCKHGT_06614!A27),"|",COLUMN(PLCTTHDMGUTCKHGT_06614!A27),",0",",0")</f>
        <v>611094,27|1,0,0</v>
      </c>
      <c r="B27" t="str">
        <f>CONCATENATE(610968,",",ROW(PLCTTHDMGUTCKHGT_06614!B27),"|",COLUMN(PLCTTHDMGUTCKHGT_06614!B27),",0",",0")</f>
        <v>610968,27|2,0,0</v>
      </c>
      <c r="C27" t="str">
        <f>CONCATENATE(610920,",",ROW(PLCTTHDMGUTCKHGT_06614!C27),"|",COLUMN(PLCTTHDMGUTCKHGT_06614!C27),",0",",0")</f>
        <v>610920,27|3,0,0</v>
      </c>
      <c r="D27" t="str">
        <f>CONCATENATE(611037,",",ROW(PLCTTHDMGUTCKHGT_06614!D27),"|",COLUMN(PLCTTHDMGUTCKHGT_06614!D27),",0",",0")</f>
        <v>611037,27|4,0,0</v>
      </c>
      <c r="E27" t="str">
        <f>CONCATENATE(611015,",",ROW(PLCTTHDMGUTCKHGT_06614!E27),"|",COLUMN(PLCTTHDMGUTCKHGT_06614!E27),",0",",0")</f>
        <v>611015,27|5,0,0</v>
      </c>
    </row>
    <row r="28" spans="1:5" x14ac:dyDescent="0.25">
      <c r="A28" t="str">
        <f>CONCATENATE(611048,",",ROW(PLCTTHDMGUTCKHGT_06614!A28),"|",COLUMN(PLCTTHDMGUTCKHGT_06614!A28),",0",",0")</f>
        <v>611048,28|1,0,0</v>
      </c>
      <c r="B28" t="str">
        <f>CONCATENATE(610971,",",ROW(PLCTTHDMGUTCKHGT_06614!B28),"|",COLUMN(PLCTTHDMGUTCKHGT_06614!B28),",0",",0")</f>
        <v>610971,28|2,0,0</v>
      </c>
      <c r="C28" t="str">
        <f>CONCATENATE(611075,",",ROW(PLCTTHDMGUTCKHGT_06614!C28),"|",COLUMN(PLCTTHDMGUTCKHGT_06614!C28),",0",",0")</f>
        <v>611075,28|3,0,0</v>
      </c>
      <c r="D28" t="str">
        <f>CONCATENATE(611033,",",ROW(PLCTTHDMGUTCKHGT_06614!D28),"|",COLUMN(PLCTTHDMGUTCKHGT_06614!D28),",0",",0")</f>
        <v>611033,28|4,0,0</v>
      </c>
      <c r="E28" t="str">
        <f>CONCATENATE(611090,",",ROW(PLCTTHDMGUTCKHGT_06614!E28),"|",COLUMN(PLCTTHDMGUTCKHGT_06614!E28),",0",",0")</f>
        <v>611090,28|5,0,0</v>
      </c>
    </row>
    <row r="29" spans="1:5" x14ac:dyDescent="0.25">
      <c r="A29" t="str">
        <f>CONCATENATE(610939,",",ROW(PLCTTHDMGUTCKHGT_06614!A29),"|",COLUMN(PLCTTHDMGUTCKHGT_06614!A29),",0",",0")</f>
        <v>610939,29|1,0,0</v>
      </c>
      <c r="B29" t="str">
        <f>CONCATENATE(610955,",",ROW(PLCTTHDMGUTCKHGT_06614!B29),"|",COLUMN(PLCTTHDMGUTCKHGT_06614!B29),",0",",0")</f>
        <v>610955,29|2,0,0</v>
      </c>
      <c r="C29" t="str">
        <f>CONCATENATE(610949,",",ROW(PLCTTHDMGUTCKHGT_06614!C29),"|",COLUMN(PLCTTHDMGUTCKHGT_06614!C29),",0",",0")</f>
        <v>610949,29|3,0,0</v>
      </c>
      <c r="D29" t="str">
        <f>CONCATENATE(610984,",",ROW(PLCTTHDMGUTCKHGT_06614!D29),"|",COLUMN(PLCTTHDMGUTCKHGT_06614!D29),",0",",0")</f>
        <v>610984,29|4,0,0</v>
      </c>
      <c r="E29" t="str">
        <f>CONCATENATE(611003,",",ROW(PLCTTHDMGUTCKHGT_06614!E29),"|",COLUMN(PLCTTHDMGUTCKHGT_06614!E29),",0",",0")</f>
        <v>611003,29|5,0,0</v>
      </c>
    </row>
    <row r="30" spans="1:5" x14ac:dyDescent="0.25">
      <c r="A30" t="str">
        <f>CONCATENATE(610928,",",ROW(PLCTTHDMGUTCKHGT_06614!A30),"|",COLUMN(PLCTTHDMGUTCKHGT_06614!A30),",0",",0")</f>
        <v>610928,30|1,0,0</v>
      </c>
      <c r="B30" t="str">
        <f>CONCATENATE(610964,",",ROW(PLCTTHDMGUTCKHGT_06614!B30),"|",COLUMN(PLCTTHDMGUTCKHGT_06614!B30),",0",",0")</f>
        <v>610964,30|2,0,0</v>
      </c>
      <c r="C30" t="str">
        <f>CONCATENATE(610927,",",ROW(PLCTTHDMGUTCKHGT_06614!C30),"|",COLUMN(PLCTTHDMGUTCKHGT_06614!C30),",0",",0")</f>
        <v>610927,30|3,0,0</v>
      </c>
      <c r="D30" t="str">
        <f>CONCATENATE(610973,",",ROW(PLCTTHDMGUTCKHGT_06614!D30),"|",COLUMN(PLCTTHDMGUTCKHGT_06614!D30),",0",",0")</f>
        <v>610973,30|4,0,0</v>
      </c>
      <c r="E30" t="str">
        <f>CONCATENATE(610991,",",ROW(PLCTTHDMGUTCKHGT_06614!E30),"|",COLUMN(PLCTTHDMGUTCKHGT_06614!E30),",0",",0")</f>
        <v>610991,30|5,0,0</v>
      </c>
    </row>
    <row r="31" spans="1:5" x14ac:dyDescent="0.25">
      <c r="A31" t="str">
        <f>CONCATENATE(610929,",",ROW(PLCTTHDMGUTCKHGT_06614!A31),"|",COLUMN(PLCTTHDMGUTCKHGT_06614!A31),",0",",0")</f>
        <v>610929,31|1,0,0</v>
      </c>
      <c r="B31" t="str">
        <f>CONCATENATE(611040,",",ROW(PLCTTHDMGUTCKHGT_06614!B31),"|",COLUMN(PLCTTHDMGUTCKHGT_06614!B31),",0",",0")</f>
        <v>611040,31|2,0,0</v>
      </c>
      <c r="C31" t="str">
        <f>CONCATENATE(611065,",",ROW(PLCTTHDMGUTCKHGT_06614!C31),"|",COLUMN(PLCTTHDMGUTCKHGT_06614!C31),",0",",0")</f>
        <v>611065,31|3,0,0</v>
      </c>
      <c r="D31" t="str">
        <f>CONCATENATE(611020,",",ROW(PLCTTHDMGUTCKHGT_06614!D31),"|",COLUMN(PLCTTHDMGUTCKHGT_06614!D31),",0",",0")</f>
        <v>611020,31|4,0,0</v>
      </c>
      <c r="E31" t="str">
        <f>CONCATENATE(611080,",",ROW(PLCTTHDMGUTCKHGT_06614!E31),"|",COLUMN(PLCTTHDMGUTCKHGT_06614!E31),",0",",0")</f>
        <v>611080,31|5,0,0</v>
      </c>
    </row>
    <row r="32" spans="1:5" x14ac:dyDescent="0.25">
      <c r="A32" t="str">
        <f>CONCATENATE(610940,",",ROW(PLCTTHDMGUTCKHGT_06614!A32),"|",COLUMN(PLCTTHDMGUTCKHGT_06614!A32),",0",",0")</f>
        <v>610940,32|1,0,0</v>
      </c>
      <c r="B32" t="str">
        <f>CONCATENATE(610965,",",ROW(PLCTTHDMGUTCKHGT_06614!B32),"|",COLUMN(PLCTTHDMGUTCKHGT_06614!B32),",0",",0")</f>
        <v>610965,32|2,0,0</v>
      </c>
      <c r="C32" t="str">
        <f>CONCATENATE(611066,",",ROW(PLCTTHDMGUTCKHGT_06614!C32),"|",COLUMN(PLCTTHDMGUTCKHGT_06614!C32),",0",",0")</f>
        <v>611066,32|3,0,0</v>
      </c>
      <c r="D32" t="str">
        <f>CONCATENATE(611021,",",ROW(PLCTTHDMGUTCKHGT_06614!D32),"|",COLUMN(PLCTTHDMGUTCKHGT_06614!D32),",0",",0")</f>
        <v>611021,32|4,0,0</v>
      </c>
      <c r="E32" t="str">
        <f>CONCATENATE(611081,",",ROW(PLCTTHDMGUTCKHGT_06614!E32),"|",COLUMN(PLCTTHDMGUTCKHGT_06614!E32),",0",",0")</f>
        <v>611081,32|5,0,0</v>
      </c>
    </row>
    <row r="33" spans="1:5" x14ac:dyDescent="0.25">
      <c r="A33" t="str">
        <f>CONCATENATE(611054,",",ROW(PLCTTHDMGUTCKHGT_06614!A33),"|",COLUMN(PLCTTHDMGUTCKHGT_06614!A33),",0",",0")</f>
        <v>611054,33|1,0,0</v>
      </c>
      <c r="B33" t="str">
        <f>CONCATENATE(610969,",",ROW(PLCTTHDMGUTCKHGT_06614!B33),"|",COLUMN(PLCTTHDMGUTCKHGT_06614!B33),",0",",0")</f>
        <v>610969,33|2,0,0</v>
      </c>
      <c r="C33" t="str">
        <f>CONCATENATE(611067,",",ROW(PLCTTHDMGUTCKHGT_06614!C33),"|",COLUMN(PLCTTHDMGUTCKHGT_06614!C33),",0",",0")</f>
        <v>611067,33|3,0,0</v>
      </c>
      <c r="D33" t="str">
        <f>CONCATENATE(611022,",",ROW(PLCTTHDMGUTCKHGT_06614!D33),"|",COLUMN(PLCTTHDMGUTCKHGT_06614!D33),",0",",0")</f>
        <v>611022,33|4,0,0</v>
      </c>
      <c r="E33" t="str">
        <f>CONCATENATE(611082,",",ROW(PLCTTHDMGUTCKHGT_06614!E33),"|",COLUMN(PLCTTHDMGUTCKHGT_06614!E33),",0",",0")</f>
        <v>611082,33|5,0,0</v>
      </c>
    </row>
    <row r="34" spans="1:5" x14ac:dyDescent="0.25">
      <c r="A34" t="str">
        <f>CONCATENATE(610930,",",ROW(PLCTTHDMGUTCKHGT_06614!A34),"|",COLUMN(PLCTTHDMGUTCKHGT_06614!A34),",0",",0")</f>
        <v>610930,34|1,0,0</v>
      </c>
      <c r="B34" t="str">
        <f>CONCATENATE(611041,",",ROW(PLCTTHDMGUTCKHGT_06614!B34),"|",COLUMN(PLCTTHDMGUTCKHGT_06614!B34),",0",",0")</f>
        <v>611041,34|2,0,0</v>
      </c>
      <c r="C34" t="str">
        <f>CONCATENATE(611068,",",ROW(PLCTTHDMGUTCKHGT_06614!C34),"|",COLUMN(PLCTTHDMGUTCKHGT_06614!C34),",0",",0")</f>
        <v>611068,34|3,0,0</v>
      </c>
      <c r="D34" t="str">
        <f>CONCATENATE(611023,",",ROW(PLCTTHDMGUTCKHGT_06614!D34),"|",COLUMN(PLCTTHDMGUTCKHGT_06614!D34),",0",",0")</f>
        <v>611023,34|4,0,0</v>
      </c>
      <c r="E34" t="str">
        <f>CONCATENATE(611083,",",ROW(PLCTTHDMGUTCKHGT_06614!E34),"|",COLUMN(PLCTTHDMGUTCKHGT_06614!E34),",0",",0")</f>
        <v>611083,34|5,0,0</v>
      </c>
    </row>
    <row r="35" spans="1:5" x14ac:dyDescent="0.25">
      <c r="A35" t="str">
        <f>CONCATENATE(611055,",",ROW(PLCTTHDMGUTCKHGT_06614!A35),"|",COLUMN(PLCTTHDMGUTCKHGT_06614!A35),",0",",0")</f>
        <v>611055,35|1,0,0</v>
      </c>
      <c r="B35" t="str">
        <f>CONCATENATE(610970,",",ROW(PLCTTHDMGUTCKHGT_06614!B35),"|",COLUMN(PLCTTHDMGUTCKHGT_06614!B35),",0",",0")</f>
        <v>610970,35|2,0,0</v>
      </c>
      <c r="C35" t="str">
        <f>CONCATENATE(611069,",",ROW(PLCTTHDMGUTCKHGT_06614!C35),"|",COLUMN(PLCTTHDMGUTCKHGT_06614!C35),",0",",0")</f>
        <v>611069,35|3,0,0</v>
      </c>
      <c r="D35" t="str">
        <f>CONCATENATE(611024,",",ROW(PLCTTHDMGUTCKHGT_06614!D35),"|",COLUMN(PLCTTHDMGUTCKHGT_06614!D35),",0",",0")</f>
        <v>611024,35|4,0,0</v>
      </c>
      <c r="E35" t="str">
        <f>CONCATENATE(611084,",",ROW(PLCTTHDMGUTCKHGT_06614!E35),"|",COLUMN(PLCTTHDMGUTCKHGT_06614!E35),",0",",0")</f>
        <v>611084,35|5,0,0</v>
      </c>
    </row>
    <row r="36" spans="1:5" x14ac:dyDescent="0.25">
      <c r="A36" t="str">
        <f>CONCATENATE(611056,",",ROW(PLCTTHDMGUTCKHGT_06614!A36),"|",COLUMN(PLCTTHDMGUTCKHGT_06614!A36),",0",",0")</f>
        <v>611056,36|1,0,0</v>
      </c>
      <c r="B36" t="str">
        <f>CONCATENATE(610966,",",ROW(PLCTTHDMGUTCKHGT_06614!B36),"|",COLUMN(PLCTTHDMGUTCKHGT_06614!B36),",0",",0")</f>
        <v>610966,36|2,0,0</v>
      </c>
      <c r="C36" t="str">
        <f>CONCATENATE(611070,",",ROW(PLCTTHDMGUTCKHGT_06614!C36),"|",COLUMN(PLCTTHDMGUTCKHGT_06614!C36),",0",",0")</f>
        <v>611070,36|3,0,0</v>
      </c>
      <c r="D36" t="str">
        <f>CONCATENATE(611025,",",ROW(PLCTTHDMGUTCKHGT_06614!D36),"|",COLUMN(PLCTTHDMGUTCKHGT_06614!D36),",0",",0")</f>
        <v>611025,36|4,0,0</v>
      </c>
      <c r="E36" t="str">
        <f>CONCATENATE(611085,",",ROW(PLCTTHDMGUTCKHGT_06614!E36),"|",COLUMN(PLCTTHDMGUTCKHGT_06614!E36),",0",",0")</f>
        <v>611085,36|5,0,0</v>
      </c>
    </row>
    <row r="37" spans="1:5" x14ac:dyDescent="0.25">
      <c r="A37" t="str">
        <f>CONCATENATE(610961,",",ROW(PLCTTHDMGUTCKHGT_06614!A37),"|",COLUMN(PLCTTHDMGUTCKHGT_06614!A37),",0",",0")</f>
        <v>610961,37|1,0,0</v>
      </c>
      <c r="B37" t="str">
        <f>CONCATENATE(611092,",",ROW(PLCTTHDMGUTCKHGT_06614!B37),"|",COLUMN(PLCTTHDMGUTCKHGT_06614!B37),",0",",0")</f>
        <v>611092,37|2,0,0</v>
      </c>
      <c r="C37" t="str">
        <f>CONCATENATE(611071,",",ROW(PLCTTHDMGUTCKHGT_06614!C37),"|",COLUMN(PLCTTHDMGUTCKHGT_06614!C37),",0",",0")</f>
        <v>611071,37|3,0,0</v>
      </c>
      <c r="D37" t="str">
        <f>CONCATENATE(611026,",",ROW(PLCTTHDMGUTCKHGT_06614!D37),"|",COLUMN(PLCTTHDMGUTCKHGT_06614!D37),",0",",0")</f>
        <v>611026,37|4,0,0</v>
      </c>
      <c r="E37" t="str">
        <f>CONCATENATE(611086,",",ROW(PLCTTHDMGUTCKHGT_06614!E37),"|",COLUMN(PLCTTHDMGUTCKHGT_06614!E37),",0",",0")</f>
        <v>611086,37|5,0,0</v>
      </c>
    </row>
    <row r="38" spans="1:5" x14ac:dyDescent="0.25">
      <c r="A38" t="str">
        <f>CONCATENATE(610962,",",ROW(PLCTTHDMGUTCKHGT_06614!A38),"|",COLUMN(PLCTTHDMGUTCKHGT_06614!A38),",0",",0")</f>
        <v>610962,38|1,0,0</v>
      </c>
      <c r="B38" t="str">
        <f>CONCATENATE(611049,",",ROW(PLCTTHDMGUTCKHGT_06614!B38),"|",COLUMN(PLCTTHDMGUTCKHGT_06614!B38),",0",",0")</f>
        <v>611049,38|2,0,0</v>
      </c>
      <c r="C38" t="str">
        <f>CONCATENATE(611072,",",ROW(PLCTTHDMGUTCKHGT_06614!C38),"|",COLUMN(PLCTTHDMGUTCKHGT_06614!C38),",0",",0")</f>
        <v>611072,38|3,0,0</v>
      </c>
      <c r="D38" t="str">
        <f>CONCATENATE(611027,",",ROW(PLCTTHDMGUTCKHGT_06614!D38),"|",COLUMN(PLCTTHDMGUTCKHGT_06614!D38),",0",",0")</f>
        <v>611027,38|4,0,0</v>
      </c>
      <c r="E38" t="str">
        <f>CONCATENATE(611087,",",ROW(PLCTTHDMGUTCKHGT_06614!E38),"|",COLUMN(PLCTTHDMGUTCKHGT_06614!E38),",0",",0")</f>
        <v>611087,38|5,0,0</v>
      </c>
    </row>
    <row r="39" spans="1:5" x14ac:dyDescent="0.25">
      <c r="A39" t="str">
        <f>CONCATENATE(611057,",",ROW(PLCTTHDMGUTCKHGT_06614!A39),"|",COLUMN(PLCTTHDMGUTCKHGT_06614!A39),",0",",0")</f>
        <v>611057,39|1,0,0</v>
      </c>
      <c r="B39" t="str">
        <f>CONCATENATE(611064,",",ROW(PLCTTHDMGUTCKHGT_06614!B39),"|",COLUMN(PLCTTHDMGUTCKHGT_06614!B39),",0",",0")</f>
        <v>611064,39|2,0,0</v>
      </c>
      <c r="C39" t="str">
        <f>CONCATENATE(611073,",",ROW(PLCTTHDMGUTCKHGT_06614!C39),"|",COLUMN(PLCTTHDMGUTCKHGT_06614!C39),",0",",0")</f>
        <v>611073,39|3,0,0</v>
      </c>
      <c r="D39" t="str">
        <f>CONCATENATE(611028,",",ROW(PLCTTHDMGUTCKHGT_06614!D39),"|",COLUMN(PLCTTHDMGUTCKHGT_06614!D39),",0",",0")</f>
        <v>611028,39|4,0,0</v>
      </c>
      <c r="E39" t="str">
        <f>CONCATENATE(611088,",",ROW(PLCTTHDMGUTCKHGT_06614!E39),"|",COLUMN(PLCTTHDMGUTCKHGT_06614!E39),",0",",0")</f>
        <v>611088,39|5,0,0</v>
      </c>
    </row>
    <row r="40" spans="1:5" x14ac:dyDescent="0.25">
      <c r="A40" t="str">
        <f>CONCATENATE(611058,",",ROW(PLCTTHDMGUTCKHGT_06614!A40),"|",COLUMN(PLCTTHDMGUTCKHGT_06614!A40),",0",",0")</f>
        <v>611058,40|1,0,0</v>
      </c>
      <c r="B40" t="str">
        <f>CONCATENATE(611043,",",ROW(PLCTTHDMGUTCKHGT_06614!B40),"|",COLUMN(PLCTTHDMGUTCKHGT_06614!B40),",0",",0")</f>
        <v>611043,40|2,0,0</v>
      </c>
      <c r="C40" t="str">
        <f>CONCATENATE(611074,",",ROW(PLCTTHDMGUTCKHGT_06614!C40),"|",COLUMN(PLCTTHDMGUTCKHGT_06614!C40),",0",",0")</f>
        <v>611074,40|3,0,0</v>
      </c>
      <c r="D40" t="str">
        <f>CONCATENATE(611029,",",ROW(PLCTTHDMGUTCKHGT_06614!D40),"|",COLUMN(PLCTTHDMGUTCKHGT_06614!D40),",0",",0")</f>
        <v>611029,40|4,0,0</v>
      </c>
      <c r="E40" t="str">
        <f>CONCATENATE(611089,",",ROW(PLCTTHDMGUTCKHGT_06614!E40),"|",COLUMN(PLCTTHDMGUTCKHGT_06614!E40),",0",",0")</f>
        <v>611089,40|5,0,0</v>
      </c>
    </row>
  </sheetData>
  <sheetProtection password="CB7D" sheet="1" objects="1" scenarios="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abSelected="1" topLeftCell="A16" workbookViewId="0">
      <selection activeCell="C8" sqref="C8:J29"/>
    </sheetView>
  </sheetViews>
  <sheetFormatPr defaultRowHeight="15" x14ac:dyDescent="0.25"/>
  <cols>
    <col min="1" max="1" width="31.28515625" bestFit="1" customWidth="1"/>
    <col min="2" max="2" width="16.7109375" bestFit="1" customWidth="1"/>
    <col min="3" max="4" width="9.7109375" bestFit="1" customWidth="1"/>
    <col min="5" max="5" width="7.5703125" bestFit="1" customWidth="1"/>
    <col min="6" max="6" width="8" bestFit="1" customWidth="1"/>
    <col min="7" max="7" width="7.5703125" bestFit="1" customWidth="1"/>
    <col min="8" max="8" width="8" bestFit="1" customWidth="1"/>
    <col min="9" max="10" width="9.85546875" bestFit="1" customWidth="1"/>
    <col min="11" max="11" width="14.85546875" bestFit="1" customWidth="1"/>
  </cols>
  <sheetData>
    <row r="1" spans="1:11" ht="20.25" x14ac:dyDescent="0.3">
      <c r="A1" s="2541" t="s">
        <v>24</v>
      </c>
      <c r="B1" s="2541" t="s">
        <v>5</v>
      </c>
      <c r="C1" s="2541" t="s">
        <v>5</v>
      </c>
      <c r="D1" s="2541" t="s">
        <v>5</v>
      </c>
      <c r="E1" s="2541" t="s">
        <v>5</v>
      </c>
      <c r="F1" s="2541" t="s">
        <v>5</v>
      </c>
      <c r="G1" s="2541" t="s">
        <v>5</v>
      </c>
      <c r="H1" s="2541" t="s">
        <v>5</v>
      </c>
      <c r="I1" s="2541" t="s">
        <v>5</v>
      </c>
      <c r="J1" s="2541" t="s">
        <v>5</v>
      </c>
      <c r="K1" s="2541" t="s">
        <v>5</v>
      </c>
    </row>
    <row r="2" spans="1:11" ht="18.75" x14ac:dyDescent="0.3">
      <c r="A2" s="2542" t="s">
        <v>732</v>
      </c>
      <c r="B2" s="2543" t="s">
        <v>5</v>
      </c>
      <c r="C2" s="2543" t="s">
        <v>5</v>
      </c>
      <c r="D2" s="2543" t="s">
        <v>5</v>
      </c>
      <c r="E2" s="2543" t="s">
        <v>5</v>
      </c>
      <c r="F2" s="2543" t="s">
        <v>5</v>
      </c>
      <c r="G2" s="2543" t="s">
        <v>5</v>
      </c>
      <c r="H2" s="2543" t="s">
        <v>5</v>
      </c>
      <c r="I2" s="2543" t="s">
        <v>5</v>
      </c>
      <c r="J2" s="2543" t="s">
        <v>5</v>
      </c>
      <c r="K2" s="2543" t="s">
        <v>5</v>
      </c>
    </row>
    <row r="3" spans="1:11" ht="18.75" x14ac:dyDescent="0.3">
      <c r="A3" s="2542" t="s">
        <v>517</v>
      </c>
      <c r="B3" s="2543" t="s">
        <v>5</v>
      </c>
      <c r="C3" s="2543" t="s">
        <v>5</v>
      </c>
      <c r="D3" s="2543" t="s">
        <v>5</v>
      </c>
      <c r="E3" s="2543" t="s">
        <v>5</v>
      </c>
      <c r="F3" s="2543" t="s">
        <v>5</v>
      </c>
      <c r="G3" s="2543" t="s">
        <v>5</v>
      </c>
      <c r="H3" s="2543" t="s">
        <v>5</v>
      </c>
      <c r="I3" s="2543" t="s">
        <v>5</v>
      </c>
      <c r="J3" s="2543" t="s">
        <v>5</v>
      </c>
      <c r="K3" s="2543" t="s">
        <v>5</v>
      </c>
    </row>
    <row r="4" spans="1:11" x14ac:dyDescent="0.25">
      <c r="A4" s="2539" t="s">
        <v>397</v>
      </c>
      <c r="B4" s="2539" t="s">
        <v>42</v>
      </c>
      <c r="C4" s="2539" t="s">
        <v>728</v>
      </c>
      <c r="D4" s="2540" t="s">
        <v>5</v>
      </c>
      <c r="E4" s="2539" t="s">
        <v>730</v>
      </c>
      <c r="F4" s="2540" t="s">
        <v>5</v>
      </c>
      <c r="G4" s="2540" t="s">
        <v>5</v>
      </c>
      <c r="H4" s="2540" t="s">
        <v>5</v>
      </c>
      <c r="I4" s="2539" t="s">
        <v>729</v>
      </c>
      <c r="J4" s="2540" t="s">
        <v>5</v>
      </c>
      <c r="K4" s="2539" t="s">
        <v>731</v>
      </c>
    </row>
    <row r="5" spans="1:11" x14ac:dyDescent="0.25">
      <c r="A5" s="2540" t="s">
        <v>5</v>
      </c>
      <c r="B5" s="2540" t="s">
        <v>5</v>
      </c>
      <c r="C5" s="2539" t="s">
        <v>727</v>
      </c>
      <c r="D5" s="2539" t="s">
        <v>726</v>
      </c>
      <c r="E5" s="2539" t="s">
        <v>727</v>
      </c>
      <c r="F5" s="2540" t="s">
        <v>5</v>
      </c>
      <c r="G5" s="2539" t="s">
        <v>726</v>
      </c>
      <c r="H5" s="2540" t="s">
        <v>5</v>
      </c>
      <c r="I5" s="2539" t="s">
        <v>727</v>
      </c>
      <c r="J5" s="2539" t="s">
        <v>726</v>
      </c>
      <c r="K5" s="2540" t="s">
        <v>5</v>
      </c>
    </row>
    <row r="6" spans="1:11" ht="18.75" x14ac:dyDescent="0.25">
      <c r="A6" s="2540" t="s">
        <v>5</v>
      </c>
      <c r="B6" s="2540" t="s">
        <v>5</v>
      </c>
      <c r="C6" s="2540" t="s">
        <v>5</v>
      </c>
      <c r="D6" s="2540" t="s">
        <v>5</v>
      </c>
      <c r="E6" s="2266" t="s">
        <v>724</v>
      </c>
      <c r="F6" s="2266" t="s">
        <v>725</v>
      </c>
      <c r="G6" s="2266" t="s">
        <v>724</v>
      </c>
      <c r="H6" s="2266" t="s">
        <v>725</v>
      </c>
      <c r="I6" s="2540" t="s">
        <v>5</v>
      </c>
      <c r="J6" s="2540" t="s">
        <v>5</v>
      </c>
      <c r="K6" s="2540" t="s">
        <v>5</v>
      </c>
    </row>
    <row r="7" spans="1:11" ht="33" x14ac:dyDescent="0.25">
      <c r="A7" s="2426" t="s">
        <v>772</v>
      </c>
      <c r="B7" s="2510"/>
      <c r="C7" s="2514" t="s">
        <v>5</v>
      </c>
      <c r="D7" s="2328" t="s">
        <v>5</v>
      </c>
      <c r="E7" s="2479" t="s">
        <v>5</v>
      </c>
      <c r="F7" s="2366" t="s">
        <v>5</v>
      </c>
      <c r="G7" s="2518" t="s">
        <v>5</v>
      </c>
      <c r="H7" s="2503" t="s">
        <v>5</v>
      </c>
      <c r="I7" s="2441" t="s">
        <v>5</v>
      </c>
      <c r="J7" s="2390" t="s">
        <v>5</v>
      </c>
      <c r="K7" s="2321" t="s">
        <v>746</v>
      </c>
    </row>
    <row r="8" spans="1:11" ht="33" x14ac:dyDescent="0.25">
      <c r="A8" s="2421" t="s">
        <v>767</v>
      </c>
      <c r="B8" s="2511"/>
      <c r="C8" s="2301">
        <v>1500924317200</v>
      </c>
      <c r="D8" s="2330">
        <v>2000924317200</v>
      </c>
      <c r="E8" s="2480">
        <v>500000000000</v>
      </c>
      <c r="F8" s="2367">
        <v>0</v>
      </c>
      <c r="G8" s="2519">
        <v>0</v>
      </c>
      <c r="H8" s="2504">
        <v>0</v>
      </c>
      <c r="I8" s="2442">
        <v>2000924317200</v>
      </c>
      <c r="J8" s="2391">
        <v>2000924317200</v>
      </c>
      <c r="K8" s="2276" t="s">
        <v>733</v>
      </c>
    </row>
    <row r="9" spans="1:11" ht="49.5" x14ac:dyDescent="0.25">
      <c r="A9" s="2305" t="s">
        <v>745</v>
      </c>
      <c r="B9" s="2512"/>
      <c r="C9" s="2325">
        <v>1500000000000</v>
      </c>
      <c r="D9" s="2427">
        <v>2000000000000</v>
      </c>
      <c r="E9" s="2481">
        <v>500000000000</v>
      </c>
      <c r="F9" s="2368">
        <v>0</v>
      </c>
      <c r="G9" s="2291">
        <v>0</v>
      </c>
      <c r="H9" s="2505">
        <v>0</v>
      </c>
      <c r="I9" s="2443">
        <v>2000000000000</v>
      </c>
      <c r="J9" s="2493">
        <v>2000000000000</v>
      </c>
      <c r="K9" s="2277" t="s">
        <v>734</v>
      </c>
    </row>
    <row r="10" spans="1:11" ht="33" x14ac:dyDescent="0.25">
      <c r="A10" s="2422" t="s">
        <v>768</v>
      </c>
      <c r="B10" s="2513"/>
      <c r="C10" s="2326" t="s">
        <v>5</v>
      </c>
      <c r="D10" s="2329" t="s">
        <v>5</v>
      </c>
      <c r="E10" s="2482" t="s">
        <v>5</v>
      </c>
      <c r="F10" s="2369" t="s">
        <v>5</v>
      </c>
      <c r="G10" s="2292" t="s">
        <v>5</v>
      </c>
      <c r="H10" s="2506" t="s">
        <v>5</v>
      </c>
      <c r="I10" s="2444" t="s">
        <v>5</v>
      </c>
      <c r="J10" s="2392" t="s">
        <v>5</v>
      </c>
      <c r="K10" s="2278" t="s">
        <v>735</v>
      </c>
    </row>
    <row r="11" spans="1:11" ht="33" x14ac:dyDescent="0.25">
      <c r="A11" s="2490" t="s">
        <v>776</v>
      </c>
      <c r="B11" s="2435"/>
      <c r="C11" s="2327" t="s">
        <v>5</v>
      </c>
      <c r="D11" s="2331" t="s">
        <v>5</v>
      </c>
      <c r="E11" s="2483" t="s">
        <v>5</v>
      </c>
      <c r="F11" s="2374" t="s">
        <v>5</v>
      </c>
      <c r="G11" s="2293" t="s">
        <v>5</v>
      </c>
      <c r="H11" s="2507" t="s">
        <v>5</v>
      </c>
      <c r="I11" s="2445" t="s">
        <v>5</v>
      </c>
      <c r="J11" s="2393" t="s">
        <v>5</v>
      </c>
      <c r="K11" s="2413" t="s">
        <v>760</v>
      </c>
    </row>
    <row r="12" spans="1:11" ht="49.5" x14ac:dyDescent="0.25">
      <c r="A12" s="2491" t="s">
        <v>777</v>
      </c>
      <c r="B12" s="2336"/>
      <c r="C12" s="2345" t="s">
        <v>5</v>
      </c>
      <c r="D12" s="2332" t="s">
        <v>5</v>
      </c>
      <c r="E12" s="2484" t="s">
        <v>5</v>
      </c>
      <c r="F12" s="2375" t="s">
        <v>5</v>
      </c>
      <c r="G12" s="2294" t="s">
        <v>5</v>
      </c>
      <c r="H12" s="2508" t="s">
        <v>5</v>
      </c>
      <c r="I12" s="2446" t="s">
        <v>5</v>
      </c>
      <c r="J12" s="2394" t="s">
        <v>5</v>
      </c>
      <c r="K12" s="2414" t="s">
        <v>761</v>
      </c>
    </row>
    <row r="13" spans="1:11" ht="33" x14ac:dyDescent="0.25">
      <c r="A13" s="2381" t="s">
        <v>755</v>
      </c>
      <c r="B13" s="2337"/>
      <c r="C13" s="2346">
        <v>924317200</v>
      </c>
      <c r="D13" s="2333">
        <v>924317200</v>
      </c>
      <c r="E13" s="2370" t="s">
        <v>5</v>
      </c>
      <c r="F13" s="2376" t="s">
        <v>5</v>
      </c>
      <c r="G13" s="2295" t="s">
        <v>5</v>
      </c>
      <c r="H13" s="2509">
        <v>0</v>
      </c>
      <c r="I13" s="2447">
        <v>924317200</v>
      </c>
      <c r="J13" s="2395">
        <v>924317200</v>
      </c>
      <c r="K13" s="2322" t="s">
        <v>747</v>
      </c>
    </row>
    <row r="14" spans="1:11" ht="33" x14ac:dyDescent="0.25">
      <c r="A14" s="2423" t="s">
        <v>769</v>
      </c>
      <c r="B14" s="2338"/>
      <c r="C14" s="2347">
        <v>0</v>
      </c>
      <c r="D14" s="2334">
        <v>0</v>
      </c>
      <c r="E14" s="2371" t="s">
        <v>5</v>
      </c>
      <c r="F14" s="2379" t="s">
        <v>5</v>
      </c>
      <c r="G14" s="2296" t="s">
        <v>5</v>
      </c>
      <c r="H14" s="2397" t="s">
        <v>5</v>
      </c>
      <c r="I14" s="2448">
        <v>0</v>
      </c>
      <c r="J14" s="2396">
        <v>0</v>
      </c>
      <c r="K14" s="2415" t="s">
        <v>762</v>
      </c>
    </row>
    <row r="15" spans="1:11" ht="49.5" x14ac:dyDescent="0.25">
      <c r="A15" s="2377" t="s">
        <v>754</v>
      </c>
      <c r="B15" s="2351"/>
      <c r="C15" s="2348">
        <v>15743756591</v>
      </c>
      <c r="D15" s="2335">
        <v>22616594760</v>
      </c>
      <c r="E15" s="2372">
        <v>6872838169</v>
      </c>
      <c r="F15" s="2380" t="s">
        <v>5</v>
      </c>
      <c r="G15" s="2486">
        <v>0</v>
      </c>
      <c r="H15" s="2398">
        <v>0</v>
      </c>
      <c r="I15" s="2449">
        <v>22616594760</v>
      </c>
      <c r="J15" s="2485">
        <v>22616594760</v>
      </c>
      <c r="K15" s="2323" t="s">
        <v>748</v>
      </c>
    </row>
    <row r="16" spans="1:11" ht="49.5" x14ac:dyDescent="0.25">
      <c r="A16" s="2300" t="s">
        <v>741</v>
      </c>
      <c r="B16" s="2352"/>
      <c r="C16" s="2349">
        <v>14839550244</v>
      </c>
      <c r="D16" s="2465">
        <v>21712388413</v>
      </c>
      <c r="E16" s="2339">
        <v>6872838169</v>
      </c>
      <c r="F16" s="2298" t="s">
        <v>5</v>
      </c>
      <c r="G16" s="2297">
        <v>0</v>
      </c>
      <c r="H16" s="2399">
        <v>0</v>
      </c>
      <c r="I16" s="2451">
        <v>21712388413</v>
      </c>
      <c r="J16" s="2307">
        <v>21712388413</v>
      </c>
      <c r="K16" s="2324" t="s">
        <v>749</v>
      </c>
    </row>
    <row r="17" spans="1:11" ht="49.5" x14ac:dyDescent="0.25">
      <c r="A17" s="2382" t="s">
        <v>756</v>
      </c>
      <c r="B17" s="2353"/>
      <c r="C17" s="2350" t="s">
        <v>5</v>
      </c>
      <c r="D17" s="2466" t="s">
        <v>5</v>
      </c>
      <c r="E17" s="2340" t="s">
        <v>5</v>
      </c>
      <c r="F17" s="2428" t="s">
        <v>5</v>
      </c>
      <c r="G17" s="2299" t="s">
        <v>5</v>
      </c>
      <c r="H17" s="2400" t="s">
        <v>5</v>
      </c>
      <c r="I17" s="2452" t="s">
        <v>5</v>
      </c>
      <c r="J17" s="2308" t="s">
        <v>5</v>
      </c>
      <c r="K17" s="2341" t="s">
        <v>750</v>
      </c>
    </row>
    <row r="18" spans="1:11" ht="33" x14ac:dyDescent="0.25">
      <c r="A18" s="2424" t="s">
        <v>770</v>
      </c>
      <c r="B18" s="2354"/>
      <c r="C18" s="2373" t="s">
        <v>5</v>
      </c>
      <c r="D18" s="2467" t="s">
        <v>5</v>
      </c>
      <c r="E18" s="2461" t="s">
        <v>5</v>
      </c>
      <c r="F18" s="2429" t="s">
        <v>5</v>
      </c>
      <c r="G18" s="2306" t="s">
        <v>5</v>
      </c>
      <c r="H18" s="2401" t="s">
        <v>5</v>
      </c>
      <c r="I18" s="2453" t="s">
        <v>5</v>
      </c>
      <c r="J18" s="2309" t="s">
        <v>5</v>
      </c>
      <c r="K18" s="2342" t="s">
        <v>751</v>
      </c>
    </row>
    <row r="19" spans="1:11" ht="49.5" x14ac:dyDescent="0.25">
      <c r="A19" s="2304" t="s">
        <v>744</v>
      </c>
      <c r="B19" s="2355"/>
      <c r="C19" s="2460" t="s">
        <v>5</v>
      </c>
      <c r="D19" s="2468" t="s">
        <v>5</v>
      </c>
      <c r="E19" s="2463" t="s">
        <v>5</v>
      </c>
      <c r="F19" s="2430" t="s">
        <v>5</v>
      </c>
      <c r="G19" s="2378" t="s">
        <v>5</v>
      </c>
      <c r="H19" s="2402" t="s">
        <v>5</v>
      </c>
      <c r="I19" s="2454" t="s">
        <v>5</v>
      </c>
      <c r="J19" s="2310" t="s">
        <v>5</v>
      </c>
      <c r="K19" s="2416" t="s">
        <v>763</v>
      </c>
    </row>
    <row r="20" spans="1:11" ht="33" x14ac:dyDescent="0.25">
      <c r="A20" s="2383" t="s">
        <v>757</v>
      </c>
      <c r="B20" s="2356"/>
      <c r="C20" s="2279">
        <v>83410547154</v>
      </c>
      <c r="D20" s="2469">
        <v>207177808724</v>
      </c>
      <c r="E20" s="2464">
        <v>137512937908</v>
      </c>
      <c r="F20" s="2431">
        <v>-13745676338</v>
      </c>
      <c r="G20" s="2492">
        <v>127538059104</v>
      </c>
      <c r="H20" s="2403">
        <v>-58692844</v>
      </c>
      <c r="I20" s="2455">
        <v>207177808724</v>
      </c>
      <c r="J20" s="2311">
        <v>334657174984</v>
      </c>
      <c r="K20" s="2417" t="s">
        <v>764</v>
      </c>
    </row>
    <row r="21" spans="1:11" ht="49.5" x14ac:dyDescent="0.25">
      <c r="A21" s="2389" t="s">
        <v>759</v>
      </c>
      <c r="B21" s="2357"/>
      <c r="C21" s="2280">
        <v>82994317479</v>
      </c>
      <c r="D21" s="2470">
        <v>206705404524</v>
      </c>
      <c r="E21" s="2267">
        <v>137456763383</v>
      </c>
      <c r="F21" s="2432">
        <v>-13745676338</v>
      </c>
      <c r="G21" s="2494">
        <v>127538059104</v>
      </c>
      <c r="H21" s="2404">
        <v>0</v>
      </c>
      <c r="I21" s="2456">
        <v>206705404524</v>
      </c>
      <c r="J21" s="2312">
        <v>334243463628</v>
      </c>
      <c r="K21" s="2286" t="s">
        <v>736</v>
      </c>
    </row>
    <row r="22" spans="1:11" ht="33" x14ac:dyDescent="0.25">
      <c r="A22" s="2384" t="s">
        <v>758</v>
      </c>
      <c r="B22" s="2358"/>
      <c r="C22" s="2281">
        <v>416229675</v>
      </c>
      <c r="D22" s="2471">
        <v>472404200</v>
      </c>
      <c r="E22" s="2268">
        <v>56174525</v>
      </c>
      <c r="F22" s="2433">
        <v>0</v>
      </c>
      <c r="G22" s="2495">
        <v>0</v>
      </c>
      <c r="H22" s="2405">
        <v>-58692844</v>
      </c>
      <c r="I22" s="2457">
        <v>472404200</v>
      </c>
      <c r="J22" s="2313">
        <v>413711356</v>
      </c>
      <c r="K22" s="2419" t="s">
        <v>765</v>
      </c>
    </row>
    <row r="23" spans="1:11" ht="33" x14ac:dyDescent="0.25">
      <c r="A23" s="2425" t="s">
        <v>771</v>
      </c>
      <c r="B23" s="2359"/>
      <c r="C23" s="2282">
        <v>1614918171189</v>
      </c>
      <c r="D23" s="2472">
        <v>2252431109097</v>
      </c>
      <c r="E23" s="2269">
        <v>651258614246</v>
      </c>
      <c r="F23" s="2434">
        <v>-13745676338</v>
      </c>
      <c r="G23" s="2496">
        <v>127538059104</v>
      </c>
      <c r="H23" s="2406">
        <v>-58692844</v>
      </c>
      <c r="I23" s="2458">
        <v>2252431109097</v>
      </c>
      <c r="J23" s="2314">
        <v>2379910475357</v>
      </c>
      <c r="K23" s="2287" t="s">
        <v>737</v>
      </c>
    </row>
    <row r="24" spans="1:11" ht="33" x14ac:dyDescent="0.25">
      <c r="A24" s="2302" t="s">
        <v>742</v>
      </c>
      <c r="B24" s="2360"/>
      <c r="C24" s="2283" t="s">
        <v>5</v>
      </c>
      <c r="D24" s="2473" t="s">
        <v>5</v>
      </c>
      <c r="E24" s="2270" t="s">
        <v>5</v>
      </c>
      <c r="F24" s="2462" t="s">
        <v>5</v>
      </c>
      <c r="G24" s="2497" t="s">
        <v>5</v>
      </c>
      <c r="H24" s="2407" t="s">
        <v>5</v>
      </c>
      <c r="I24" s="2459" t="s">
        <v>5</v>
      </c>
      <c r="J24" s="2315" t="s">
        <v>5</v>
      </c>
      <c r="K24" s="2343" t="s">
        <v>752</v>
      </c>
    </row>
    <row r="25" spans="1:11" ht="49.5" x14ac:dyDescent="0.25">
      <c r="A25" s="2303" t="s">
        <v>743</v>
      </c>
      <c r="B25" s="2361"/>
      <c r="C25" s="2284" t="s">
        <v>5</v>
      </c>
      <c r="D25" s="2474" t="s">
        <v>5</v>
      </c>
      <c r="E25" s="2271" t="s">
        <v>5</v>
      </c>
      <c r="F25" s="2436" t="s">
        <v>5</v>
      </c>
      <c r="G25" s="2498" t="s">
        <v>5</v>
      </c>
      <c r="H25" s="2408" t="s">
        <v>5</v>
      </c>
      <c r="I25" s="2385" t="s">
        <v>5</v>
      </c>
      <c r="J25" s="2316" t="s">
        <v>5</v>
      </c>
      <c r="K25" s="2288" t="s">
        <v>738</v>
      </c>
    </row>
    <row r="26" spans="1:11" ht="49.5" x14ac:dyDescent="0.25">
      <c r="A26" s="2487" t="s">
        <v>774</v>
      </c>
      <c r="B26" s="2362"/>
      <c r="C26" s="2285" t="s">
        <v>5</v>
      </c>
      <c r="D26" s="2475" t="s">
        <v>5</v>
      </c>
      <c r="E26" s="2272" t="s">
        <v>5</v>
      </c>
      <c r="F26" s="2437" t="s">
        <v>5</v>
      </c>
      <c r="G26" s="2499" t="s">
        <v>5</v>
      </c>
      <c r="H26" s="2409" t="s">
        <v>5</v>
      </c>
      <c r="I26" s="2386" t="s">
        <v>5</v>
      </c>
      <c r="J26" s="2317" t="s">
        <v>5</v>
      </c>
      <c r="K26" s="2420" t="s">
        <v>766</v>
      </c>
    </row>
    <row r="27" spans="1:11" ht="49.5" x14ac:dyDescent="0.25">
      <c r="A27" s="2488" t="s">
        <v>775</v>
      </c>
      <c r="B27" s="2363"/>
      <c r="C27" s="2515" t="s">
        <v>5</v>
      </c>
      <c r="D27" s="2476" t="s">
        <v>5</v>
      </c>
      <c r="E27" s="2273" t="s">
        <v>5</v>
      </c>
      <c r="F27" s="2438" t="s">
        <v>5</v>
      </c>
      <c r="G27" s="2500" t="s">
        <v>5</v>
      </c>
      <c r="H27" s="2410" t="s">
        <v>5</v>
      </c>
      <c r="I27" s="2387" t="s">
        <v>5</v>
      </c>
      <c r="J27" s="2318" t="s">
        <v>5</v>
      </c>
      <c r="K27" s="2289" t="s">
        <v>739</v>
      </c>
    </row>
    <row r="28" spans="1:11" ht="33" x14ac:dyDescent="0.25">
      <c r="A28" s="2450" t="s">
        <v>773</v>
      </c>
      <c r="B28" s="2364"/>
      <c r="C28" s="2516" t="s">
        <v>5</v>
      </c>
      <c r="D28" s="2477" t="s">
        <v>5</v>
      </c>
      <c r="E28" s="2274" t="s">
        <v>5</v>
      </c>
      <c r="F28" s="2439" t="s">
        <v>5</v>
      </c>
      <c r="G28" s="2501" t="s">
        <v>5</v>
      </c>
      <c r="H28" s="2411" t="s">
        <v>5</v>
      </c>
      <c r="I28" s="2388" t="s">
        <v>5</v>
      </c>
      <c r="J28" s="2319" t="s">
        <v>5</v>
      </c>
      <c r="K28" s="2344" t="s">
        <v>753</v>
      </c>
    </row>
    <row r="29" spans="1:11" ht="33" x14ac:dyDescent="0.25">
      <c r="A29" s="2489" t="s">
        <v>771</v>
      </c>
      <c r="B29" s="2365"/>
      <c r="C29" s="2517" t="s">
        <v>5</v>
      </c>
      <c r="D29" s="2478" t="s">
        <v>5</v>
      </c>
      <c r="E29" s="2275" t="s">
        <v>5</v>
      </c>
      <c r="F29" s="2440" t="s">
        <v>5</v>
      </c>
      <c r="G29" s="2502" t="s">
        <v>5</v>
      </c>
      <c r="H29" s="2412" t="s">
        <v>5</v>
      </c>
      <c r="I29" s="2418" t="s">
        <v>5</v>
      </c>
      <c r="J29" s="2320" t="s">
        <v>5</v>
      </c>
      <c r="K29" s="2290" t="s">
        <v>740</v>
      </c>
    </row>
  </sheetData>
  <mergeCells count="15">
    <mergeCell ref="K4:K6"/>
    <mergeCell ref="A1:K1"/>
    <mergeCell ref="A2:K2"/>
    <mergeCell ref="A3:K3"/>
    <mergeCell ref="C4:D4"/>
    <mergeCell ref="B4:B6"/>
    <mergeCell ref="A4:A6"/>
    <mergeCell ref="I4:J4"/>
    <mergeCell ref="E4:H4"/>
    <mergeCell ref="D5:D6"/>
    <mergeCell ref="E5:F5"/>
    <mergeCell ref="C5:C6"/>
    <mergeCell ref="J5:J6"/>
    <mergeCell ref="I5:I6"/>
    <mergeCell ref="G5:H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cols>
    <col min="1" max="1" width="6.42578125" bestFit="1" customWidth="1"/>
  </cols>
  <sheetData>
    <row r="1" spans="1:1" ht="16.5" x14ac:dyDescent="0.25">
      <c r="A1" s="12">
        <v>3486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K29"/>
  <sheetViews>
    <sheetView workbookViewId="0"/>
  </sheetViews>
  <sheetFormatPr defaultRowHeight="15" x14ac:dyDescent="0.25"/>
  <cols>
    <col min="1" max="1" width="1" style="2520" bestFit="1" customWidth="1"/>
    <col min="2" max="11" width="1" bestFit="1" customWidth="1"/>
  </cols>
  <sheetData>
    <row r="7" spans="1:11" x14ac:dyDescent="0.25">
      <c r="A7" t="str">
        <f>CONCATENATE(611712,",",ROW(BCTHBDVCSH_06615!A7),"|",COLUMN(BCTHBDVCSH_06615!A7),",0",",0")</f>
        <v>611712,7|1,0,0</v>
      </c>
      <c r="B7" t="str">
        <f>CONCATENATE(611796,",",ROW(BCTHBDVCSH_06615!B7),"|",COLUMN(BCTHBDVCSH_06615!B7),",0",",0")</f>
        <v>611796,7|2,0,0</v>
      </c>
      <c r="C7" t="str">
        <f>CONCATENATE(611800,",",ROW(BCTHBDVCSH_06615!C7),"|",COLUMN(BCTHBDVCSH_06615!C7),",0",",0")</f>
        <v>611800,7|3,0,0</v>
      </c>
      <c r="D7" t="str">
        <f>CONCATENATE(611614,",",ROW(BCTHBDVCSH_06615!D7),"|",COLUMN(BCTHBDVCSH_06615!D7),",0",",0")</f>
        <v>611614,7|4,0,0</v>
      </c>
      <c r="E7" t="str">
        <f>CONCATENATE(611765,",",ROW(BCTHBDVCSH_06615!E7),"|",COLUMN(BCTHBDVCSH_06615!E7),",0",",0")</f>
        <v>611765,7|5,0,0</v>
      </c>
      <c r="F7" t="str">
        <f>CONCATENATE(611652,",",ROW(BCTHBDVCSH_06615!F7),"|",COLUMN(BCTHBDVCSH_06615!F7),",0",",0")</f>
        <v>611652,7|6,0,0</v>
      </c>
      <c r="G7" t="str">
        <f>CONCATENATE(611804,",",ROW(BCTHBDVCSH_06615!G7),"|",COLUMN(BCTHBDVCSH_06615!G7),",0",",0")</f>
        <v>611804,7|7,0,0</v>
      </c>
      <c r="H7" t="str">
        <f>CONCATENATE(611789,",",ROW(BCTHBDVCSH_06615!H7),"|",COLUMN(BCTHBDVCSH_06615!H7),",0",",0")</f>
        <v>611789,7|8,0,0</v>
      </c>
      <c r="I7" t="str">
        <f>CONCATENATE(611727,",",ROW(BCTHBDVCSH_06615!I7),"|",COLUMN(BCTHBDVCSH_06615!I7),",0",",0")</f>
        <v>611727,7|9,0,0</v>
      </c>
      <c r="J7" t="str">
        <f>CONCATENATE(611676,",",ROW(BCTHBDVCSH_06615!J7),"|",COLUMN(BCTHBDVCSH_06615!J7),",0",",0")</f>
        <v>611676,7|10,0,0</v>
      </c>
      <c r="K7" t="str">
        <f>CONCATENATE(611607,",",ROW(BCTHBDVCSH_06615!K7),"|",COLUMN(BCTHBDVCSH_06615!K7),",0",",0")</f>
        <v>611607,7|11,0,0</v>
      </c>
    </row>
    <row r="8" spans="1:11" x14ac:dyDescent="0.25">
      <c r="A8" t="str">
        <f>CONCATENATE(611707,",",ROW(BCTHBDVCSH_06615!A8),"|",COLUMN(BCTHBDVCSH_06615!A8),",0",",0")</f>
        <v>611707,8|1,0,0</v>
      </c>
      <c r="B8" t="str">
        <f>CONCATENATE(611797,",",ROW(BCTHBDVCSH_06615!B8),"|",COLUMN(BCTHBDVCSH_06615!B8),",0",",0")</f>
        <v>611797,8|2,0,0</v>
      </c>
      <c r="C8" t="str">
        <f>CONCATENATE(611587,",",ROW(BCTHBDVCSH_06615!C8),"|",COLUMN(BCTHBDVCSH_06615!C8),",0",",0")</f>
        <v>611587,8|3,0,0</v>
      </c>
      <c r="D8" t="str">
        <f>CONCATENATE(611616,",",ROW(BCTHBDVCSH_06615!D8),"|",COLUMN(BCTHBDVCSH_06615!D8),",0",",0")</f>
        <v>611616,8|4,0,0</v>
      </c>
      <c r="E8" t="str">
        <f>CONCATENATE(611766,",",ROW(BCTHBDVCSH_06615!E8),"|",COLUMN(BCTHBDVCSH_06615!E8),",0",",0")</f>
        <v>611766,8|5,0,0</v>
      </c>
      <c r="F8" t="str">
        <f>CONCATENATE(611653,",",ROW(BCTHBDVCSH_06615!F8),"|",COLUMN(BCTHBDVCSH_06615!F8),",0",",0")</f>
        <v>611653,8|6,0,0</v>
      </c>
      <c r="G8" t="str">
        <f>CONCATENATE(611805,",",ROW(BCTHBDVCSH_06615!G8),"|",COLUMN(BCTHBDVCSH_06615!G8),",0",",0")</f>
        <v>611805,8|7,0,0</v>
      </c>
      <c r="H8" t="str">
        <f>CONCATENATE(611790,",",ROW(BCTHBDVCSH_06615!H8),"|",COLUMN(BCTHBDVCSH_06615!H8),",0",",0")</f>
        <v>611790,8|8,0,0</v>
      </c>
      <c r="I8" t="str">
        <f>CONCATENATE(611728,",",ROW(BCTHBDVCSH_06615!I8),"|",COLUMN(BCTHBDVCSH_06615!I8),",0",",0")</f>
        <v>611728,8|9,0,0</v>
      </c>
      <c r="J8" t="str">
        <f>CONCATENATE(611677,",",ROW(BCTHBDVCSH_06615!J8),"|",COLUMN(BCTHBDVCSH_06615!J8),",0",",0")</f>
        <v>611677,8|10,0,0</v>
      </c>
      <c r="K8" t="str">
        <f>CONCATENATE(611562,",",ROW(BCTHBDVCSH_06615!K8),"|",COLUMN(BCTHBDVCSH_06615!K8),",0",",0")</f>
        <v>611562,8|11,0,0</v>
      </c>
    </row>
    <row r="9" spans="1:11" x14ac:dyDescent="0.25">
      <c r="A9" t="str">
        <f>CONCATENATE(611591,",",ROW(BCTHBDVCSH_06615!A9),"|",COLUMN(BCTHBDVCSH_06615!A9),",0",",0")</f>
        <v>611591,9|1,0,0</v>
      </c>
      <c r="B9" t="str">
        <f>CONCATENATE(611798,",",ROW(BCTHBDVCSH_06615!B9),"|",COLUMN(BCTHBDVCSH_06615!B9),",0",",0")</f>
        <v>611798,9|2,0,0</v>
      </c>
      <c r="C9" t="str">
        <f>CONCATENATE(611611,",",ROW(BCTHBDVCSH_06615!C9),"|",COLUMN(BCTHBDVCSH_06615!C9),",0",",0")</f>
        <v>611611,9|3,0,0</v>
      </c>
      <c r="D9" t="str">
        <f>CONCATENATE(611713,",",ROW(BCTHBDVCSH_06615!D9),"|",COLUMN(BCTHBDVCSH_06615!D9),",0",",0")</f>
        <v>611713,9|4,0,0</v>
      </c>
      <c r="E9" t="str">
        <f>CONCATENATE(611767,",",ROW(BCTHBDVCSH_06615!E9),"|",COLUMN(BCTHBDVCSH_06615!E9),",0",",0")</f>
        <v>611767,9|5,0,0</v>
      </c>
      <c r="F9" t="str">
        <f>CONCATENATE(611654,",",ROW(BCTHBDVCSH_06615!F9),"|",COLUMN(BCTHBDVCSH_06615!F9),",0",",0")</f>
        <v>611654,9|6,0,0</v>
      </c>
      <c r="G9" t="str">
        <f>CONCATENATE(611577,",",ROW(BCTHBDVCSH_06615!G9),"|",COLUMN(BCTHBDVCSH_06615!G9),",0",",0")</f>
        <v>611577,9|7,0,0</v>
      </c>
      <c r="H9" t="str">
        <f>CONCATENATE(611791,",",ROW(BCTHBDVCSH_06615!H9),"|",COLUMN(BCTHBDVCSH_06615!H9),",0",",0")</f>
        <v>611791,9|8,0,0</v>
      </c>
      <c r="I9" t="str">
        <f>CONCATENATE(611729,",",ROW(BCTHBDVCSH_06615!I9),"|",COLUMN(BCTHBDVCSH_06615!I9),",0",",0")</f>
        <v>611729,9|9,0,0</v>
      </c>
      <c r="J9" t="str">
        <f>CONCATENATE(611779,",",ROW(BCTHBDVCSH_06615!J9),"|",COLUMN(BCTHBDVCSH_06615!J9),",0",",0")</f>
        <v>611779,9|10,0,0</v>
      </c>
      <c r="K9" t="str">
        <f>CONCATENATE(611563,",",ROW(BCTHBDVCSH_06615!K9),"|",COLUMN(BCTHBDVCSH_06615!K9),",0",",0")</f>
        <v>611563,9|11,0,0</v>
      </c>
    </row>
    <row r="10" spans="1:11" x14ac:dyDescent="0.25">
      <c r="A10" t="str">
        <f>CONCATENATE(611708,",",ROW(BCTHBDVCSH_06615!A10),"|",COLUMN(BCTHBDVCSH_06615!A10),",0",",0")</f>
        <v>611708,10|1,0,0</v>
      </c>
      <c r="B10" t="str">
        <f>CONCATENATE(611799,",",ROW(BCTHBDVCSH_06615!B10),"|",COLUMN(BCTHBDVCSH_06615!B10),",0",",0")</f>
        <v>611799,10|2,0,0</v>
      </c>
      <c r="C10" t="str">
        <f>CONCATENATE(611612,",",ROW(BCTHBDVCSH_06615!C10),"|",COLUMN(BCTHBDVCSH_06615!C10),",0",",0")</f>
        <v>611612,10|3,0,0</v>
      </c>
      <c r="D10" t="str">
        <f>CONCATENATE(611615,",",ROW(BCTHBDVCSH_06615!D10),"|",COLUMN(BCTHBDVCSH_06615!D10),",0",",0")</f>
        <v>611615,10|4,0,0</v>
      </c>
      <c r="E10" t="str">
        <f>CONCATENATE(611768,",",ROW(BCTHBDVCSH_06615!E10),"|",COLUMN(BCTHBDVCSH_06615!E10),",0",",0")</f>
        <v>611768,10|5,0,0</v>
      </c>
      <c r="F10" t="str">
        <f>CONCATENATE(611655,",",ROW(BCTHBDVCSH_06615!F10),"|",COLUMN(BCTHBDVCSH_06615!F10),",0",",0")</f>
        <v>611655,10|6,0,0</v>
      </c>
      <c r="G10" t="str">
        <f>CONCATENATE(611578,",",ROW(BCTHBDVCSH_06615!G10),"|",COLUMN(BCTHBDVCSH_06615!G10),",0",",0")</f>
        <v>611578,10|7,0,0</v>
      </c>
      <c r="H10" t="str">
        <f>CONCATENATE(611792,",",ROW(BCTHBDVCSH_06615!H10),"|",COLUMN(BCTHBDVCSH_06615!H10),",0",",0")</f>
        <v>611792,10|8,0,0</v>
      </c>
      <c r="I10" t="str">
        <f>CONCATENATE(611730,",",ROW(BCTHBDVCSH_06615!I10),"|",COLUMN(BCTHBDVCSH_06615!I10),",0",",0")</f>
        <v>611730,10|9,0,0</v>
      </c>
      <c r="J10" t="str">
        <f>CONCATENATE(611678,",",ROW(BCTHBDVCSH_06615!J10),"|",COLUMN(BCTHBDVCSH_06615!J10),",0",",0")</f>
        <v>611678,10|10,0,0</v>
      </c>
      <c r="K10" t="str">
        <f>CONCATENATE(611564,",",ROW(BCTHBDVCSH_06615!K10),"|",COLUMN(BCTHBDVCSH_06615!K10),",0",",0")</f>
        <v>611564,10|11,0,0</v>
      </c>
    </row>
    <row r="11" spans="1:11" x14ac:dyDescent="0.25">
      <c r="A11" t="str">
        <f>CONCATENATE(611776,",",ROW(BCTHBDVCSH_06615!A11),"|",COLUMN(BCTHBDVCSH_06615!A11),",0",",0")</f>
        <v>611776,11|1,0,0</v>
      </c>
      <c r="B11" t="str">
        <f>CONCATENATE(611721,",",ROW(BCTHBDVCSH_06615!B11),"|",COLUMN(BCTHBDVCSH_06615!B11),",0",",0")</f>
        <v>611721,11|2,0,0</v>
      </c>
      <c r="C11" t="str">
        <f>CONCATENATE(611613,",",ROW(BCTHBDVCSH_06615!C11),"|",COLUMN(BCTHBDVCSH_06615!C11),",0",",0")</f>
        <v>611613,11|3,0,0</v>
      </c>
      <c r="D11" t="str">
        <f>CONCATENATE(611617,",",ROW(BCTHBDVCSH_06615!D11),"|",COLUMN(BCTHBDVCSH_06615!D11),",0",",0")</f>
        <v>611617,11|4,0,0</v>
      </c>
      <c r="E11" t="str">
        <f>CONCATENATE(611769,",",ROW(BCTHBDVCSH_06615!E11),"|",COLUMN(BCTHBDVCSH_06615!E11),",0",",0")</f>
        <v>611769,11|5,0,0</v>
      </c>
      <c r="F11" t="str">
        <f>CONCATENATE(611660,",",ROW(BCTHBDVCSH_06615!F11),"|",COLUMN(BCTHBDVCSH_06615!F11),",0",",0")</f>
        <v>611660,11|6,0,0</v>
      </c>
      <c r="G11" t="str">
        <f>CONCATENATE(611579,",",ROW(BCTHBDVCSH_06615!G11),"|",COLUMN(BCTHBDVCSH_06615!G11),",0",",0")</f>
        <v>611579,11|7,0,0</v>
      </c>
      <c r="H11" t="str">
        <f>CONCATENATE(611793,",",ROW(BCTHBDVCSH_06615!H11),"|",COLUMN(BCTHBDVCSH_06615!H11),",0",",0")</f>
        <v>611793,11|8,0,0</v>
      </c>
      <c r="I11" t="str">
        <f>CONCATENATE(611731,",",ROW(BCTHBDVCSH_06615!I11),"|",COLUMN(BCTHBDVCSH_06615!I11),",0",",0")</f>
        <v>611731,11|9,0,0</v>
      </c>
      <c r="J11" t="str">
        <f>CONCATENATE(611679,",",ROW(BCTHBDVCSH_06615!J11),"|",COLUMN(BCTHBDVCSH_06615!J11),",0",",0")</f>
        <v>611679,11|10,0,0</v>
      </c>
      <c r="K11" t="str">
        <f>CONCATENATE(611699,",",ROW(BCTHBDVCSH_06615!K11),"|",COLUMN(BCTHBDVCSH_06615!K11),",0",",0")</f>
        <v>611699,11|11,0,0</v>
      </c>
    </row>
    <row r="12" spans="1:11" x14ac:dyDescent="0.25">
      <c r="A12" t="str">
        <f>CONCATENATE(611777,",",ROW(BCTHBDVCSH_06615!A12),"|",COLUMN(BCTHBDVCSH_06615!A12),",0",",0")</f>
        <v>611777,12|1,0,0</v>
      </c>
      <c r="B12" t="str">
        <f>CONCATENATE(611622,",",ROW(BCTHBDVCSH_06615!B12),"|",COLUMN(BCTHBDVCSH_06615!B12),",0",",0")</f>
        <v>611622,12|2,0,0</v>
      </c>
      <c r="C12" t="str">
        <f>CONCATENATE(611631,",",ROW(BCTHBDVCSH_06615!C12),"|",COLUMN(BCTHBDVCSH_06615!C12),",0",",0")</f>
        <v>611631,12|3,0,0</v>
      </c>
      <c r="D12" t="str">
        <f>CONCATENATE(611618,",",ROW(BCTHBDVCSH_06615!D12),"|",COLUMN(BCTHBDVCSH_06615!D12),",0",",0")</f>
        <v>611618,12|4,0,0</v>
      </c>
      <c r="E12" t="str">
        <f>CONCATENATE(611770,",",ROW(BCTHBDVCSH_06615!E12),"|",COLUMN(BCTHBDVCSH_06615!E12),",0",",0")</f>
        <v>611770,12|5,0,0</v>
      </c>
      <c r="F12" t="str">
        <f>CONCATENATE(611661,",",ROW(BCTHBDVCSH_06615!F12),"|",COLUMN(BCTHBDVCSH_06615!F12),",0",",0")</f>
        <v>611661,12|6,0,0</v>
      </c>
      <c r="G12" t="str">
        <f>CONCATENATE(611580,",",ROW(BCTHBDVCSH_06615!G12),"|",COLUMN(BCTHBDVCSH_06615!G12),",0",",0")</f>
        <v>611580,12|7,0,0</v>
      </c>
      <c r="H12" t="str">
        <f>CONCATENATE(611794,",",ROW(BCTHBDVCSH_06615!H12),"|",COLUMN(BCTHBDVCSH_06615!H12),",0",",0")</f>
        <v>611794,12|8,0,0</v>
      </c>
      <c r="I12" t="str">
        <f>CONCATENATE(611732,",",ROW(BCTHBDVCSH_06615!I12),"|",COLUMN(BCTHBDVCSH_06615!I12),",0",",0")</f>
        <v>611732,12|9,0,0</v>
      </c>
      <c r="J12" t="str">
        <f>CONCATENATE(611680,",",ROW(BCTHBDVCSH_06615!J12),"|",COLUMN(BCTHBDVCSH_06615!J12),",0",",0")</f>
        <v>611680,12|10,0,0</v>
      </c>
      <c r="K12" t="str">
        <f>CONCATENATE(611700,",",ROW(BCTHBDVCSH_06615!K12),"|",COLUMN(BCTHBDVCSH_06615!K12),",0",",0")</f>
        <v>611700,12|11,0,0</v>
      </c>
    </row>
    <row r="13" spans="1:11" x14ac:dyDescent="0.25">
      <c r="A13" t="str">
        <f>CONCATENATE(611667,",",ROW(BCTHBDVCSH_06615!A13),"|",COLUMN(BCTHBDVCSH_06615!A13),",0",",0")</f>
        <v>611667,13|1,0,0</v>
      </c>
      <c r="B13" t="str">
        <f>CONCATENATE(611623,",",ROW(BCTHBDVCSH_06615!B13),"|",COLUMN(BCTHBDVCSH_06615!B13),",0",",0")</f>
        <v>611623,13|2,0,0</v>
      </c>
      <c r="C13" t="str">
        <f>CONCATENATE(611632,",",ROW(BCTHBDVCSH_06615!C13),"|",COLUMN(BCTHBDVCSH_06615!C13),",0",",0")</f>
        <v>611632,13|3,0,0</v>
      </c>
      <c r="D13" t="str">
        <f>CONCATENATE(611619,",",ROW(BCTHBDVCSH_06615!D13),"|",COLUMN(BCTHBDVCSH_06615!D13),",0",",0")</f>
        <v>611619,13|4,0,0</v>
      </c>
      <c r="E13" t="str">
        <f>CONCATENATE(611656,",",ROW(BCTHBDVCSH_06615!E13),"|",COLUMN(BCTHBDVCSH_06615!E13),",0",",0")</f>
        <v>611656,13|5,0,0</v>
      </c>
      <c r="F13" t="str">
        <f>CONCATENATE(611662,",",ROW(BCTHBDVCSH_06615!F13),"|",COLUMN(BCTHBDVCSH_06615!F13),",0",",0")</f>
        <v>611662,13|6,0,0</v>
      </c>
      <c r="G13" t="str">
        <f>CONCATENATE(611581,",",ROW(BCTHBDVCSH_06615!G13),"|",COLUMN(BCTHBDVCSH_06615!G13),",0",",0")</f>
        <v>611581,13|7,0,0</v>
      </c>
      <c r="H13" t="str">
        <f>CONCATENATE(611795,",",ROW(BCTHBDVCSH_06615!H13),"|",COLUMN(BCTHBDVCSH_06615!H13),",0",",0")</f>
        <v>611795,13|8,0,0</v>
      </c>
      <c r="I13" t="str">
        <f>CONCATENATE(611733,",",ROW(BCTHBDVCSH_06615!I13),"|",COLUMN(BCTHBDVCSH_06615!I13),",0",",0")</f>
        <v>611733,13|9,0,0</v>
      </c>
      <c r="J13" t="str">
        <f>CONCATENATE(611681,",",ROW(BCTHBDVCSH_06615!J13),"|",COLUMN(BCTHBDVCSH_06615!J13),",0",",0")</f>
        <v>611681,13|10,0,0</v>
      </c>
      <c r="K13" t="str">
        <f>CONCATENATE(611608,",",ROW(BCTHBDVCSH_06615!K13),"|",COLUMN(BCTHBDVCSH_06615!K13),",0",",0")</f>
        <v>611608,13|11,0,0</v>
      </c>
    </row>
    <row r="14" spans="1:11" x14ac:dyDescent="0.25">
      <c r="A14" t="str">
        <f>CONCATENATE(611709,",",ROW(BCTHBDVCSH_06615!A14),"|",COLUMN(BCTHBDVCSH_06615!A14),",0",",0")</f>
        <v>611709,14|1,0,0</v>
      </c>
      <c r="B14" t="str">
        <f>CONCATENATE(611624,",",ROW(BCTHBDVCSH_06615!B14),"|",COLUMN(BCTHBDVCSH_06615!B14),",0",",0")</f>
        <v>611624,14|2,0,0</v>
      </c>
      <c r="C14" t="str">
        <f>CONCATENATE(611633,",",ROW(BCTHBDVCSH_06615!C14),"|",COLUMN(BCTHBDVCSH_06615!C14),",0",",0")</f>
        <v>611633,14|3,0,0</v>
      </c>
      <c r="D14" t="str">
        <f>CONCATENATE(611620,",",ROW(BCTHBDVCSH_06615!D14),"|",COLUMN(BCTHBDVCSH_06615!D14),",0",",0")</f>
        <v>611620,14|4,0,0</v>
      </c>
      <c r="E14" t="str">
        <f>CONCATENATE(611657,",",ROW(BCTHBDVCSH_06615!E14),"|",COLUMN(BCTHBDVCSH_06615!E14),",0",",0")</f>
        <v>611657,14|5,0,0</v>
      </c>
      <c r="F14" t="str">
        <f>CONCATENATE(611665,",",ROW(BCTHBDVCSH_06615!F14),"|",COLUMN(BCTHBDVCSH_06615!F14),",0",",0")</f>
        <v>611665,14|6,0,0</v>
      </c>
      <c r="G14" t="str">
        <f>CONCATENATE(611582,",",ROW(BCTHBDVCSH_06615!G14),"|",COLUMN(BCTHBDVCSH_06615!G14),",0",",0")</f>
        <v>611582,14|7,0,0</v>
      </c>
      <c r="H14" t="str">
        <f>CONCATENATE(611683,",",ROW(BCTHBDVCSH_06615!H14),"|",COLUMN(BCTHBDVCSH_06615!H14),",0",",0")</f>
        <v>611683,14|8,0,0</v>
      </c>
      <c r="I14" t="str">
        <f>CONCATENATE(611734,",",ROW(BCTHBDVCSH_06615!I14),"|",COLUMN(BCTHBDVCSH_06615!I14),",0",",0")</f>
        <v>611734,14|9,0,0</v>
      </c>
      <c r="J14" t="str">
        <f>CONCATENATE(611682,",",ROW(BCTHBDVCSH_06615!J14),"|",COLUMN(BCTHBDVCSH_06615!J14),",0",",0")</f>
        <v>611682,14|10,0,0</v>
      </c>
      <c r="K14" t="str">
        <f>CONCATENATE(611701,",",ROW(BCTHBDVCSH_06615!K14),"|",COLUMN(BCTHBDVCSH_06615!K14),",0",",0")</f>
        <v>611701,14|11,0,0</v>
      </c>
    </row>
    <row r="15" spans="1:11" x14ac:dyDescent="0.25">
      <c r="A15" t="str">
        <f>CONCATENATE(611663,",",ROW(BCTHBDVCSH_06615!A15),"|",COLUMN(BCTHBDVCSH_06615!A15),",0",",0")</f>
        <v>611663,15|1,0,0</v>
      </c>
      <c r="B15" t="str">
        <f>CONCATENATE(611637,",",ROW(BCTHBDVCSH_06615!B15),"|",COLUMN(BCTHBDVCSH_06615!B15),",0",",0")</f>
        <v>611637,15|2,0,0</v>
      </c>
      <c r="C15" t="str">
        <f>CONCATENATE(611634,",",ROW(BCTHBDVCSH_06615!C15),"|",COLUMN(BCTHBDVCSH_06615!C15),",0",",0")</f>
        <v>611634,15|3,0,0</v>
      </c>
      <c r="D15" t="str">
        <f>CONCATENATE(611621,",",ROW(BCTHBDVCSH_06615!D15),"|",COLUMN(BCTHBDVCSH_06615!D15),",0",",0")</f>
        <v>611621,15|4,0,0</v>
      </c>
      <c r="E15" t="str">
        <f>CONCATENATE(611658,",",ROW(BCTHBDVCSH_06615!E15),"|",COLUMN(BCTHBDVCSH_06615!E15),",0",",0")</f>
        <v>611658,15|5,0,0</v>
      </c>
      <c r="F15" t="str">
        <f>CONCATENATE(611666,",",ROW(BCTHBDVCSH_06615!F15),"|",COLUMN(BCTHBDVCSH_06615!F15),",0",",0")</f>
        <v>611666,15|6,0,0</v>
      </c>
      <c r="G15" t="str">
        <f>CONCATENATE(611772,",",ROW(BCTHBDVCSH_06615!G15),"|",COLUMN(BCTHBDVCSH_06615!G15),",0",",0")</f>
        <v>611772,15|7,0,0</v>
      </c>
      <c r="H15" t="str">
        <f>CONCATENATE(611684,",",ROW(BCTHBDVCSH_06615!H15),"|",COLUMN(BCTHBDVCSH_06615!H15),",0",",0")</f>
        <v>611684,15|8,0,0</v>
      </c>
      <c r="I15" t="str">
        <f>CONCATENATE(611735,",",ROW(BCTHBDVCSH_06615!I15),"|",COLUMN(BCTHBDVCSH_06615!I15),",0",",0")</f>
        <v>611735,15|9,0,0</v>
      </c>
      <c r="J15" t="str">
        <f>CONCATENATE(611771,",",ROW(BCTHBDVCSH_06615!J15),"|",COLUMN(BCTHBDVCSH_06615!J15),",0",",0")</f>
        <v>611771,15|10,0,0</v>
      </c>
      <c r="K15" t="str">
        <f>CONCATENATE(611609,",",ROW(BCTHBDVCSH_06615!K15),"|",COLUMN(BCTHBDVCSH_06615!K15),",0",",0")</f>
        <v>611609,15|11,0,0</v>
      </c>
    </row>
    <row r="16" spans="1:11" x14ac:dyDescent="0.25">
      <c r="A16" t="str">
        <f>CONCATENATE(611586,",",ROW(BCTHBDVCSH_06615!A16),"|",COLUMN(BCTHBDVCSH_06615!A16),",0",",0")</f>
        <v>611586,16|1,0,0</v>
      </c>
      <c r="B16" t="str">
        <f>CONCATENATE(611638,",",ROW(BCTHBDVCSH_06615!B16),"|",COLUMN(BCTHBDVCSH_06615!B16),",0",",0")</f>
        <v>611638,16|2,0,0</v>
      </c>
      <c r="C16" t="str">
        <f>CONCATENATE(611635,",",ROW(BCTHBDVCSH_06615!C16),"|",COLUMN(BCTHBDVCSH_06615!C16),",0",",0")</f>
        <v>611635,16|3,0,0</v>
      </c>
      <c r="D16" t="str">
        <f>CONCATENATE(611751,",",ROW(BCTHBDVCSH_06615!D16),"|",COLUMN(BCTHBDVCSH_06615!D16),",0",",0")</f>
        <v>611751,16|4,0,0</v>
      </c>
      <c r="E16" t="str">
        <f>CONCATENATE(611625,",",ROW(BCTHBDVCSH_06615!E16),"|",COLUMN(BCTHBDVCSH_06615!E16),",0",",0")</f>
        <v>611625,16|5,0,0</v>
      </c>
      <c r="F16" t="str">
        <f>CONCATENATE(611584,",",ROW(BCTHBDVCSH_06615!F16),"|",COLUMN(BCTHBDVCSH_06615!F16),",0",",0")</f>
        <v>611584,16|6,0,0</v>
      </c>
      <c r="G16" t="str">
        <f>CONCATENATE(611583,",",ROW(BCTHBDVCSH_06615!G16),"|",COLUMN(BCTHBDVCSH_06615!G16),",0",",0")</f>
        <v>611583,16|7,0,0</v>
      </c>
      <c r="H16" t="str">
        <f>CONCATENATE(611685,",",ROW(BCTHBDVCSH_06615!H16),"|",COLUMN(BCTHBDVCSH_06615!H16),",0",",0")</f>
        <v>611685,16|8,0,0</v>
      </c>
      <c r="I16" t="str">
        <f>CONCATENATE(611737,",",ROW(BCTHBDVCSH_06615!I16),"|",COLUMN(BCTHBDVCSH_06615!I16),",0",",0")</f>
        <v>611737,16|9,0,0</v>
      </c>
      <c r="J16" t="str">
        <f>CONCATENATE(611593,",",ROW(BCTHBDVCSH_06615!J16),"|",COLUMN(BCTHBDVCSH_06615!J16),",0",",0")</f>
        <v>611593,16|10,0,0</v>
      </c>
      <c r="K16" t="str">
        <f>CONCATENATE(611610,",",ROW(BCTHBDVCSH_06615!K16),"|",COLUMN(BCTHBDVCSH_06615!K16),",0",",0")</f>
        <v>611610,16|11,0,0</v>
      </c>
    </row>
    <row r="17" spans="1:11" x14ac:dyDescent="0.25">
      <c r="A17" t="str">
        <f>CONCATENATE(611668,",",ROW(BCTHBDVCSH_06615!A17),"|",COLUMN(BCTHBDVCSH_06615!A17),",0",",0")</f>
        <v>611668,17|1,0,0</v>
      </c>
      <c r="B17" t="str">
        <f>CONCATENATE(611639,",",ROW(BCTHBDVCSH_06615!B17),"|",COLUMN(BCTHBDVCSH_06615!B17),",0",",0")</f>
        <v>611639,17|2,0,0</v>
      </c>
      <c r="C17" t="str">
        <f>CONCATENATE(611636,",",ROW(BCTHBDVCSH_06615!C17),"|",COLUMN(BCTHBDVCSH_06615!C17),",0",",0")</f>
        <v>611636,17|3,0,0</v>
      </c>
      <c r="D17" t="str">
        <f>CONCATENATE(611752,",",ROW(BCTHBDVCSH_06615!D17),"|",COLUMN(BCTHBDVCSH_06615!D17),",0",",0")</f>
        <v>611752,17|4,0,0</v>
      </c>
      <c r="E17" t="str">
        <f>CONCATENATE(611626,",",ROW(BCTHBDVCSH_06615!E17),"|",COLUMN(BCTHBDVCSH_06615!E17),",0",",0")</f>
        <v>611626,17|5,0,0</v>
      </c>
      <c r="F17" t="str">
        <f>CONCATENATE(611714,",",ROW(BCTHBDVCSH_06615!F17),"|",COLUMN(BCTHBDVCSH_06615!F17),",0",",0")</f>
        <v>611714,17|6,0,0</v>
      </c>
      <c r="G17" t="str">
        <f>CONCATENATE(611585,",",ROW(BCTHBDVCSH_06615!G17),"|",COLUMN(BCTHBDVCSH_06615!G17),",0",",0")</f>
        <v>611585,17|7,0,0</v>
      </c>
      <c r="H17" t="str">
        <f>CONCATENATE(611686,",",ROW(BCTHBDVCSH_06615!H17),"|",COLUMN(BCTHBDVCSH_06615!H17),",0",",0")</f>
        <v>611686,17|8,0,0</v>
      </c>
      <c r="I17" t="str">
        <f>CONCATENATE(611738,",",ROW(BCTHBDVCSH_06615!I17),"|",COLUMN(BCTHBDVCSH_06615!I17),",0",",0")</f>
        <v>611738,17|9,0,0</v>
      </c>
      <c r="J17" t="str">
        <f>CONCATENATE(611594,",",ROW(BCTHBDVCSH_06615!J17),"|",COLUMN(BCTHBDVCSH_06615!J17),",0",",0")</f>
        <v>611594,17|10,0,0</v>
      </c>
      <c r="K17" t="str">
        <f>CONCATENATE(611627,",",ROW(BCTHBDVCSH_06615!K17),"|",COLUMN(BCTHBDVCSH_06615!K17),",0",",0")</f>
        <v>611627,17|11,0,0</v>
      </c>
    </row>
    <row r="18" spans="1:11" x14ac:dyDescent="0.25">
      <c r="A18" t="str">
        <f>CONCATENATE(611710,",",ROW(BCTHBDVCSH_06615!A18),"|",COLUMN(BCTHBDVCSH_06615!A18),",0",",0")</f>
        <v>611710,18|1,0,0</v>
      </c>
      <c r="B18" t="str">
        <f>CONCATENATE(611640,",",ROW(BCTHBDVCSH_06615!B18),"|",COLUMN(BCTHBDVCSH_06615!B18),",0",",0")</f>
        <v>611640,18|2,0,0</v>
      </c>
      <c r="C18" t="str">
        <f>CONCATENATE(611659,",",ROW(BCTHBDVCSH_06615!C18),"|",COLUMN(BCTHBDVCSH_06615!C18),",0",",0")</f>
        <v>611659,18|3,0,0</v>
      </c>
      <c r="D18" t="str">
        <f>CONCATENATE(611753,",",ROW(BCTHBDVCSH_06615!D18),"|",COLUMN(BCTHBDVCSH_06615!D18),",0",",0")</f>
        <v>611753,18|4,0,0</v>
      </c>
      <c r="E18" t="str">
        <f>CONCATENATE(611747,",",ROW(BCTHBDVCSH_06615!E18),"|",COLUMN(BCTHBDVCSH_06615!E18),",0",",0")</f>
        <v>611747,18|5,0,0</v>
      </c>
      <c r="F18" t="str">
        <f>CONCATENATE(611715,",",ROW(BCTHBDVCSH_06615!F18),"|",COLUMN(BCTHBDVCSH_06615!F18),",0",",0")</f>
        <v>611715,18|6,0,0</v>
      </c>
      <c r="G18" t="str">
        <f>CONCATENATE(611592,",",ROW(BCTHBDVCSH_06615!G18),"|",COLUMN(BCTHBDVCSH_06615!G18),",0",",0")</f>
        <v>611592,18|7,0,0</v>
      </c>
      <c r="H18" t="str">
        <f>CONCATENATE(611687,",",ROW(BCTHBDVCSH_06615!H18),"|",COLUMN(BCTHBDVCSH_06615!H18),",0",",0")</f>
        <v>611687,18|8,0,0</v>
      </c>
      <c r="I18" t="str">
        <f>CONCATENATE(611739,",",ROW(BCTHBDVCSH_06615!I18),"|",COLUMN(BCTHBDVCSH_06615!I18),",0",",0")</f>
        <v>611739,18|9,0,0</v>
      </c>
      <c r="J18" t="str">
        <f>CONCATENATE(611595,",",ROW(BCTHBDVCSH_06615!J18),"|",COLUMN(BCTHBDVCSH_06615!J18),",0",",0")</f>
        <v>611595,18|10,0,0</v>
      </c>
      <c r="K18" t="str">
        <f>CONCATENATE(611628,",",ROW(BCTHBDVCSH_06615!K18),"|",COLUMN(BCTHBDVCSH_06615!K18),",0",",0")</f>
        <v>611628,18|11,0,0</v>
      </c>
    </row>
    <row r="19" spans="1:11" x14ac:dyDescent="0.25">
      <c r="A19" t="str">
        <f>CONCATENATE(611590,",",ROW(BCTHBDVCSH_06615!A19),"|",COLUMN(BCTHBDVCSH_06615!A19),",0",",0")</f>
        <v>611590,19|1,0,0</v>
      </c>
      <c r="B19" t="str">
        <f>CONCATENATE(611641,",",ROW(BCTHBDVCSH_06615!B19),"|",COLUMN(BCTHBDVCSH_06615!B19),",0",",0")</f>
        <v>611641,19|2,0,0</v>
      </c>
      <c r="C19" t="str">
        <f>CONCATENATE(611746,",",ROW(BCTHBDVCSH_06615!C19),"|",COLUMN(BCTHBDVCSH_06615!C19),",0",",0")</f>
        <v>611746,19|3,0,0</v>
      </c>
      <c r="D19" t="str">
        <f>CONCATENATE(611754,",",ROW(BCTHBDVCSH_06615!D19),"|",COLUMN(BCTHBDVCSH_06615!D19),",0",",0")</f>
        <v>611754,19|4,0,0</v>
      </c>
      <c r="E19" t="str">
        <f>CONCATENATE(611749,",",ROW(BCTHBDVCSH_06615!E19),"|",COLUMN(BCTHBDVCSH_06615!E19),",0",",0")</f>
        <v>611749,19|5,0,0</v>
      </c>
      <c r="F19" t="str">
        <f>CONCATENATE(611716,",",ROW(BCTHBDVCSH_06615!F19),"|",COLUMN(BCTHBDVCSH_06615!F19),",0",",0")</f>
        <v>611716,19|6,0,0</v>
      </c>
      <c r="G19" t="str">
        <f>CONCATENATE(611664,",",ROW(BCTHBDVCSH_06615!G19),"|",COLUMN(BCTHBDVCSH_06615!G19),",0",",0")</f>
        <v>611664,19|7,0,0</v>
      </c>
      <c r="H19" t="str">
        <f>CONCATENATE(611688,",",ROW(BCTHBDVCSH_06615!H19),"|",COLUMN(BCTHBDVCSH_06615!H19),",0",",0")</f>
        <v>611688,19|8,0,0</v>
      </c>
      <c r="I19" t="str">
        <f>CONCATENATE(611740,",",ROW(BCTHBDVCSH_06615!I19),"|",COLUMN(BCTHBDVCSH_06615!I19),",0",",0")</f>
        <v>611740,19|9,0,0</v>
      </c>
      <c r="J19" t="str">
        <f>CONCATENATE(611596,",",ROW(BCTHBDVCSH_06615!J19),"|",COLUMN(BCTHBDVCSH_06615!J19),",0",",0")</f>
        <v>611596,19|10,0,0</v>
      </c>
      <c r="K19" t="str">
        <f>CONCATENATE(611702,",",ROW(BCTHBDVCSH_06615!K19),"|",COLUMN(BCTHBDVCSH_06615!K19),",0",",0")</f>
        <v>611702,19|11,0,0</v>
      </c>
    </row>
    <row r="20" spans="1:11" x14ac:dyDescent="0.25">
      <c r="A20" t="str">
        <f>CONCATENATE(611669,",",ROW(BCTHBDVCSH_06615!A20),"|",COLUMN(BCTHBDVCSH_06615!A20),",0",",0")</f>
        <v>611669,20|1,0,0</v>
      </c>
      <c r="B20" t="str">
        <f>CONCATENATE(611642,",",ROW(BCTHBDVCSH_06615!B20),"|",COLUMN(BCTHBDVCSH_06615!B20),",0",",0")</f>
        <v>611642,20|2,0,0</v>
      </c>
      <c r="C20" t="str">
        <f>CONCATENATE(611565,",",ROW(BCTHBDVCSH_06615!C20),"|",COLUMN(BCTHBDVCSH_06615!C20),",0",",0")</f>
        <v>611565,20|3,0,0</v>
      </c>
      <c r="D20" t="str">
        <f>CONCATENATE(611755,",",ROW(BCTHBDVCSH_06615!D20),"|",COLUMN(BCTHBDVCSH_06615!D20),",0",",0")</f>
        <v>611755,20|4,0,0</v>
      </c>
      <c r="E20" t="str">
        <f>CONCATENATE(611750,",",ROW(BCTHBDVCSH_06615!E20),"|",COLUMN(BCTHBDVCSH_06615!E20),",0",",0")</f>
        <v>611750,20|5,0,0</v>
      </c>
      <c r="F20" t="str">
        <f>CONCATENATE(611717,",",ROW(BCTHBDVCSH_06615!F20),"|",COLUMN(BCTHBDVCSH_06615!F20),",0",",0")</f>
        <v>611717,20|6,0,0</v>
      </c>
      <c r="G20" t="str">
        <f>CONCATENATE(611778,",",ROW(BCTHBDVCSH_06615!G20),"|",COLUMN(BCTHBDVCSH_06615!G20),",0",",0")</f>
        <v>611778,20|7,0,0</v>
      </c>
      <c r="H20" t="str">
        <f>CONCATENATE(611689,",",ROW(BCTHBDVCSH_06615!H20),"|",COLUMN(BCTHBDVCSH_06615!H20),",0",",0")</f>
        <v>611689,20|8,0,0</v>
      </c>
      <c r="I20" t="str">
        <f>CONCATENATE(611741,",",ROW(BCTHBDVCSH_06615!I20),"|",COLUMN(BCTHBDVCSH_06615!I20),",0",",0")</f>
        <v>611741,20|9,0,0</v>
      </c>
      <c r="J20" t="str">
        <f>CONCATENATE(611597,",",ROW(BCTHBDVCSH_06615!J20),"|",COLUMN(BCTHBDVCSH_06615!J20),",0",",0")</f>
        <v>611597,20|10,0,0</v>
      </c>
      <c r="K20" t="str">
        <f>CONCATENATE(611703,",",ROW(BCTHBDVCSH_06615!K20),"|",COLUMN(BCTHBDVCSH_06615!K20),",0",",0")</f>
        <v>611703,20|11,0,0</v>
      </c>
    </row>
    <row r="21" spans="1:11" x14ac:dyDescent="0.25">
      <c r="A21" t="str">
        <f>CONCATENATE(611675,",",ROW(BCTHBDVCSH_06615!A21),"|",COLUMN(BCTHBDVCSH_06615!A21),",0",",0")</f>
        <v>611675,21|1,0,0</v>
      </c>
      <c r="B21" t="str">
        <f>CONCATENATE(611643,",",ROW(BCTHBDVCSH_06615!B21),"|",COLUMN(BCTHBDVCSH_06615!B21),",0",",0")</f>
        <v>611643,21|2,0,0</v>
      </c>
      <c r="C21" t="str">
        <f>CONCATENATE(611566,",",ROW(BCTHBDVCSH_06615!C21),"|",COLUMN(BCTHBDVCSH_06615!C21),",0",",0")</f>
        <v>611566,21|3,0,0</v>
      </c>
      <c r="D21" t="str">
        <f>CONCATENATE(611756,",",ROW(BCTHBDVCSH_06615!D21),"|",COLUMN(BCTHBDVCSH_06615!D21),",0",",0")</f>
        <v>611756,21|4,0,0</v>
      </c>
      <c r="E21" t="str">
        <f>CONCATENATE(611553,",",ROW(BCTHBDVCSH_06615!E21),"|",COLUMN(BCTHBDVCSH_06615!E21),",0",",0")</f>
        <v>611553,21|5,0,0</v>
      </c>
      <c r="F21" t="str">
        <f>CONCATENATE(611718,",",ROW(BCTHBDVCSH_06615!F21),"|",COLUMN(BCTHBDVCSH_06615!F21),",0",",0")</f>
        <v>611718,21|6,0,0</v>
      </c>
      <c r="G21" t="str">
        <f>CONCATENATE(611780,",",ROW(BCTHBDVCSH_06615!G21),"|",COLUMN(BCTHBDVCSH_06615!G21),",0",",0")</f>
        <v>611780,21|7,0,0</v>
      </c>
      <c r="H21" t="str">
        <f>CONCATENATE(611690,",",ROW(BCTHBDVCSH_06615!H21),"|",COLUMN(BCTHBDVCSH_06615!H21),",0",",0")</f>
        <v>611690,21|8,0,0</v>
      </c>
      <c r="I21" t="str">
        <f>CONCATENATE(611742,",",ROW(BCTHBDVCSH_06615!I21),"|",COLUMN(BCTHBDVCSH_06615!I21),",0",",0")</f>
        <v>611742,21|9,0,0</v>
      </c>
      <c r="J21" t="str">
        <f>CONCATENATE(611598,",",ROW(BCTHBDVCSH_06615!J21),"|",COLUMN(BCTHBDVCSH_06615!J21),",0",",0")</f>
        <v>611598,21|10,0,0</v>
      </c>
      <c r="K21" t="str">
        <f>CONCATENATE(611572,",",ROW(BCTHBDVCSH_06615!K21),"|",COLUMN(BCTHBDVCSH_06615!K21),",0",",0")</f>
        <v>611572,21|11,0,0</v>
      </c>
    </row>
    <row r="22" spans="1:11" x14ac:dyDescent="0.25">
      <c r="A22" t="str">
        <f>CONCATENATE(611670,",",ROW(BCTHBDVCSH_06615!A22),"|",COLUMN(BCTHBDVCSH_06615!A22),",0",",0")</f>
        <v>611670,22|1,0,0</v>
      </c>
      <c r="B22" t="str">
        <f>CONCATENATE(611644,",",ROW(BCTHBDVCSH_06615!B22),"|",COLUMN(BCTHBDVCSH_06615!B22),",0",",0")</f>
        <v>611644,22|2,0,0</v>
      </c>
      <c r="C22" t="str">
        <f>CONCATENATE(611567,",",ROW(BCTHBDVCSH_06615!C22),"|",COLUMN(BCTHBDVCSH_06615!C22),",0",",0")</f>
        <v>611567,22|3,0,0</v>
      </c>
      <c r="D22" t="str">
        <f>CONCATENATE(611757,",",ROW(BCTHBDVCSH_06615!D22),"|",COLUMN(BCTHBDVCSH_06615!D22),",0",",0")</f>
        <v>611757,22|4,0,0</v>
      </c>
      <c r="E22" t="str">
        <f>CONCATENATE(611554,",",ROW(BCTHBDVCSH_06615!E22),"|",COLUMN(BCTHBDVCSH_06615!E22),",0",",0")</f>
        <v>611554,22|5,0,0</v>
      </c>
      <c r="F22" t="str">
        <f>CONCATENATE(611719,",",ROW(BCTHBDVCSH_06615!F22),"|",COLUMN(BCTHBDVCSH_06615!F22),",0",",0")</f>
        <v>611719,22|6,0,0</v>
      </c>
      <c r="G22" t="str">
        <f>CONCATENATE(611781,",",ROW(BCTHBDVCSH_06615!G22),"|",COLUMN(BCTHBDVCSH_06615!G22),",0",",0")</f>
        <v>611781,22|7,0,0</v>
      </c>
      <c r="H22" t="str">
        <f>CONCATENATE(611691,",",ROW(BCTHBDVCSH_06615!H22),"|",COLUMN(BCTHBDVCSH_06615!H22),",0",",0")</f>
        <v>611691,22|8,0,0</v>
      </c>
      <c r="I22" t="str">
        <f>CONCATENATE(611743,",",ROW(BCTHBDVCSH_06615!I22),"|",COLUMN(BCTHBDVCSH_06615!I22),",0",",0")</f>
        <v>611743,22|9,0,0</v>
      </c>
      <c r="J22" t="str">
        <f>CONCATENATE(611599,",",ROW(BCTHBDVCSH_06615!J22),"|",COLUMN(BCTHBDVCSH_06615!J22),",0",",0")</f>
        <v>611599,22|10,0,0</v>
      </c>
      <c r="K22" t="str">
        <f>CONCATENATE(611705,",",ROW(BCTHBDVCSH_06615!K22),"|",COLUMN(BCTHBDVCSH_06615!K22),",0",",0")</f>
        <v>611705,22|11,0,0</v>
      </c>
    </row>
    <row r="23" spans="1:11" x14ac:dyDescent="0.25">
      <c r="A23" t="str">
        <f>CONCATENATE(611711,",",ROW(BCTHBDVCSH_06615!A23),"|",COLUMN(BCTHBDVCSH_06615!A23),",0",",0")</f>
        <v>611711,23|1,0,0</v>
      </c>
      <c r="B23" t="str">
        <f>CONCATENATE(611645,",",ROW(BCTHBDVCSH_06615!B23),"|",COLUMN(BCTHBDVCSH_06615!B23),",0",",0")</f>
        <v>611645,23|2,0,0</v>
      </c>
      <c r="C23" t="str">
        <f>CONCATENATE(611568,",",ROW(BCTHBDVCSH_06615!C23),"|",COLUMN(BCTHBDVCSH_06615!C23),",0",",0")</f>
        <v>611568,23|3,0,0</v>
      </c>
      <c r="D23" t="str">
        <f>CONCATENATE(611758,",",ROW(BCTHBDVCSH_06615!D23),"|",COLUMN(BCTHBDVCSH_06615!D23),",0",",0")</f>
        <v>611758,23|4,0,0</v>
      </c>
      <c r="E23" t="str">
        <f>CONCATENATE(611555,",",ROW(BCTHBDVCSH_06615!E23),"|",COLUMN(BCTHBDVCSH_06615!E23),",0",",0")</f>
        <v>611555,23|5,0,0</v>
      </c>
      <c r="F23" t="str">
        <f>CONCATENATE(611720,",",ROW(BCTHBDVCSH_06615!F23),"|",COLUMN(BCTHBDVCSH_06615!F23),",0",",0")</f>
        <v>611720,23|6,0,0</v>
      </c>
      <c r="G23" t="str">
        <f>CONCATENATE(611782,",",ROW(BCTHBDVCSH_06615!G23),"|",COLUMN(BCTHBDVCSH_06615!G23),",0",",0")</f>
        <v>611782,23|7,0,0</v>
      </c>
      <c r="H23" t="str">
        <f>CONCATENATE(611692,",",ROW(BCTHBDVCSH_06615!H23),"|",COLUMN(BCTHBDVCSH_06615!H23),",0",",0")</f>
        <v>611692,23|8,0,0</v>
      </c>
      <c r="I23" t="str">
        <f>CONCATENATE(611744,",",ROW(BCTHBDVCSH_06615!I23),"|",COLUMN(BCTHBDVCSH_06615!I23),",0",",0")</f>
        <v>611744,23|9,0,0</v>
      </c>
      <c r="J23" t="str">
        <f>CONCATENATE(611600,",",ROW(BCTHBDVCSH_06615!J23),"|",COLUMN(BCTHBDVCSH_06615!J23),",0",",0")</f>
        <v>611600,23|10,0,0</v>
      </c>
      <c r="K23" t="str">
        <f>CONCATENATE(611573,",",ROW(BCTHBDVCSH_06615!K23),"|",COLUMN(BCTHBDVCSH_06615!K23),",0",",0")</f>
        <v>611573,23|11,0,0</v>
      </c>
    </row>
    <row r="24" spans="1:11" x14ac:dyDescent="0.25">
      <c r="A24" t="str">
        <f>CONCATENATE(611588,",",ROW(BCTHBDVCSH_06615!A24),"|",COLUMN(BCTHBDVCSH_06615!A24),",0",",0")</f>
        <v>611588,24|1,0,0</v>
      </c>
      <c r="B24" t="str">
        <f>CONCATENATE(611646,",",ROW(BCTHBDVCSH_06615!B24),"|",COLUMN(BCTHBDVCSH_06615!B24),",0",",0")</f>
        <v>611646,24|2,0,0</v>
      </c>
      <c r="C24" t="str">
        <f>CONCATENATE(611569,",",ROW(BCTHBDVCSH_06615!C24),"|",COLUMN(BCTHBDVCSH_06615!C24),",0",",0")</f>
        <v>611569,24|3,0,0</v>
      </c>
      <c r="D24" t="str">
        <f>CONCATENATE(611759,",",ROW(BCTHBDVCSH_06615!D24),"|",COLUMN(BCTHBDVCSH_06615!D24),",0",",0")</f>
        <v>611759,24|4,0,0</v>
      </c>
      <c r="E24" t="str">
        <f>CONCATENATE(611556,",",ROW(BCTHBDVCSH_06615!E24),"|",COLUMN(BCTHBDVCSH_06615!E24),",0",",0")</f>
        <v>611556,24|5,0,0</v>
      </c>
      <c r="F24" t="str">
        <f>CONCATENATE(611748,",",ROW(BCTHBDVCSH_06615!F24),"|",COLUMN(BCTHBDVCSH_06615!F24),",0",",0")</f>
        <v>611748,24|6,0,0</v>
      </c>
      <c r="G24" t="str">
        <f>CONCATENATE(611783,",",ROW(BCTHBDVCSH_06615!G24),"|",COLUMN(BCTHBDVCSH_06615!G24),",0",",0")</f>
        <v>611783,24|7,0,0</v>
      </c>
      <c r="H24" t="str">
        <f>CONCATENATE(611693,",",ROW(BCTHBDVCSH_06615!H24),"|",COLUMN(BCTHBDVCSH_06615!H24),",0",",0")</f>
        <v>611693,24|8,0,0</v>
      </c>
      <c r="I24" t="str">
        <f>CONCATENATE(611745,",",ROW(BCTHBDVCSH_06615!I24),"|",COLUMN(BCTHBDVCSH_06615!I24),",0",",0")</f>
        <v>611745,24|9,0,0</v>
      </c>
      <c r="J24" t="str">
        <f>CONCATENATE(611601,",",ROW(BCTHBDVCSH_06615!J24),"|",COLUMN(BCTHBDVCSH_06615!J24),",0",",0")</f>
        <v>611601,24|10,0,0</v>
      </c>
      <c r="K24" t="str">
        <f>CONCATENATE(611629,",",ROW(BCTHBDVCSH_06615!K24),"|",COLUMN(BCTHBDVCSH_06615!K24),",0",",0")</f>
        <v>611629,24|11,0,0</v>
      </c>
    </row>
    <row r="25" spans="1:11" x14ac:dyDescent="0.25">
      <c r="A25" t="str">
        <f>CONCATENATE(611589,",",ROW(BCTHBDVCSH_06615!A25),"|",COLUMN(BCTHBDVCSH_06615!A25),",0",",0")</f>
        <v>611589,25|1,0,0</v>
      </c>
      <c r="B25" t="str">
        <f>CONCATENATE(611647,",",ROW(BCTHBDVCSH_06615!B25),"|",COLUMN(BCTHBDVCSH_06615!B25),",0",",0")</f>
        <v>611647,25|2,0,0</v>
      </c>
      <c r="C25" t="str">
        <f>CONCATENATE(611570,",",ROW(BCTHBDVCSH_06615!C25),"|",COLUMN(BCTHBDVCSH_06615!C25),",0",",0")</f>
        <v>611570,25|3,0,0</v>
      </c>
      <c r="D25" t="str">
        <f>CONCATENATE(611760,",",ROW(BCTHBDVCSH_06615!D25),"|",COLUMN(BCTHBDVCSH_06615!D25),",0",",0")</f>
        <v>611760,25|4,0,0</v>
      </c>
      <c r="E25" t="str">
        <f>CONCATENATE(611557,",",ROW(BCTHBDVCSH_06615!E25),"|",COLUMN(BCTHBDVCSH_06615!E25),",0",",0")</f>
        <v>611557,25|5,0,0</v>
      </c>
      <c r="F25" t="str">
        <f>CONCATENATE(611722,",",ROW(BCTHBDVCSH_06615!F25),"|",COLUMN(BCTHBDVCSH_06615!F25),",0",",0")</f>
        <v>611722,25|6,0,0</v>
      </c>
      <c r="G25" t="str">
        <f>CONCATENATE(611784,",",ROW(BCTHBDVCSH_06615!G25),"|",COLUMN(BCTHBDVCSH_06615!G25),",0",",0")</f>
        <v>611784,25|7,0,0</v>
      </c>
      <c r="H25" t="str">
        <f>CONCATENATE(611694,",",ROW(BCTHBDVCSH_06615!H25),"|",COLUMN(BCTHBDVCSH_06615!H25),",0",",0")</f>
        <v>611694,25|8,0,0</v>
      </c>
      <c r="I25" t="str">
        <f>CONCATENATE(611671,",",ROW(BCTHBDVCSH_06615!I25),"|",COLUMN(BCTHBDVCSH_06615!I25),",0",",0")</f>
        <v>611671,25|9,0,0</v>
      </c>
      <c r="J25" t="str">
        <f>CONCATENATE(611602,",",ROW(BCTHBDVCSH_06615!J25),"|",COLUMN(BCTHBDVCSH_06615!J25),",0",",0")</f>
        <v>611602,25|10,0,0</v>
      </c>
      <c r="K25" t="str">
        <f>CONCATENATE(611574,",",ROW(BCTHBDVCSH_06615!K25),"|",COLUMN(BCTHBDVCSH_06615!K25),",0",",0")</f>
        <v>611574,25|11,0,0</v>
      </c>
    </row>
    <row r="26" spans="1:11" x14ac:dyDescent="0.25">
      <c r="A26" t="str">
        <f>CONCATENATE(611773,",",ROW(BCTHBDVCSH_06615!A26),"|",COLUMN(BCTHBDVCSH_06615!A26),",0",",0")</f>
        <v>611773,26|1,0,0</v>
      </c>
      <c r="B26" t="str">
        <f>CONCATENATE(611648,",",ROW(BCTHBDVCSH_06615!B26),"|",COLUMN(BCTHBDVCSH_06615!B26),",0",",0")</f>
        <v>611648,26|2,0,0</v>
      </c>
      <c r="C26" t="str">
        <f>CONCATENATE(611571,",",ROW(BCTHBDVCSH_06615!C26),"|",COLUMN(BCTHBDVCSH_06615!C26),",0",",0")</f>
        <v>611571,26|3,0,0</v>
      </c>
      <c r="D26" t="str">
        <f>CONCATENATE(611761,",",ROW(BCTHBDVCSH_06615!D26),"|",COLUMN(BCTHBDVCSH_06615!D26),",0",",0")</f>
        <v>611761,26|4,0,0</v>
      </c>
      <c r="E26" t="str">
        <f>CONCATENATE(611558,",",ROW(BCTHBDVCSH_06615!E26),"|",COLUMN(BCTHBDVCSH_06615!E26),",0",",0")</f>
        <v>611558,26|5,0,0</v>
      </c>
      <c r="F26" t="str">
        <f>CONCATENATE(611723,",",ROW(BCTHBDVCSH_06615!F26),"|",COLUMN(BCTHBDVCSH_06615!F26),",0",",0")</f>
        <v>611723,26|6,0,0</v>
      </c>
      <c r="G26" t="str">
        <f>CONCATENATE(611785,",",ROW(BCTHBDVCSH_06615!G26),"|",COLUMN(BCTHBDVCSH_06615!G26),",0",",0")</f>
        <v>611785,26|7,0,0</v>
      </c>
      <c r="H26" t="str">
        <f>CONCATENATE(611695,",",ROW(BCTHBDVCSH_06615!H26),"|",COLUMN(BCTHBDVCSH_06615!H26),",0",",0")</f>
        <v>611695,26|8,0,0</v>
      </c>
      <c r="I26" t="str">
        <f>CONCATENATE(611672,",",ROW(BCTHBDVCSH_06615!I26),"|",COLUMN(BCTHBDVCSH_06615!I26),",0",",0")</f>
        <v>611672,26|9,0,0</v>
      </c>
      <c r="J26" t="str">
        <f>CONCATENATE(611603,",",ROW(BCTHBDVCSH_06615!J26),"|",COLUMN(BCTHBDVCSH_06615!J26),",0",",0")</f>
        <v>611603,26|10,0,0</v>
      </c>
      <c r="K26" t="str">
        <f>CONCATENATE(611706,",",ROW(BCTHBDVCSH_06615!K26),"|",COLUMN(BCTHBDVCSH_06615!K26),",0",",0")</f>
        <v>611706,26|11,0,0</v>
      </c>
    </row>
    <row r="27" spans="1:11" x14ac:dyDescent="0.25">
      <c r="A27" t="str">
        <f>CONCATENATE(611774,",",ROW(BCTHBDVCSH_06615!A27),"|",COLUMN(BCTHBDVCSH_06615!A27),",0",",0")</f>
        <v>611774,27|1,0,0</v>
      </c>
      <c r="B27" t="str">
        <f>CONCATENATE(611649,",",ROW(BCTHBDVCSH_06615!B27),"|",COLUMN(BCTHBDVCSH_06615!B27),",0",",0")</f>
        <v>611649,27|2,0,0</v>
      </c>
      <c r="C27" t="str">
        <f>CONCATENATE(611801,",",ROW(BCTHBDVCSH_06615!C27),"|",COLUMN(BCTHBDVCSH_06615!C27),",0",",0")</f>
        <v>611801,27|3,0,0</v>
      </c>
      <c r="D27" t="str">
        <f>CONCATENATE(611762,",",ROW(BCTHBDVCSH_06615!D27),"|",COLUMN(BCTHBDVCSH_06615!D27),",0",",0")</f>
        <v>611762,27|4,0,0</v>
      </c>
      <c r="E27" t="str">
        <f>CONCATENATE(611559,",",ROW(BCTHBDVCSH_06615!E27),"|",COLUMN(BCTHBDVCSH_06615!E27),",0",",0")</f>
        <v>611559,27|5,0,0</v>
      </c>
      <c r="F27" t="str">
        <f>CONCATENATE(611724,",",ROW(BCTHBDVCSH_06615!F27),"|",COLUMN(BCTHBDVCSH_06615!F27),",0",",0")</f>
        <v>611724,27|6,0,0</v>
      </c>
      <c r="G27" t="str">
        <f>CONCATENATE(611786,",",ROW(BCTHBDVCSH_06615!G27),"|",COLUMN(BCTHBDVCSH_06615!G27),",0",",0")</f>
        <v>611786,27|7,0,0</v>
      </c>
      <c r="H27" t="str">
        <f>CONCATENATE(611696,",",ROW(BCTHBDVCSH_06615!H27),"|",COLUMN(BCTHBDVCSH_06615!H27),",0",",0")</f>
        <v>611696,27|8,0,0</v>
      </c>
      <c r="I27" t="str">
        <f>CONCATENATE(611673,",",ROW(BCTHBDVCSH_06615!I27),"|",COLUMN(BCTHBDVCSH_06615!I27),",0",",0")</f>
        <v>611673,27|9,0,0</v>
      </c>
      <c r="J27" t="str">
        <f>CONCATENATE(611604,",",ROW(BCTHBDVCSH_06615!J27),"|",COLUMN(BCTHBDVCSH_06615!J27),",0",",0")</f>
        <v>611604,27|10,0,0</v>
      </c>
      <c r="K27" t="str">
        <f>CONCATENATE(611575,",",ROW(BCTHBDVCSH_06615!K27),"|",COLUMN(BCTHBDVCSH_06615!K27),",0",",0")</f>
        <v>611575,27|11,0,0</v>
      </c>
    </row>
    <row r="28" spans="1:11" x14ac:dyDescent="0.25">
      <c r="A28" t="str">
        <f>CONCATENATE(611736,",",ROW(BCTHBDVCSH_06615!A28),"|",COLUMN(BCTHBDVCSH_06615!A28),",0",",0")</f>
        <v>611736,28|1,0,0</v>
      </c>
      <c r="B28" t="str">
        <f>CONCATENATE(611650,",",ROW(BCTHBDVCSH_06615!B28),"|",COLUMN(BCTHBDVCSH_06615!B28),",0",",0")</f>
        <v>611650,28|2,0,0</v>
      </c>
      <c r="C28" t="str">
        <f>CONCATENATE(611802,",",ROW(BCTHBDVCSH_06615!C28),"|",COLUMN(BCTHBDVCSH_06615!C28),",0",",0")</f>
        <v>611802,28|3,0,0</v>
      </c>
      <c r="D28" t="str">
        <f>CONCATENATE(611763,",",ROW(BCTHBDVCSH_06615!D28),"|",COLUMN(BCTHBDVCSH_06615!D28),",0",",0")</f>
        <v>611763,28|4,0,0</v>
      </c>
      <c r="E28" t="str">
        <f>CONCATENATE(611560,",",ROW(BCTHBDVCSH_06615!E28),"|",COLUMN(BCTHBDVCSH_06615!E28),",0",",0")</f>
        <v>611560,28|5,0,0</v>
      </c>
      <c r="F28" t="str">
        <f>CONCATENATE(611725,",",ROW(BCTHBDVCSH_06615!F28),"|",COLUMN(BCTHBDVCSH_06615!F28),",0",",0")</f>
        <v>611725,28|6,0,0</v>
      </c>
      <c r="G28" t="str">
        <f>CONCATENATE(611787,",",ROW(BCTHBDVCSH_06615!G28),"|",COLUMN(BCTHBDVCSH_06615!G28),",0",",0")</f>
        <v>611787,28|7,0,0</v>
      </c>
      <c r="H28" t="str">
        <f>CONCATENATE(611697,",",ROW(BCTHBDVCSH_06615!H28),"|",COLUMN(BCTHBDVCSH_06615!H28),",0",",0")</f>
        <v>611697,28|8,0,0</v>
      </c>
      <c r="I28" t="str">
        <f>CONCATENATE(611674,",",ROW(BCTHBDVCSH_06615!I28),"|",COLUMN(BCTHBDVCSH_06615!I28),",0",",0")</f>
        <v>611674,28|9,0,0</v>
      </c>
      <c r="J28" t="str">
        <f>CONCATENATE(611605,",",ROW(BCTHBDVCSH_06615!J28),"|",COLUMN(BCTHBDVCSH_06615!J28),",0",",0")</f>
        <v>611605,28|10,0,0</v>
      </c>
      <c r="K28" t="str">
        <f>CONCATENATE(611630,",",ROW(BCTHBDVCSH_06615!K28),"|",COLUMN(BCTHBDVCSH_06615!K28),",0",",0")</f>
        <v>611630,28|11,0,0</v>
      </c>
    </row>
    <row r="29" spans="1:11" x14ac:dyDescent="0.25">
      <c r="A29" t="str">
        <f>CONCATENATE(611775,",",ROW(BCTHBDVCSH_06615!A29),"|",COLUMN(BCTHBDVCSH_06615!A29),",0",",0")</f>
        <v>611775,29|1,0,0</v>
      </c>
      <c r="B29" t="str">
        <f>CONCATENATE(611651,",",ROW(BCTHBDVCSH_06615!B29),"|",COLUMN(BCTHBDVCSH_06615!B29),",0",",0")</f>
        <v>611651,29|2,0,0</v>
      </c>
      <c r="C29" t="str">
        <f>CONCATENATE(611803,",",ROW(BCTHBDVCSH_06615!C29),"|",COLUMN(BCTHBDVCSH_06615!C29),",0",",0")</f>
        <v>611803,29|3,0,0</v>
      </c>
      <c r="D29" t="str">
        <f>CONCATENATE(611764,",",ROW(BCTHBDVCSH_06615!D29),"|",COLUMN(BCTHBDVCSH_06615!D29),",0",",0")</f>
        <v>611764,29|4,0,0</v>
      </c>
      <c r="E29" t="str">
        <f>CONCATENATE(611561,",",ROW(BCTHBDVCSH_06615!E29),"|",COLUMN(BCTHBDVCSH_06615!E29),",0",",0")</f>
        <v>611561,29|5,0,0</v>
      </c>
      <c r="F29" t="str">
        <f>CONCATENATE(611726,",",ROW(BCTHBDVCSH_06615!F29),"|",COLUMN(BCTHBDVCSH_06615!F29),",0",",0")</f>
        <v>611726,29|6,0,0</v>
      </c>
      <c r="G29" t="str">
        <f>CONCATENATE(611788,",",ROW(BCTHBDVCSH_06615!G29),"|",COLUMN(BCTHBDVCSH_06615!G29),",0",",0")</f>
        <v>611788,29|7,0,0</v>
      </c>
      <c r="H29" t="str">
        <f>CONCATENATE(611698,",",ROW(BCTHBDVCSH_06615!H29),"|",COLUMN(BCTHBDVCSH_06615!H29),",0",",0")</f>
        <v>611698,29|8,0,0</v>
      </c>
      <c r="I29" t="str">
        <f>CONCATENATE(611704,",",ROW(BCTHBDVCSH_06615!I29),"|",COLUMN(BCTHBDVCSH_06615!I29),",0",",0")</f>
        <v>611704,29|9,0,0</v>
      </c>
      <c r="J29" t="str">
        <f>CONCATENATE(611606,",",ROW(BCTHBDVCSH_06615!J29),"|",COLUMN(BCTHBDVCSH_06615!J29),",0",",0")</f>
        <v>611606,29|10,0,0</v>
      </c>
      <c r="K29" t="str">
        <f>CONCATENATE(611576,",",ROW(BCTHBDVCSH_06615!K29),"|",COLUMN(BCTHBDVCSH_06615!K29),",0",",0")</f>
        <v>611576,29|11,0,0</v>
      </c>
    </row>
  </sheetData>
  <sheetProtection password="CB7D"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
  <sheetViews>
    <sheetView workbookViewId="0">
      <selection activeCell="A3" sqref="A3:H3"/>
    </sheetView>
  </sheetViews>
  <sheetFormatPr defaultRowHeight="15" x14ac:dyDescent="0.25"/>
  <cols>
    <col min="1" max="1" width="23.7109375" bestFit="1" customWidth="1"/>
    <col min="2" max="2" width="11.42578125" bestFit="1" customWidth="1"/>
    <col min="3" max="3" width="22" bestFit="1" customWidth="1"/>
    <col min="4" max="4" width="21.28515625" bestFit="1" customWidth="1"/>
    <col min="5" max="5" width="22" bestFit="1" customWidth="1"/>
    <col min="6" max="7" width="20.140625" bestFit="1" customWidth="1"/>
    <col min="8" max="8" width="21.7109375" bestFit="1" customWidth="1"/>
  </cols>
  <sheetData>
    <row r="1" spans="1:8" ht="20.25" x14ac:dyDescent="0.3">
      <c r="A1" s="2526" t="s">
        <v>8</v>
      </c>
      <c r="B1" s="2526" t="s">
        <v>5</v>
      </c>
      <c r="C1" s="2526" t="s">
        <v>5</v>
      </c>
      <c r="D1" s="2526" t="s">
        <v>5</v>
      </c>
      <c r="E1" s="2526" t="s">
        <v>5</v>
      </c>
      <c r="F1" s="2526" t="s">
        <v>5</v>
      </c>
      <c r="G1" s="2526" t="s">
        <v>5</v>
      </c>
      <c r="H1" s="2526" t="s">
        <v>5</v>
      </c>
    </row>
    <row r="2" spans="1:8" ht="18.75" x14ac:dyDescent="0.25">
      <c r="A2" s="37" t="s">
        <v>33</v>
      </c>
      <c r="B2" s="37" t="s">
        <v>34</v>
      </c>
      <c r="C2" s="37" t="s">
        <v>35</v>
      </c>
      <c r="D2" s="37" t="s">
        <v>36</v>
      </c>
      <c r="E2" s="37" t="s">
        <v>35</v>
      </c>
      <c r="F2" s="37" t="s">
        <v>37</v>
      </c>
      <c r="G2" s="37" t="s">
        <v>37</v>
      </c>
      <c r="H2" s="37" t="s">
        <v>38</v>
      </c>
    </row>
    <row r="3" spans="1:8" ht="33" x14ac:dyDescent="0.25">
      <c r="A3" s="38" t="s">
        <v>778</v>
      </c>
      <c r="B3" s="39"/>
      <c r="C3" s="40" t="s">
        <v>779</v>
      </c>
      <c r="D3" s="41" t="s">
        <v>780</v>
      </c>
      <c r="E3" s="42" t="s">
        <v>781</v>
      </c>
      <c r="F3" s="43">
        <v>44620</v>
      </c>
      <c r="G3" s="45">
        <v>44620</v>
      </c>
      <c r="H3" s="44" t="s">
        <v>782</v>
      </c>
    </row>
    <row r="4" spans="1:8" ht="16.5" x14ac:dyDescent="0.25">
      <c r="A4" s="36" t="s">
        <v>39</v>
      </c>
      <c r="B4" s="36" t="s">
        <v>5</v>
      </c>
      <c r="C4" s="36" t="s">
        <v>5</v>
      </c>
      <c r="D4" s="36" t="s">
        <v>5</v>
      </c>
      <c r="E4" s="36" t="s">
        <v>5</v>
      </c>
      <c r="F4" s="36" t="s">
        <v>5</v>
      </c>
      <c r="G4" s="36" t="s">
        <v>5</v>
      </c>
      <c r="H4" s="36" t="s">
        <v>5</v>
      </c>
    </row>
  </sheetData>
  <mergeCells count="1">
    <mergeCell ref="A1:H1"/>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
  <sheetViews>
    <sheetView workbookViewId="0"/>
  </sheetViews>
  <sheetFormatPr defaultRowHeight="15" x14ac:dyDescent="0.25"/>
  <cols>
    <col min="1" max="1" width="1" style="46" bestFit="1" customWidth="1"/>
    <col min="2" max="8" width="1" bestFit="1" customWidth="1"/>
  </cols>
  <sheetData>
    <row r="3" spans="1:8" x14ac:dyDescent="0.25">
      <c r="A3" t="str">
        <f>CONCATENATE(611806,",",ROW(KT_06618!A3),"|",COLUMN(KT_06618!A3),",1",",0")</f>
        <v>611806,3|1,1,0</v>
      </c>
      <c r="B3" t="str">
        <f>CONCATENATE(611807,",",ROW(KT_06618!B3),"|",COLUMN(KT_06618!B3),",1",",0")</f>
        <v>611807,3|2,1,0</v>
      </c>
      <c r="C3" t="str">
        <f>CONCATENATE(611808,",",ROW(KT_06618!C3),"|",COLUMN(KT_06618!C3),",1",",0")</f>
        <v>611808,3|3,1,0</v>
      </c>
      <c r="D3" t="str">
        <f>CONCATENATE(611809,",",ROW(KT_06618!D3),"|",COLUMN(KT_06618!D3),",1",",0")</f>
        <v>611809,3|4,1,0</v>
      </c>
      <c r="E3" t="str">
        <f>CONCATENATE(611810,",",ROW(KT_06618!E3),"|",COLUMN(KT_06618!E3),",1",",0")</f>
        <v>611810,3|5,1,0</v>
      </c>
      <c r="F3" t="str">
        <f>CONCATENATE(611811,",",ROW(KT_06618!F3),"|",COLUMN(KT_06618!F3),",1",",0")</f>
        <v>611811,3|6,1,0</v>
      </c>
      <c r="G3" t="str">
        <f>CONCATENATE(611813,",",ROW(KT_06618!G3),"|",COLUMN(KT_06618!G3),",1",",0")</f>
        <v>611813,3|7,1,0</v>
      </c>
      <c r="H3" t="str">
        <f>CONCATENATE(611812,",",ROW(KT_06618!H3),"|",COLUMN(KT_06618!H3),",1",",0")</f>
        <v>611812,3|8,1,0</v>
      </c>
    </row>
  </sheetData>
  <sheetProtection password="CB7D"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7"/>
  <sheetViews>
    <sheetView topLeftCell="A125" workbookViewId="0">
      <selection activeCell="D7" sqref="D7:E137"/>
    </sheetView>
  </sheetViews>
  <sheetFormatPr defaultRowHeight="15" x14ac:dyDescent="0.25"/>
  <cols>
    <col min="1" max="1" width="31.28515625" bestFit="1" customWidth="1"/>
    <col min="2" max="2" width="12.85546875" bestFit="1" customWidth="1"/>
    <col min="3" max="3" width="16.7109375" bestFit="1" customWidth="1"/>
    <col min="4" max="4" width="15.85546875" bestFit="1" customWidth="1"/>
    <col min="5" max="5" width="15.42578125" bestFit="1" customWidth="1"/>
  </cols>
  <sheetData>
    <row r="1" spans="1:5" ht="20.25" x14ac:dyDescent="0.3">
      <c r="A1" s="2527" t="s">
        <v>10</v>
      </c>
      <c r="B1" s="2527" t="s">
        <v>5</v>
      </c>
      <c r="C1" s="2527" t="s">
        <v>5</v>
      </c>
      <c r="D1" s="2527" t="s">
        <v>5</v>
      </c>
      <c r="E1" s="2527" t="s">
        <v>5</v>
      </c>
    </row>
    <row r="2" spans="1:5" ht="18.75" x14ac:dyDescent="0.3">
      <c r="A2" s="2528" t="s">
        <v>45</v>
      </c>
      <c r="B2" s="2528" t="s">
        <v>5</v>
      </c>
      <c r="C2" s="2528" t="s">
        <v>5</v>
      </c>
      <c r="D2" s="2528" t="s">
        <v>5</v>
      </c>
      <c r="E2" s="2528" t="s">
        <v>5</v>
      </c>
    </row>
    <row r="3" spans="1:5" ht="18.75" x14ac:dyDescent="0.3">
      <c r="A3" s="2528" t="s">
        <v>46</v>
      </c>
      <c r="B3" s="2528" t="s">
        <v>5</v>
      </c>
      <c r="C3" s="2528" t="s">
        <v>5</v>
      </c>
      <c r="D3" s="2528" t="s">
        <v>5</v>
      </c>
      <c r="E3" s="2528" t="s">
        <v>5</v>
      </c>
    </row>
    <row r="4" spans="1:5" ht="18.75" x14ac:dyDescent="0.25">
      <c r="A4" s="48" t="s">
        <v>40</v>
      </c>
      <c r="B4" s="48" t="s">
        <v>41</v>
      </c>
      <c r="C4" s="48" t="s">
        <v>42</v>
      </c>
      <c r="D4" s="48" t="s">
        <v>43</v>
      </c>
      <c r="E4" s="48" t="s">
        <v>44</v>
      </c>
    </row>
    <row r="5" spans="1:5" ht="16.5" x14ac:dyDescent="0.25">
      <c r="A5" s="675" t="s">
        <v>288</v>
      </c>
      <c r="B5" s="112" t="s">
        <v>74</v>
      </c>
      <c r="C5" s="659" t="s">
        <v>283</v>
      </c>
      <c r="D5" s="320" t="s">
        <v>147</v>
      </c>
      <c r="E5" s="660" t="s">
        <v>284</v>
      </c>
    </row>
    <row r="6" spans="1:5" ht="16.5" x14ac:dyDescent="0.25">
      <c r="A6" s="321" t="s">
        <v>148</v>
      </c>
      <c r="B6" s="47" t="s">
        <v>5</v>
      </c>
      <c r="C6" s="606"/>
      <c r="D6" s="518" t="s">
        <v>5</v>
      </c>
      <c r="E6" s="392" t="s">
        <v>5</v>
      </c>
    </row>
    <row r="7" spans="1:5" ht="33" x14ac:dyDescent="0.25">
      <c r="A7" s="322" t="s">
        <v>149</v>
      </c>
      <c r="B7" s="620" t="s">
        <v>268</v>
      </c>
      <c r="C7" s="299"/>
      <c r="D7" s="198">
        <v>3825216770693</v>
      </c>
      <c r="E7" s="690">
        <v>4229666258782</v>
      </c>
    </row>
    <row r="8" spans="1:5" ht="16.5" x14ac:dyDescent="0.25">
      <c r="A8" s="90" t="s">
        <v>53</v>
      </c>
      <c r="B8" s="707" t="s">
        <v>305</v>
      </c>
      <c r="C8" s="520"/>
      <c r="D8" s="393">
        <v>3820653422605</v>
      </c>
      <c r="E8" s="353">
        <v>4224777661402</v>
      </c>
    </row>
    <row r="9" spans="1:5" ht="33" x14ac:dyDescent="0.25">
      <c r="A9" s="323" t="s">
        <v>150</v>
      </c>
      <c r="B9" s="442" t="s">
        <v>183</v>
      </c>
      <c r="C9" s="310"/>
      <c r="D9" s="565">
        <v>1153935140644</v>
      </c>
      <c r="E9" s="51">
        <v>82208573990</v>
      </c>
    </row>
    <row r="10" spans="1:5" ht="16.5" x14ac:dyDescent="0.25">
      <c r="A10" s="91" t="s">
        <v>54</v>
      </c>
      <c r="B10" s="708" t="s">
        <v>306</v>
      </c>
      <c r="C10" s="521"/>
      <c r="D10" s="394">
        <v>403935140644</v>
      </c>
      <c r="E10" s="661">
        <v>82208573990</v>
      </c>
    </row>
    <row r="11" spans="1:5" ht="33" x14ac:dyDescent="0.25">
      <c r="A11" s="170" t="s">
        <v>78</v>
      </c>
      <c r="B11" s="343" t="s">
        <v>168</v>
      </c>
      <c r="C11" s="578"/>
      <c r="D11" s="237">
        <v>750000000000</v>
      </c>
      <c r="E11" s="229">
        <v>0</v>
      </c>
    </row>
    <row r="12" spans="1:5" ht="33" x14ac:dyDescent="0.25">
      <c r="A12" s="92" t="s">
        <v>55</v>
      </c>
      <c r="B12" s="257" t="s">
        <v>110</v>
      </c>
      <c r="C12" s="522"/>
      <c r="D12" s="395">
        <v>0</v>
      </c>
      <c r="E12" s="662">
        <v>136416700</v>
      </c>
    </row>
    <row r="13" spans="1:5" ht="33" x14ac:dyDescent="0.25">
      <c r="A13" s="324" t="s">
        <v>151</v>
      </c>
      <c r="B13" s="443" t="s">
        <v>184</v>
      </c>
      <c r="C13" s="311"/>
      <c r="D13" s="519">
        <v>400000000000</v>
      </c>
      <c r="E13" s="52">
        <v>210000000000</v>
      </c>
    </row>
    <row r="14" spans="1:5" ht="16.5" x14ac:dyDescent="0.25">
      <c r="A14" s="325" t="s">
        <v>152</v>
      </c>
      <c r="B14" s="258" t="s">
        <v>111</v>
      </c>
      <c r="C14" s="312"/>
      <c r="D14" s="496">
        <v>2232569027494</v>
      </c>
      <c r="E14" s="53">
        <v>3896490681032</v>
      </c>
    </row>
    <row r="15" spans="1:5" ht="33" x14ac:dyDescent="0.25">
      <c r="A15" s="93" t="s">
        <v>56</v>
      </c>
      <c r="B15" s="344" t="s">
        <v>169</v>
      </c>
      <c r="C15" s="523"/>
      <c r="D15" s="396">
        <v>0</v>
      </c>
      <c r="E15" s="663">
        <v>0</v>
      </c>
    </row>
    <row r="16" spans="1:5" ht="66" x14ac:dyDescent="0.25">
      <c r="A16" s="326" t="s">
        <v>153</v>
      </c>
      <c r="B16" s="709" t="s">
        <v>307</v>
      </c>
      <c r="C16" s="313"/>
      <c r="D16" s="497">
        <v>-2487280054</v>
      </c>
      <c r="E16" s="54">
        <v>-2487280054</v>
      </c>
    </row>
    <row r="17" spans="1:5" ht="16.5" x14ac:dyDescent="0.25">
      <c r="A17" s="94" t="s">
        <v>57</v>
      </c>
      <c r="B17" s="259" t="s">
        <v>112</v>
      </c>
      <c r="C17" s="524"/>
      <c r="D17" s="622">
        <v>33967655244</v>
      </c>
      <c r="E17" s="665">
        <v>35558137515</v>
      </c>
    </row>
    <row r="18" spans="1:5" ht="33" x14ac:dyDescent="0.25">
      <c r="A18" s="95" t="s">
        <v>58</v>
      </c>
      <c r="B18" s="710" t="s">
        <v>308</v>
      </c>
      <c r="C18" s="525"/>
      <c r="D18" s="478" t="s">
        <v>5</v>
      </c>
      <c r="E18" s="666" t="s">
        <v>5</v>
      </c>
    </row>
    <row r="19" spans="1:5" ht="49.5" x14ac:dyDescent="0.25">
      <c r="A19" s="676" t="s">
        <v>289</v>
      </c>
      <c r="B19" s="290" t="s">
        <v>141</v>
      </c>
      <c r="C19" s="314"/>
      <c r="D19" s="498">
        <v>33967655244</v>
      </c>
      <c r="E19" s="55">
        <v>35558137515</v>
      </c>
    </row>
    <row r="20" spans="1:5" ht="33" x14ac:dyDescent="0.25">
      <c r="A20" s="327" t="s">
        <v>154</v>
      </c>
      <c r="B20" s="209" t="s">
        <v>85</v>
      </c>
      <c r="C20" s="629"/>
      <c r="D20" s="238">
        <v>21616120999</v>
      </c>
      <c r="E20" s="230">
        <v>29212301899</v>
      </c>
    </row>
    <row r="21" spans="1:5" ht="33" x14ac:dyDescent="0.25">
      <c r="A21" s="171" t="s">
        <v>79</v>
      </c>
      <c r="B21" s="444" t="s">
        <v>185</v>
      </c>
      <c r="C21" s="315"/>
      <c r="D21" s="499">
        <v>12351534245</v>
      </c>
      <c r="E21" s="56">
        <v>6345835616</v>
      </c>
    </row>
    <row r="22" spans="1:5" ht="16.5" x14ac:dyDescent="0.25">
      <c r="A22" s="677" t="s">
        <v>290</v>
      </c>
      <c r="B22" s="599" t="s">
        <v>250</v>
      </c>
      <c r="C22" s="316"/>
      <c r="D22" s="500">
        <v>1742104054</v>
      </c>
      <c r="E22" s="57">
        <v>2292449831</v>
      </c>
    </row>
    <row r="23" spans="1:5" ht="33" x14ac:dyDescent="0.25">
      <c r="A23" s="96" t="s">
        <v>59</v>
      </c>
      <c r="B23" s="210" t="s">
        <v>86</v>
      </c>
      <c r="C23" s="303"/>
      <c r="D23" s="479">
        <v>746362923</v>
      </c>
      <c r="E23" s="667">
        <v>575600999</v>
      </c>
    </row>
    <row r="24" spans="1:5" ht="16.5" x14ac:dyDescent="0.25">
      <c r="A24" s="172" t="s">
        <v>80</v>
      </c>
      <c r="B24" s="600" t="s">
        <v>251</v>
      </c>
      <c r="C24" s="317"/>
      <c r="D24" s="501" t="s">
        <v>5</v>
      </c>
      <c r="E24" s="58" t="s">
        <v>5</v>
      </c>
    </row>
    <row r="25" spans="1:5" ht="33" x14ac:dyDescent="0.25">
      <c r="A25" s="97" t="s">
        <v>60</v>
      </c>
      <c r="B25" s="601" t="s">
        <v>252</v>
      </c>
      <c r="C25" s="526"/>
      <c r="D25" s="480" t="s">
        <v>5</v>
      </c>
      <c r="E25" s="668" t="s">
        <v>5</v>
      </c>
    </row>
    <row r="26" spans="1:5" ht="16.5" x14ac:dyDescent="0.25">
      <c r="A26" s="328" t="s">
        <v>155</v>
      </c>
      <c r="B26" s="260" t="s">
        <v>113</v>
      </c>
      <c r="C26" s="318"/>
      <c r="D26" s="67">
        <v>5624476207</v>
      </c>
      <c r="E26" s="59">
        <v>5447222008</v>
      </c>
    </row>
    <row r="27" spans="1:5" ht="33" x14ac:dyDescent="0.25">
      <c r="A27" s="678" t="s">
        <v>291</v>
      </c>
      <c r="B27" s="261" t="s">
        <v>114</v>
      </c>
      <c r="C27" s="319"/>
      <c r="D27" s="68">
        <v>-5444063907</v>
      </c>
      <c r="E27" s="60">
        <v>-5444140619</v>
      </c>
    </row>
    <row r="28" spans="1:5" ht="16.5" x14ac:dyDescent="0.25">
      <c r="A28" s="679" t="s">
        <v>292</v>
      </c>
      <c r="B28" s="664" t="s">
        <v>285</v>
      </c>
      <c r="C28" s="630"/>
      <c r="D28" s="243">
        <v>4563348088</v>
      </c>
      <c r="E28" s="387">
        <v>4888597380</v>
      </c>
    </row>
    <row r="29" spans="1:5" ht="16.5" x14ac:dyDescent="0.25">
      <c r="A29" s="173" t="s">
        <v>81</v>
      </c>
      <c r="B29" s="291" t="s">
        <v>142</v>
      </c>
      <c r="C29" s="114"/>
      <c r="D29" s="69">
        <v>760847576</v>
      </c>
      <c r="E29" s="61">
        <v>43286370</v>
      </c>
    </row>
    <row r="30" spans="1:5" ht="33" x14ac:dyDescent="0.25">
      <c r="A30" s="174" t="s">
        <v>82</v>
      </c>
      <c r="B30" s="445" t="s">
        <v>186</v>
      </c>
      <c r="C30" s="580"/>
      <c r="D30" s="70" t="s">
        <v>5</v>
      </c>
      <c r="E30" s="62" t="s">
        <v>5</v>
      </c>
    </row>
    <row r="31" spans="1:5" ht="16.5" x14ac:dyDescent="0.25">
      <c r="A31" s="222" t="s">
        <v>98</v>
      </c>
      <c r="B31" s="211" t="s">
        <v>87</v>
      </c>
      <c r="C31" s="631"/>
      <c r="D31" s="244">
        <v>3802500512</v>
      </c>
      <c r="E31" s="432">
        <v>4845311010</v>
      </c>
    </row>
    <row r="32" spans="1:5" ht="33" x14ac:dyDescent="0.25">
      <c r="A32" s="342" t="s">
        <v>167</v>
      </c>
      <c r="B32" s="262" t="s">
        <v>115</v>
      </c>
      <c r="C32" s="577"/>
      <c r="D32" s="236" t="s">
        <v>5</v>
      </c>
      <c r="E32" s="228" t="s">
        <v>5</v>
      </c>
    </row>
    <row r="33" spans="1:5" ht="33" x14ac:dyDescent="0.25">
      <c r="A33" s="175" t="s">
        <v>83</v>
      </c>
      <c r="B33" s="446" t="s">
        <v>187</v>
      </c>
      <c r="C33" s="581"/>
      <c r="D33" s="71" t="s">
        <v>5</v>
      </c>
      <c r="E33" s="63" t="s">
        <v>5</v>
      </c>
    </row>
    <row r="34" spans="1:5" ht="33" x14ac:dyDescent="0.25">
      <c r="A34" s="329" t="s">
        <v>156</v>
      </c>
      <c r="B34" s="602" t="s">
        <v>253</v>
      </c>
      <c r="C34" s="582"/>
      <c r="D34" s="72" t="s">
        <v>5</v>
      </c>
      <c r="E34" s="151" t="s">
        <v>5</v>
      </c>
    </row>
    <row r="35" spans="1:5" ht="16.5" x14ac:dyDescent="0.25">
      <c r="A35" s="176" t="s">
        <v>84</v>
      </c>
      <c r="B35" s="447" t="s">
        <v>188</v>
      </c>
      <c r="C35" s="583"/>
      <c r="D35" s="73" t="s">
        <v>5</v>
      </c>
      <c r="E35" s="152" t="s">
        <v>5</v>
      </c>
    </row>
    <row r="36" spans="1:5" ht="33" x14ac:dyDescent="0.25">
      <c r="A36" s="330" t="s">
        <v>157</v>
      </c>
      <c r="B36" s="292" t="s">
        <v>143</v>
      </c>
      <c r="C36" s="584"/>
      <c r="D36" s="74" t="s">
        <v>5</v>
      </c>
      <c r="E36" s="153" t="s">
        <v>5</v>
      </c>
    </row>
    <row r="37" spans="1:5" ht="33" x14ac:dyDescent="0.25">
      <c r="A37" s="223" t="s">
        <v>99</v>
      </c>
      <c r="B37" s="212" t="s">
        <v>88</v>
      </c>
      <c r="C37" s="632"/>
      <c r="D37" s="245" t="s">
        <v>5</v>
      </c>
      <c r="E37" s="433" t="s">
        <v>5</v>
      </c>
    </row>
    <row r="38" spans="1:5" ht="49.5" x14ac:dyDescent="0.25">
      <c r="A38" s="98" t="s">
        <v>61</v>
      </c>
      <c r="B38" s="293" t="s">
        <v>144</v>
      </c>
      <c r="C38" s="527"/>
      <c r="D38" s="481">
        <v>72583909902</v>
      </c>
      <c r="E38" s="669">
        <v>76639195712</v>
      </c>
    </row>
    <row r="39" spans="1:5" ht="16.5" x14ac:dyDescent="0.25">
      <c r="A39" s="331" t="s">
        <v>158</v>
      </c>
      <c r="B39" s="294" t="s">
        <v>145</v>
      </c>
      <c r="C39" s="280"/>
      <c r="D39" s="75" t="s">
        <v>5</v>
      </c>
      <c r="E39" s="154" t="s">
        <v>5</v>
      </c>
    </row>
    <row r="40" spans="1:5" ht="16.5" x14ac:dyDescent="0.25">
      <c r="A40" s="272" t="s">
        <v>125</v>
      </c>
      <c r="B40" s="213" t="s">
        <v>89</v>
      </c>
      <c r="C40" s="633"/>
      <c r="D40" s="246" t="s">
        <v>5</v>
      </c>
      <c r="E40" s="434" t="s">
        <v>5</v>
      </c>
    </row>
    <row r="41" spans="1:5" ht="16.5" x14ac:dyDescent="0.25">
      <c r="A41" s="332" t="s">
        <v>159</v>
      </c>
      <c r="B41" s="603" t="s">
        <v>254</v>
      </c>
      <c r="C41" s="585"/>
      <c r="D41" s="76" t="s">
        <v>5</v>
      </c>
      <c r="E41" s="155" t="s">
        <v>5</v>
      </c>
    </row>
    <row r="42" spans="1:5" ht="33" x14ac:dyDescent="0.25">
      <c r="A42" s="224" t="s">
        <v>100</v>
      </c>
      <c r="B42" s="547" t="s">
        <v>231</v>
      </c>
      <c r="C42" s="300"/>
      <c r="D42" s="199" t="s">
        <v>5</v>
      </c>
      <c r="E42" s="691" t="s">
        <v>5</v>
      </c>
    </row>
    <row r="43" spans="1:5" ht="16.5" x14ac:dyDescent="0.25">
      <c r="A43" s="239" t="s">
        <v>101</v>
      </c>
      <c r="B43" s="548" t="s">
        <v>232</v>
      </c>
      <c r="C43" s="586"/>
      <c r="D43" s="77" t="s">
        <v>5</v>
      </c>
      <c r="E43" s="156" t="s">
        <v>5</v>
      </c>
    </row>
    <row r="44" spans="1:5" ht="33" x14ac:dyDescent="0.25">
      <c r="A44" s="99" t="s">
        <v>62</v>
      </c>
      <c r="B44" s="549" t="s">
        <v>233</v>
      </c>
      <c r="C44" s="528"/>
      <c r="D44" s="482" t="s">
        <v>5</v>
      </c>
      <c r="E44" s="670" t="s">
        <v>5</v>
      </c>
    </row>
    <row r="45" spans="1:5" ht="16.5" x14ac:dyDescent="0.25">
      <c r="A45" s="563" t="s">
        <v>247</v>
      </c>
      <c r="B45" s="448" t="s">
        <v>189</v>
      </c>
      <c r="C45" s="301"/>
      <c r="D45" s="200" t="s">
        <v>5</v>
      </c>
      <c r="E45" s="692" t="s">
        <v>5</v>
      </c>
    </row>
    <row r="46" spans="1:5" ht="33" x14ac:dyDescent="0.25">
      <c r="A46" s="624" t="s">
        <v>269</v>
      </c>
      <c r="B46" s="263" t="s">
        <v>116</v>
      </c>
      <c r="C46" s="302"/>
      <c r="D46" s="201" t="s">
        <v>5</v>
      </c>
      <c r="E46" s="693" t="s">
        <v>5</v>
      </c>
    </row>
    <row r="47" spans="1:5" ht="16.5" x14ac:dyDescent="0.25">
      <c r="A47" s="625" t="s">
        <v>270</v>
      </c>
      <c r="B47" s="550" t="s">
        <v>234</v>
      </c>
      <c r="C47" s="304"/>
      <c r="D47" s="202">
        <v>35160709319</v>
      </c>
      <c r="E47" s="694">
        <v>27082762717</v>
      </c>
    </row>
    <row r="48" spans="1:5" ht="16.5" x14ac:dyDescent="0.25">
      <c r="A48" s="333" t="s">
        <v>160</v>
      </c>
      <c r="B48" s="362" t="s">
        <v>170</v>
      </c>
      <c r="C48" s="588"/>
      <c r="D48" s="78">
        <v>21302210523</v>
      </c>
      <c r="E48" s="157">
        <v>15152193000</v>
      </c>
    </row>
    <row r="49" spans="1:5" ht="16.5" x14ac:dyDescent="0.25">
      <c r="A49" s="334" t="s">
        <v>64</v>
      </c>
      <c r="B49" s="551" t="s">
        <v>235</v>
      </c>
      <c r="C49" s="467"/>
      <c r="D49" s="79">
        <v>64455486860</v>
      </c>
      <c r="E49" s="158">
        <v>55656638297</v>
      </c>
    </row>
    <row r="50" spans="1:5" ht="16.5" x14ac:dyDescent="0.25">
      <c r="A50" s="240" t="s">
        <v>102</v>
      </c>
      <c r="B50" s="552" t="s">
        <v>236</v>
      </c>
      <c r="C50" s="406"/>
      <c r="D50" s="80">
        <v>-43153276337</v>
      </c>
      <c r="E50" s="159">
        <v>-40504445297</v>
      </c>
    </row>
    <row r="51" spans="1:5" ht="33" x14ac:dyDescent="0.25">
      <c r="A51" s="64" t="s">
        <v>47</v>
      </c>
      <c r="B51" s="553" t="s">
        <v>237</v>
      </c>
      <c r="C51" s="407"/>
      <c r="D51" s="81" t="s">
        <v>5</v>
      </c>
      <c r="E51" s="160" t="s">
        <v>5</v>
      </c>
    </row>
    <row r="52" spans="1:5" ht="33" x14ac:dyDescent="0.25">
      <c r="A52" s="100" t="s">
        <v>63</v>
      </c>
      <c r="B52" s="554" t="s">
        <v>238</v>
      </c>
      <c r="C52" s="529"/>
      <c r="D52" s="483" t="s">
        <v>5</v>
      </c>
      <c r="E52" s="671" t="s">
        <v>5</v>
      </c>
    </row>
    <row r="53" spans="1:5" ht="16.5" x14ac:dyDescent="0.25">
      <c r="A53" s="101" t="s">
        <v>64</v>
      </c>
      <c r="B53" s="214" t="s">
        <v>90</v>
      </c>
      <c r="C53" s="530"/>
      <c r="D53" s="484" t="s">
        <v>5</v>
      </c>
      <c r="E53" s="672" t="s">
        <v>5</v>
      </c>
    </row>
    <row r="54" spans="1:5" ht="16.5" x14ac:dyDescent="0.25">
      <c r="A54" s="335" t="s">
        <v>102</v>
      </c>
      <c r="B54" s="555" t="s">
        <v>239</v>
      </c>
      <c r="C54" s="408"/>
      <c r="D54" s="82" t="s">
        <v>5</v>
      </c>
      <c r="E54" s="161" t="s">
        <v>5</v>
      </c>
    </row>
    <row r="55" spans="1:5" ht="33" x14ac:dyDescent="0.25">
      <c r="A55" s="102" t="s">
        <v>65</v>
      </c>
      <c r="B55" s="449" t="s">
        <v>190</v>
      </c>
      <c r="C55" s="531"/>
      <c r="D55" s="485" t="s">
        <v>5</v>
      </c>
      <c r="E55" s="589" t="s">
        <v>5</v>
      </c>
    </row>
    <row r="56" spans="1:5" ht="16.5" x14ac:dyDescent="0.25">
      <c r="A56" s="103" t="s">
        <v>66</v>
      </c>
      <c r="B56" s="264" t="s">
        <v>117</v>
      </c>
      <c r="C56" s="532"/>
      <c r="D56" s="486">
        <v>13858498796</v>
      </c>
      <c r="E56" s="590">
        <v>11930569717</v>
      </c>
    </row>
    <row r="57" spans="1:5" ht="16.5" x14ac:dyDescent="0.25">
      <c r="A57" s="104" t="s">
        <v>67</v>
      </c>
      <c r="B57" s="556" t="s">
        <v>240</v>
      </c>
      <c r="C57" s="533"/>
      <c r="D57" s="149">
        <v>30850770540</v>
      </c>
      <c r="E57" s="591">
        <v>32873786811</v>
      </c>
    </row>
    <row r="58" spans="1:5" ht="16.5" x14ac:dyDescent="0.25">
      <c r="A58" s="254" t="s">
        <v>48</v>
      </c>
      <c r="B58" s="450" t="s">
        <v>191</v>
      </c>
      <c r="C58" s="409"/>
      <c r="D58" s="83">
        <v>-16992271744</v>
      </c>
      <c r="E58" s="162">
        <v>-20943217094</v>
      </c>
    </row>
    <row r="59" spans="1:5" ht="33" x14ac:dyDescent="0.25">
      <c r="A59" s="273" t="s">
        <v>126</v>
      </c>
      <c r="B59" s="557" t="s">
        <v>241</v>
      </c>
      <c r="C59" s="410"/>
      <c r="D59" s="84" t="s">
        <v>5</v>
      </c>
      <c r="E59" s="163" t="s">
        <v>5</v>
      </c>
    </row>
    <row r="60" spans="1:5" ht="16.5" x14ac:dyDescent="0.25">
      <c r="A60" s="626" t="s">
        <v>271</v>
      </c>
      <c r="B60" s="558" t="s">
        <v>242</v>
      </c>
      <c r="C60" s="305"/>
      <c r="D60" s="203" t="s">
        <v>5</v>
      </c>
      <c r="E60" s="695" t="s">
        <v>5</v>
      </c>
    </row>
    <row r="61" spans="1:5" ht="16.5" x14ac:dyDescent="0.25">
      <c r="A61" s="105" t="s">
        <v>67</v>
      </c>
      <c r="B61" s="451" t="s">
        <v>192</v>
      </c>
      <c r="C61" s="534"/>
      <c r="D61" s="150" t="s">
        <v>5</v>
      </c>
      <c r="E61" s="592" t="s">
        <v>5</v>
      </c>
    </row>
    <row r="62" spans="1:5" ht="16.5" x14ac:dyDescent="0.25">
      <c r="A62" s="65" t="s">
        <v>48</v>
      </c>
      <c r="B62" s="559" t="s">
        <v>243</v>
      </c>
      <c r="C62" s="411"/>
      <c r="D62" s="85" t="s">
        <v>5</v>
      </c>
      <c r="E62" s="164" t="s">
        <v>5</v>
      </c>
    </row>
    <row r="63" spans="1:5" ht="33" x14ac:dyDescent="0.25">
      <c r="A63" s="627" t="s">
        <v>272</v>
      </c>
      <c r="B63" s="452" t="s">
        <v>193</v>
      </c>
      <c r="C63" s="306"/>
      <c r="D63" s="204" t="s">
        <v>5</v>
      </c>
      <c r="E63" s="696" t="s">
        <v>5</v>
      </c>
    </row>
    <row r="64" spans="1:5" ht="33" x14ac:dyDescent="0.25">
      <c r="A64" s="106" t="s">
        <v>68</v>
      </c>
      <c r="B64" s="215" t="s">
        <v>91</v>
      </c>
      <c r="C64" s="535"/>
      <c r="D64" s="397">
        <v>279750000</v>
      </c>
      <c r="E64" s="593">
        <v>15931740841</v>
      </c>
    </row>
    <row r="65" spans="1:5" ht="16.5" x14ac:dyDescent="0.25">
      <c r="A65" s="628" t="s">
        <v>273</v>
      </c>
      <c r="B65" s="265" t="s">
        <v>118</v>
      </c>
      <c r="C65" s="307"/>
      <c r="D65" s="205">
        <v>37143450583</v>
      </c>
      <c r="E65" s="697">
        <v>33624692154</v>
      </c>
    </row>
    <row r="66" spans="1:5" ht="33" x14ac:dyDescent="0.25">
      <c r="A66" s="107" t="s">
        <v>69</v>
      </c>
      <c r="B66" s="560" t="s">
        <v>244</v>
      </c>
      <c r="C66" s="536"/>
      <c r="D66" s="398">
        <v>5124009230</v>
      </c>
      <c r="E66" s="594">
        <v>4972841952</v>
      </c>
    </row>
    <row r="67" spans="1:5" ht="16.5" x14ac:dyDescent="0.25">
      <c r="A67" s="120" t="s">
        <v>76</v>
      </c>
      <c r="B67" s="453" t="s">
        <v>194</v>
      </c>
      <c r="C67" s="412"/>
      <c r="D67" s="142">
        <v>2666528374</v>
      </c>
      <c r="E67" s="166">
        <v>1813610434</v>
      </c>
    </row>
    <row r="68" spans="1:5" ht="33" x14ac:dyDescent="0.25">
      <c r="A68" s="282" t="s">
        <v>133</v>
      </c>
      <c r="B68" s="561" t="s">
        <v>245</v>
      </c>
      <c r="C68" s="413"/>
      <c r="D68" s="143">
        <v>195527936</v>
      </c>
      <c r="E68" s="167">
        <v>180854725</v>
      </c>
    </row>
    <row r="69" spans="1:5" ht="33" x14ac:dyDescent="0.25">
      <c r="A69" s="86" t="s">
        <v>49</v>
      </c>
      <c r="B69" s="562" t="s">
        <v>246</v>
      </c>
      <c r="C69" s="414"/>
      <c r="D69" s="566">
        <v>19157385043</v>
      </c>
      <c r="E69" s="168">
        <v>16657385043</v>
      </c>
    </row>
    <row r="70" spans="1:5" ht="16.5" x14ac:dyDescent="0.25">
      <c r="A70" s="274" t="s">
        <v>127</v>
      </c>
      <c r="B70" s="266" t="s">
        <v>119</v>
      </c>
      <c r="C70" s="415"/>
      <c r="D70" s="567">
        <v>10000000000</v>
      </c>
      <c r="E70" s="169">
        <v>10000000000</v>
      </c>
    </row>
    <row r="71" spans="1:5" ht="33" x14ac:dyDescent="0.25">
      <c r="A71" s="597" t="s">
        <v>248</v>
      </c>
      <c r="B71" s="487" t="s">
        <v>214</v>
      </c>
      <c r="C71" s="308"/>
      <c r="D71" s="206" t="s">
        <v>5</v>
      </c>
      <c r="E71" s="49" t="s">
        <v>5</v>
      </c>
    </row>
    <row r="72" spans="1:5" ht="16.5" x14ac:dyDescent="0.25">
      <c r="A72" s="113" t="s">
        <v>75</v>
      </c>
      <c r="B72" s="47" t="s">
        <v>5</v>
      </c>
      <c r="C72" s="146"/>
      <c r="D72" s="145" t="s">
        <v>5</v>
      </c>
      <c r="E72" s="623" t="s">
        <v>5</v>
      </c>
    </row>
    <row r="73" spans="1:5" ht="16.5" x14ac:dyDescent="0.25">
      <c r="A73" s="87" t="s">
        <v>50</v>
      </c>
      <c r="B73" s="454" t="s">
        <v>195</v>
      </c>
      <c r="C73" s="416"/>
      <c r="D73" s="568">
        <v>3897800680595</v>
      </c>
      <c r="E73" s="363">
        <v>4306305454494</v>
      </c>
    </row>
    <row r="74" spans="1:5" ht="16.5" x14ac:dyDescent="0.25">
      <c r="A74" s="88" t="s">
        <v>51</v>
      </c>
      <c r="B74" s="455" t="s">
        <v>196</v>
      </c>
      <c r="C74" s="417"/>
      <c r="D74" s="569">
        <v>1517890205238</v>
      </c>
      <c r="E74" s="364">
        <v>2053874345397</v>
      </c>
    </row>
    <row r="75" spans="1:5" ht="16.5" x14ac:dyDescent="0.25">
      <c r="A75" s="283" t="s">
        <v>134</v>
      </c>
      <c r="B75" s="488" t="s">
        <v>215</v>
      </c>
      <c r="C75" s="418"/>
      <c r="D75" s="115">
        <v>1515890205238</v>
      </c>
      <c r="E75" s="365">
        <v>2051874345397</v>
      </c>
    </row>
    <row r="76" spans="1:5" ht="33" x14ac:dyDescent="0.25">
      <c r="A76" s="598" t="s">
        <v>249</v>
      </c>
      <c r="B76" s="456" t="s">
        <v>197</v>
      </c>
      <c r="C76" s="309"/>
      <c r="D76" s="207">
        <v>1425134000000</v>
      </c>
      <c r="E76" s="50">
        <v>1960162503665</v>
      </c>
    </row>
    <row r="77" spans="1:5" ht="16.5" x14ac:dyDescent="0.25">
      <c r="A77" s="284" t="s">
        <v>135</v>
      </c>
      <c r="B77" s="489" t="s">
        <v>216</v>
      </c>
      <c r="C77" s="419"/>
      <c r="D77" s="116">
        <v>1425134000000</v>
      </c>
      <c r="E77" s="366">
        <v>1960162503665</v>
      </c>
    </row>
    <row r="78" spans="1:5" ht="33" x14ac:dyDescent="0.25">
      <c r="A78" s="608" t="s">
        <v>256</v>
      </c>
      <c r="B78" s="457" t="s">
        <v>198</v>
      </c>
      <c r="C78" s="420"/>
      <c r="D78" s="117" t="s">
        <v>5</v>
      </c>
      <c r="E78" s="367" t="s">
        <v>5</v>
      </c>
    </row>
    <row r="79" spans="1:5" ht="33" x14ac:dyDescent="0.25">
      <c r="A79" s="680" t="s">
        <v>293</v>
      </c>
      <c r="B79" s="458" t="s">
        <v>199</v>
      </c>
      <c r="C79" s="421"/>
      <c r="D79" s="118" t="s">
        <v>5</v>
      </c>
      <c r="E79" s="368" t="s">
        <v>5</v>
      </c>
    </row>
    <row r="80" spans="1:5" ht="33" x14ac:dyDescent="0.25">
      <c r="A80" s="403" t="s">
        <v>176</v>
      </c>
      <c r="B80" s="268" t="s">
        <v>121</v>
      </c>
      <c r="C80" s="296"/>
      <c r="D80" s="195" t="s">
        <v>5</v>
      </c>
      <c r="E80" s="687" t="s">
        <v>5</v>
      </c>
    </row>
    <row r="81" spans="1:5" ht="33" x14ac:dyDescent="0.25">
      <c r="A81" s="404" t="s">
        <v>177</v>
      </c>
      <c r="B81" s="459" t="s">
        <v>200</v>
      </c>
      <c r="C81" s="297"/>
      <c r="D81" s="196" t="s">
        <v>5</v>
      </c>
      <c r="E81" s="688" t="s">
        <v>5</v>
      </c>
    </row>
    <row r="82" spans="1:5" ht="16.5" x14ac:dyDescent="0.25">
      <c r="A82" s="405" t="s">
        <v>178</v>
      </c>
      <c r="B82" s="269" t="s">
        <v>122</v>
      </c>
      <c r="C82" s="298"/>
      <c r="D82" s="197" t="s">
        <v>5</v>
      </c>
      <c r="E82" s="689" t="s">
        <v>5</v>
      </c>
    </row>
    <row r="83" spans="1:5" ht="33" x14ac:dyDescent="0.25">
      <c r="A83" s="673" t="s">
        <v>286</v>
      </c>
      <c r="B83" s="490" t="s">
        <v>217</v>
      </c>
      <c r="C83" s="422"/>
      <c r="D83" s="119">
        <v>6023715874</v>
      </c>
      <c r="E83" s="369">
        <v>7390359869</v>
      </c>
    </row>
    <row r="84" spans="1:5" ht="33" x14ac:dyDescent="0.25">
      <c r="A84" s="336" t="s">
        <v>161</v>
      </c>
      <c r="B84" s="491" t="s">
        <v>218</v>
      </c>
      <c r="C84" s="423"/>
      <c r="D84" s="587">
        <v>0</v>
      </c>
      <c r="E84" s="370">
        <v>0</v>
      </c>
    </row>
    <row r="85" spans="1:5" ht="16.5" x14ac:dyDescent="0.25">
      <c r="A85" s="337" t="s">
        <v>162</v>
      </c>
      <c r="B85" s="493" t="s">
        <v>220</v>
      </c>
      <c r="C85" s="424"/>
      <c r="D85" s="502">
        <v>167805000</v>
      </c>
      <c r="E85" s="371">
        <v>18676119</v>
      </c>
    </row>
    <row r="86" spans="1:5" ht="33" x14ac:dyDescent="0.25">
      <c r="A86" s="338" t="s">
        <v>163</v>
      </c>
      <c r="B86" s="460" t="s">
        <v>201</v>
      </c>
      <c r="C86" s="425"/>
      <c r="D86" s="503">
        <v>0</v>
      </c>
      <c r="E86" s="372">
        <v>0</v>
      </c>
    </row>
    <row r="87" spans="1:5" ht="33" x14ac:dyDescent="0.25">
      <c r="A87" s="339" t="s">
        <v>164</v>
      </c>
      <c r="B87" s="494" t="s">
        <v>221</v>
      </c>
      <c r="C87" s="426"/>
      <c r="D87" s="504">
        <v>20246530957</v>
      </c>
      <c r="E87" s="373">
        <v>25433107035</v>
      </c>
    </row>
    <row r="88" spans="1:5" ht="16.5" x14ac:dyDescent="0.25">
      <c r="A88" s="340" t="s">
        <v>165</v>
      </c>
      <c r="B88" s="495" t="s">
        <v>222</v>
      </c>
      <c r="C88" s="427"/>
      <c r="D88" s="505">
        <v>36077163396</v>
      </c>
      <c r="E88" s="374">
        <v>46391617629</v>
      </c>
    </row>
    <row r="89" spans="1:5" ht="33" x14ac:dyDescent="0.25">
      <c r="A89" s="341" t="s">
        <v>166</v>
      </c>
      <c r="B89" s="468" t="s">
        <v>208</v>
      </c>
      <c r="C89" s="281"/>
      <c r="D89" s="506">
        <v>731419675</v>
      </c>
      <c r="E89" s="375">
        <v>740664002</v>
      </c>
    </row>
    <row r="90" spans="1:5" ht="16.5" x14ac:dyDescent="0.25">
      <c r="A90" s="385" t="s">
        <v>171</v>
      </c>
      <c r="B90" s="469" t="s">
        <v>209</v>
      </c>
      <c r="C90" s="135"/>
      <c r="D90" s="507">
        <v>26296013097</v>
      </c>
      <c r="E90" s="377">
        <v>10411094865</v>
      </c>
    </row>
    <row r="91" spans="1:5" ht="16.5" x14ac:dyDescent="0.25">
      <c r="A91" s="386" t="s">
        <v>172</v>
      </c>
      <c r="B91" s="461" t="s">
        <v>202</v>
      </c>
      <c r="C91" s="136"/>
      <c r="D91" s="508" t="s">
        <v>5</v>
      </c>
      <c r="E91" s="378" t="s">
        <v>5</v>
      </c>
    </row>
    <row r="92" spans="1:5" ht="33" x14ac:dyDescent="0.25">
      <c r="A92" s="108" t="s">
        <v>70</v>
      </c>
      <c r="B92" s="470" t="s">
        <v>210</v>
      </c>
      <c r="C92" s="537"/>
      <c r="D92" s="399" t="s">
        <v>5</v>
      </c>
      <c r="E92" s="595" t="s">
        <v>5</v>
      </c>
    </row>
    <row r="93" spans="1:5" ht="33" x14ac:dyDescent="0.25">
      <c r="A93" s="109" t="s">
        <v>71</v>
      </c>
      <c r="B93" s="216" t="s">
        <v>92</v>
      </c>
      <c r="C93" s="579"/>
      <c r="D93" s="400" t="s">
        <v>5</v>
      </c>
      <c r="E93" s="596" t="s">
        <v>5</v>
      </c>
    </row>
    <row r="94" spans="1:5" ht="33" x14ac:dyDescent="0.25">
      <c r="A94" s="285" t="s">
        <v>136</v>
      </c>
      <c r="B94" s="471" t="s">
        <v>211</v>
      </c>
      <c r="C94" s="137"/>
      <c r="D94" s="509">
        <v>28435047</v>
      </c>
      <c r="E94" s="379">
        <v>141200021</v>
      </c>
    </row>
    <row r="95" spans="1:5" ht="33" x14ac:dyDescent="0.25">
      <c r="A95" s="428" t="s">
        <v>179</v>
      </c>
      <c r="B95" s="217" t="s">
        <v>93</v>
      </c>
      <c r="C95" s="634"/>
      <c r="D95" s="247">
        <v>0</v>
      </c>
      <c r="E95" s="435">
        <v>0</v>
      </c>
    </row>
    <row r="96" spans="1:5" ht="16.5" x14ac:dyDescent="0.25">
      <c r="A96" s="110" t="s">
        <v>72</v>
      </c>
      <c r="B96" s="462" t="s">
        <v>203</v>
      </c>
      <c r="C96" s="429"/>
      <c r="D96" s="401">
        <v>1185122192</v>
      </c>
      <c r="E96" s="130">
        <v>1185122192</v>
      </c>
    </row>
    <row r="97" spans="1:5" ht="33" x14ac:dyDescent="0.25">
      <c r="A97" s="698" t="s">
        <v>296</v>
      </c>
      <c r="B97" s="218" t="s">
        <v>94</v>
      </c>
      <c r="C97" s="635"/>
      <c r="D97" s="248">
        <v>0</v>
      </c>
      <c r="E97" s="436">
        <v>0</v>
      </c>
    </row>
    <row r="98" spans="1:5" ht="16.5" x14ac:dyDescent="0.25">
      <c r="A98" s="607" t="s">
        <v>255</v>
      </c>
      <c r="B98" s="463" t="s">
        <v>204</v>
      </c>
      <c r="C98" s="138"/>
      <c r="D98" s="510">
        <v>2000000000</v>
      </c>
      <c r="E98" s="380">
        <v>2000000000</v>
      </c>
    </row>
    <row r="99" spans="1:5" ht="33" x14ac:dyDescent="0.25">
      <c r="A99" s="492" t="s">
        <v>219</v>
      </c>
      <c r="B99" s="270" t="s">
        <v>123</v>
      </c>
      <c r="C99" s="139"/>
      <c r="D99" s="511" t="s">
        <v>5</v>
      </c>
      <c r="E99" s="381" t="s">
        <v>5</v>
      </c>
    </row>
    <row r="100" spans="1:5" ht="16.5" x14ac:dyDescent="0.25">
      <c r="A100" s="286" t="s">
        <v>137</v>
      </c>
      <c r="B100" s="439" t="s">
        <v>180</v>
      </c>
      <c r="C100" s="140"/>
      <c r="D100" s="512" t="s">
        <v>5</v>
      </c>
      <c r="E100" s="382" t="s">
        <v>5</v>
      </c>
    </row>
    <row r="101" spans="1:5" ht="16.5" x14ac:dyDescent="0.25">
      <c r="A101" s="699" t="s">
        <v>297</v>
      </c>
      <c r="B101" s="441" t="s">
        <v>182</v>
      </c>
      <c r="C101" s="605"/>
      <c r="D101" s="517" t="s">
        <v>5</v>
      </c>
      <c r="E101" s="148" t="s">
        <v>5</v>
      </c>
    </row>
    <row r="102" spans="1:5" ht="16.5" x14ac:dyDescent="0.25">
      <c r="A102" s="700" t="s">
        <v>298</v>
      </c>
      <c r="B102" s="219" t="s">
        <v>95</v>
      </c>
      <c r="C102" s="636"/>
      <c r="D102" s="430" t="s">
        <v>5</v>
      </c>
      <c r="E102" s="437" t="s">
        <v>5</v>
      </c>
    </row>
    <row r="103" spans="1:5" ht="33" x14ac:dyDescent="0.25">
      <c r="A103" s="111" t="s">
        <v>73</v>
      </c>
      <c r="B103" s="464" t="s">
        <v>205</v>
      </c>
      <c r="C103" s="570"/>
      <c r="D103" s="402" t="s">
        <v>5</v>
      </c>
      <c r="E103" s="131" t="s">
        <v>5</v>
      </c>
    </row>
    <row r="104" spans="1:5" ht="16.5" x14ac:dyDescent="0.25">
      <c r="A104" s="609" t="s">
        <v>257</v>
      </c>
      <c r="B104" s="650" t="s">
        <v>274</v>
      </c>
      <c r="C104" s="141"/>
      <c r="D104" s="513" t="s">
        <v>5</v>
      </c>
      <c r="E104" s="383" t="s">
        <v>5</v>
      </c>
    </row>
    <row r="105" spans="1:5" ht="16.5" x14ac:dyDescent="0.25">
      <c r="A105" s="610" t="s">
        <v>258</v>
      </c>
      <c r="B105" s="465" t="s">
        <v>206</v>
      </c>
      <c r="C105" s="66"/>
      <c r="D105" s="514" t="s">
        <v>5</v>
      </c>
      <c r="E105" s="384" t="s">
        <v>5</v>
      </c>
    </row>
    <row r="106" spans="1:5" ht="33" x14ac:dyDescent="0.25">
      <c r="A106" s="287" t="s">
        <v>138</v>
      </c>
      <c r="B106" s="651" t="s">
        <v>275</v>
      </c>
      <c r="C106" s="604"/>
      <c r="D106" s="516" t="s">
        <v>5</v>
      </c>
      <c r="E106" s="391" t="s">
        <v>5</v>
      </c>
    </row>
    <row r="107" spans="1:5" ht="16.5" x14ac:dyDescent="0.25">
      <c r="A107" s="89" t="s">
        <v>52</v>
      </c>
      <c r="B107" s="466" t="s">
        <v>207</v>
      </c>
      <c r="C107" s="546"/>
      <c r="D107" s="515" t="s">
        <v>5</v>
      </c>
      <c r="E107" s="621" t="s">
        <v>5</v>
      </c>
    </row>
    <row r="108" spans="1:5" ht="16.5" x14ac:dyDescent="0.25">
      <c r="A108" s="249" t="s">
        <v>103</v>
      </c>
      <c r="B108" s="538" t="s">
        <v>223</v>
      </c>
      <c r="C108" s="571"/>
      <c r="D108" s="564" t="s">
        <v>5</v>
      </c>
      <c r="E108" s="132" t="s">
        <v>5</v>
      </c>
    </row>
    <row r="109" spans="1:5" ht="33" x14ac:dyDescent="0.25">
      <c r="A109" s="611" t="s">
        <v>259</v>
      </c>
      <c r="B109" s="652" t="s">
        <v>276</v>
      </c>
      <c r="C109" s="639"/>
      <c r="D109" s="241" t="s">
        <v>5</v>
      </c>
      <c r="E109" s="346" t="s">
        <v>5</v>
      </c>
    </row>
    <row r="110" spans="1:5" ht="33" x14ac:dyDescent="0.25">
      <c r="A110" s="612" t="s">
        <v>260</v>
      </c>
      <c r="B110" s="539" t="s">
        <v>224</v>
      </c>
      <c r="C110" s="640"/>
      <c r="D110" s="242" t="s">
        <v>5</v>
      </c>
      <c r="E110" s="347" t="s">
        <v>5</v>
      </c>
    </row>
    <row r="111" spans="1:5" ht="33" x14ac:dyDescent="0.25">
      <c r="A111" s="288" t="s">
        <v>139</v>
      </c>
      <c r="B111" s="540" t="s">
        <v>225</v>
      </c>
      <c r="C111" s="641"/>
      <c r="D111" s="177" t="s">
        <v>5</v>
      </c>
      <c r="E111" s="348" t="s">
        <v>5</v>
      </c>
    </row>
    <row r="112" spans="1:5" ht="16.5" x14ac:dyDescent="0.25">
      <c r="A112" s="252" t="s">
        <v>106</v>
      </c>
      <c r="B112" s="653" t="s">
        <v>277</v>
      </c>
      <c r="C112" s="642"/>
      <c r="D112" s="178" t="s">
        <v>5</v>
      </c>
      <c r="E112" s="349" t="s">
        <v>5</v>
      </c>
    </row>
    <row r="113" spans="1:5" ht="16.5" x14ac:dyDescent="0.25">
      <c r="A113" s="440" t="s">
        <v>181</v>
      </c>
      <c r="B113" s="541" t="s">
        <v>226</v>
      </c>
      <c r="C113" s="643"/>
      <c r="D113" s="179">
        <v>2000000000</v>
      </c>
      <c r="E113" s="350">
        <v>2000000000</v>
      </c>
    </row>
    <row r="114" spans="1:5" ht="33" x14ac:dyDescent="0.25">
      <c r="A114" s="250" t="s">
        <v>104</v>
      </c>
      <c r="B114" s="654" t="s">
        <v>278</v>
      </c>
      <c r="C114" s="572"/>
      <c r="D114" s="231" t="s">
        <v>5</v>
      </c>
      <c r="E114" s="133" t="s">
        <v>5</v>
      </c>
    </row>
    <row r="115" spans="1:5" ht="33" x14ac:dyDescent="0.25">
      <c r="A115" s="613" t="s">
        <v>261</v>
      </c>
      <c r="B115" s="271" t="s">
        <v>124</v>
      </c>
      <c r="C115" s="644"/>
      <c r="D115" s="180" t="s">
        <v>5</v>
      </c>
      <c r="E115" s="351" t="s">
        <v>5</v>
      </c>
    </row>
    <row r="116" spans="1:5" ht="16.5" x14ac:dyDescent="0.25">
      <c r="A116" s="165" t="s">
        <v>77</v>
      </c>
      <c r="B116" s="47" t="s">
        <v>5</v>
      </c>
      <c r="C116" s="144"/>
      <c r="D116" s="477" t="s">
        <v>5</v>
      </c>
      <c r="E116" s="147" t="s">
        <v>5</v>
      </c>
    </row>
    <row r="117" spans="1:5" ht="16.5" x14ac:dyDescent="0.25">
      <c r="A117" s="701" t="s">
        <v>299</v>
      </c>
      <c r="B117" s="542" t="s">
        <v>227</v>
      </c>
      <c r="C117" s="645"/>
      <c r="D117" s="181">
        <v>2379910475357</v>
      </c>
      <c r="E117" s="352">
        <v>2252431109097</v>
      </c>
    </row>
    <row r="118" spans="1:5" ht="16.5" x14ac:dyDescent="0.25">
      <c r="A118" s="702" t="s">
        <v>300</v>
      </c>
      <c r="B118" s="655" t="s">
        <v>279</v>
      </c>
      <c r="C118" s="646"/>
      <c r="D118" s="182">
        <v>2379910475357</v>
      </c>
      <c r="E118" s="354">
        <v>2252431109097</v>
      </c>
    </row>
    <row r="119" spans="1:5" ht="16.5" x14ac:dyDescent="0.25">
      <c r="A119" s="251" t="s">
        <v>105</v>
      </c>
      <c r="B119" s="656" t="s">
        <v>280</v>
      </c>
      <c r="C119" s="573"/>
      <c r="D119" s="232">
        <v>2000924317200</v>
      </c>
      <c r="E119" s="134">
        <v>2000924317200</v>
      </c>
    </row>
    <row r="120" spans="1:5" ht="16.5" x14ac:dyDescent="0.25">
      <c r="A120" s="614" t="s">
        <v>262</v>
      </c>
      <c r="B120" s="220" t="s">
        <v>96</v>
      </c>
      <c r="C120" s="637"/>
      <c r="D120" s="431">
        <v>2000000000000</v>
      </c>
      <c r="E120" s="438">
        <v>2000000000000</v>
      </c>
    </row>
    <row r="121" spans="1:5" ht="33" x14ac:dyDescent="0.25">
      <c r="A121" s="388" t="s">
        <v>173</v>
      </c>
      <c r="B121" s="657" t="s">
        <v>281</v>
      </c>
      <c r="C121" s="574"/>
      <c r="D121" s="233">
        <v>2000000000000</v>
      </c>
      <c r="E121" s="225">
        <v>2000000000000</v>
      </c>
    </row>
    <row r="122" spans="1:5" ht="16.5" x14ac:dyDescent="0.25">
      <c r="A122" s="253" t="s">
        <v>107</v>
      </c>
      <c r="B122" s="221" t="s">
        <v>97</v>
      </c>
      <c r="C122" s="638"/>
      <c r="D122" s="208" t="s">
        <v>5</v>
      </c>
      <c r="E122" s="345" t="s">
        <v>5</v>
      </c>
    </row>
    <row r="123" spans="1:5" ht="16.5" x14ac:dyDescent="0.25">
      <c r="A123" s="703" t="s">
        <v>301</v>
      </c>
      <c r="B123" s="543" t="s">
        <v>228</v>
      </c>
      <c r="C123" s="647"/>
      <c r="D123" s="183" t="s">
        <v>5</v>
      </c>
      <c r="E123" s="355" t="s">
        <v>5</v>
      </c>
    </row>
    <row r="124" spans="1:5" ht="33" x14ac:dyDescent="0.25">
      <c r="A124" s="615" t="s">
        <v>263</v>
      </c>
      <c r="B124" s="658" t="s">
        <v>282</v>
      </c>
      <c r="C124" s="648"/>
      <c r="D124" s="184" t="s">
        <v>5</v>
      </c>
      <c r="E124" s="356" t="s">
        <v>5</v>
      </c>
    </row>
    <row r="125" spans="1:5" ht="16.5" x14ac:dyDescent="0.25">
      <c r="A125" s="389" t="s">
        <v>174</v>
      </c>
      <c r="B125" s="295" t="s">
        <v>146</v>
      </c>
      <c r="C125" s="575"/>
      <c r="D125" s="234">
        <v>924317200</v>
      </c>
      <c r="E125" s="226">
        <v>924317200</v>
      </c>
    </row>
    <row r="126" spans="1:5" ht="16.5" x14ac:dyDescent="0.25">
      <c r="A126" s="616" t="s">
        <v>264</v>
      </c>
      <c r="B126" s="544" t="s">
        <v>229</v>
      </c>
      <c r="C126" s="649"/>
      <c r="D126" s="185" t="s">
        <v>5</v>
      </c>
      <c r="E126" s="357" t="s">
        <v>5</v>
      </c>
    </row>
    <row r="127" spans="1:5" ht="33" x14ac:dyDescent="0.25">
      <c r="A127" s="704" t="s">
        <v>302</v>
      </c>
      <c r="B127" s="545" t="s">
        <v>230</v>
      </c>
      <c r="C127" s="121"/>
      <c r="D127" s="186" t="s">
        <v>5</v>
      </c>
      <c r="E127" s="358" t="s">
        <v>5</v>
      </c>
    </row>
    <row r="128" spans="1:5" ht="16.5" x14ac:dyDescent="0.25">
      <c r="A128" s="255" t="s">
        <v>108</v>
      </c>
      <c r="B128" s="681" t="s">
        <v>294</v>
      </c>
      <c r="C128" s="122"/>
      <c r="D128" s="187" t="s">
        <v>5</v>
      </c>
      <c r="E128" s="359" t="s">
        <v>5</v>
      </c>
    </row>
    <row r="129" spans="1:5" ht="33" x14ac:dyDescent="0.25">
      <c r="A129" s="617" t="s">
        <v>265</v>
      </c>
      <c r="B129" s="275" t="s">
        <v>128</v>
      </c>
      <c r="C129" s="123"/>
      <c r="D129" s="188">
        <v>22616594760</v>
      </c>
      <c r="E129" s="360">
        <v>22616594760</v>
      </c>
    </row>
    <row r="130" spans="1:5" ht="33" x14ac:dyDescent="0.25">
      <c r="A130" s="390" t="s">
        <v>175</v>
      </c>
      <c r="B130" s="682" t="s">
        <v>295</v>
      </c>
      <c r="C130" s="576"/>
      <c r="D130" s="235">
        <v>21712388413</v>
      </c>
      <c r="E130" s="227">
        <v>21712388413</v>
      </c>
    </row>
    <row r="131" spans="1:5" ht="33" x14ac:dyDescent="0.25">
      <c r="A131" s="705" t="s">
        <v>303</v>
      </c>
      <c r="B131" s="276" t="s">
        <v>129</v>
      </c>
      <c r="C131" s="124"/>
      <c r="D131" s="189">
        <v>0</v>
      </c>
      <c r="E131" s="361">
        <v>0</v>
      </c>
    </row>
    <row r="132" spans="1:5" ht="16.5" x14ac:dyDescent="0.25">
      <c r="A132" s="618" t="s">
        <v>266</v>
      </c>
      <c r="B132" s="278" t="s">
        <v>131</v>
      </c>
      <c r="C132" s="125"/>
      <c r="D132" s="190">
        <v>334657174984</v>
      </c>
      <c r="E132" s="376">
        <v>207177808724</v>
      </c>
    </row>
    <row r="133" spans="1:5" ht="33" x14ac:dyDescent="0.25">
      <c r="A133" s="256" t="s">
        <v>109</v>
      </c>
      <c r="B133" s="277" t="s">
        <v>130</v>
      </c>
      <c r="C133" s="126"/>
      <c r="D133" s="191">
        <v>334243463628</v>
      </c>
      <c r="E133" s="683">
        <v>206705404524</v>
      </c>
    </row>
    <row r="134" spans="1:5" ht="16.5" x14ac:dyDescent="0.25">
      <c r="A134" s="619" t="s">
        <v>267</v>
      </c>
      <c r="B134" s="279" t="s">
        <v>132</v>
      </c>
      <c r="C134" s="127"/>
      <c r="D134" s="192">
        <v>413711356</v>
      </c>
      <c r="E134" s="684">
        <v>472404200</v>
      </c>
    </row>
    <row r="135" spans="1:5" ht="33" x14ac:dyDescent="0.25">
      <c r="A135" s="706" t="s">
        <v>304</v>
      </c>
      <c r="B135" s="267" t="s">
        <v>120</v>
      </c>
      <c r="C135" s="128"/>
      <c r="D135" s="193" t="s">
        <v>5</v>
      </c>
      <c r="E135" s="685" t="s">
        <v>5</v>
      </c>
    </row>
    <row r="136" spans="1:5" ht="16.5" x14ac:dyDescent="0.25">
      <c r="A136" s="289" t="s">
        <v>140</v>
      </c>
      <c r="B136" s="674" t="s">
        <v>287</v>
      </c>
      <c r="C136" s="129"/>
      <c r="D136" s="194" t="s">
        <v>5</v>
      </c>
      <c r="E136" s="686" t="s">
        <v>5</v>
      </c>
    </row>
    <row r="137" spans="1:5" ht="16.5" x14ac:dyDescent="0.25">
      <c r="A137" s="476" t="s">
        <v>213</v>
      </c>
      <c r="B137" s="473" t="s">
        <v>212</v>
      </c>
      <c r="C137" s="475"/>
      <c r="D137" s="474">
        <v>3897800680595</v>
      </c>
      <c r="E137" s="472">
        <v>4306305454494</v>
      </c>
    </row>
  </sheetData>
  <mergeCells count="3">
    <mergeCell ref="A1:E1"/>
    <mergeCell ref="A2:E2"/>
    <mergeCell ref="A3:E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137"/>
  <sheetViews>
    <sheetView workbookViewId="0"/>
  </sheetViews>
  <sheetFormatPr defaultRowHeight="15" x14ac:dyDescent="0.25"/>
  <cols>
    <col min="1" max="1" width="1" style="711" bestFit="1" customWidth="1"/>
    <col min="2" max="5" width="1" bestFit="1" customWidth="1"/>
  </cols>
  <sheetData>
    <row r="5" spans="1:5" x14ac:dyDescent="0.25">
      <c r="A5" t="str">
        <f>CONCATENATE(612817,",",ROW(BCTCR_06608!A5),"|",COLUMN(BCTCR_06608!A5),",0",",0")</f>
        <v>612817,5|1,0,0</v>
      </c>
      <c r="B5" t="str">
        <f>CONCATENATE(612254,",",ROW(BCTCR_06608!B5),"|",COLUMN(BCTCR_06608!B5),",0",",0")</f>
        <v>612254,5|2,0,0</v>
      </c>
      <c r="C5" t="str">
        <f>CONCATENATE(612801,",",ROW(BCTCR_06608!C5),"|",COLUMN(BCTCR_06608!C5),",0",",0")</f>
        <v>612801,5|3,0,0</v>
      </c>
      <c r="D5" t="str">
        <f>CONCATENATE(612462,",",ROW(BCTCR_06608!D5),"|",COLUMN(BCTCR_06608!D5),",0",",0")</f>
        <v>612462,5|4,0,0</v>
      </c>
      <c r="E5" t="str">
        <f>CONCATENATE(612802,",",ROW(BCTCR_06608!E5),"|",COLUMN(BCTCR_06608!E5),",0",",0")</f>
        <v>612802,5|5,0,0</v>
      </c>
    </row>
    <row r="6" spans="1:5" x14ac:dyDescent="0.25">
      <c r="A6" t="str">
        <f>CONCATENATE(612463,",",ROW(BCTCR_06608!A6),"|",COLUMN(BCTCR_06608!A6),",0",",0")</f>
        <v>612463,6|1,0,0</v>
      </c>
      <c r="B6" t="s">
        <v>5</v>
      </c>
      <c r="C6" t="str">
        <f>CONCATENATE(612748,",",ROW(BCTCR_06608!C6),"|",COLUMN(BCTCR_06608!C6),",0",",0")</f>
        <v>612748,6|3,0,0</v>
      </c>
      <c r="D6" t="str">
        <f>CONCATENATE(612660,",",ROW(BCTCR_06608!D6),"|",COLUMN(BCTCR_06608!D6),",0",",0")</f>
        <v>612660,6|4,0,0</v>
      </c>
      <c r="E6" t="str">
        <f>CONCATENATE(612534,",",ROW(BCTCR_06608!E6),"|",COLUMN(BCTCR_06608!E6),",0",",0")</f>
        <v>612534,6|5,0,0</v>
      </c>
    </row>
    <row r="7" spans="1:5" x14ac:dyDescent="0.25">
      <c r="A7" t="str">
        <f>CONCATENATE(612464,",",ROW(BCTCR_06608!A7),"|",COLUMN(BCTCR_06608!A7),",0",",0")</f>
        <v>612464,7|1,0,0</v>
      </c>
      <c r="B7" t="str">
        <f>CONCATENATE(612762,",",ROW(BCTCR_06608!B7),"|",COLUMN(BCTCR_06608!B7),",0",",0")</f>
        <v>612762,7|2,0,0</v>
      </c>
      <c r="C7" t="str">
        <f>CONCATENATE(612441,",",ROW(BCTCR_06608!C7),"|",COLUMN(BCTCR_06608!C7),",0",",0")</f>
        <v>612441,7|3,0,0</v>
      </c>
      <c r="D7" t="str">
        <f>CONCATENATE(612340,",",ROW(BCTCR_06608!D7),"|",COLUMN(BCTCR_06608!D7),",0",",0")</f>
        <v>612340,7|4,0,0</v>
      </c>
      <c r="E7" t="str">
        <f>CONCATENATE(612832,",",ROW(BCTCR_06608!E7),"|",COLUMN(BCTCR_06608!E7),",0",",0")</f>
        <v>612832,7|5,0,0</v>
      </c>
    </row>
    <row r="8" spans="1:5" x14ac:dyDescent="0.25">
      <c r="A8" t="str">
        <f>CONCATENATE(612232,",",ROW(BCTCR_06608!A8),"|",COLUMN(BCTCR_06608!A8),",0",",0")</f>
        <v>612232,8|1,0,0</v>
      </c>
      <c r="B8" t="str">
        <f>CONCATENATE(612849,",",ROW(BCTCR_06608!B8),"|",COLUMN(BCTCR_06608!B8),",0",",0")</f>
        <v>612849,8|2,0,0</v>
      </c>
      <c r="C8" t="str">
        <f>CONCATENATE(612662,",",ROW(BCTCR_06608!C8),"|",COLUMN(BCTCR_06608!C8),",0",",0")</f>
        <v>612662,8|3,0,0</v>
      </c>
      <c r="D8" t="str">
        <f>CONCATENATE(612535,",",ROW(BCTCR_06608!D8),"|",COLUMN(BCTCR_06608!D8),",0",",0")</f>
        <v>612535,8|4,0,0</v>
      </c>
      <c r="E8" t="str">
        <f>CONCATENATE(612495,",",ROW(BCTCR_06608!E8),"|",COLUMN(BCTCR_06608!E8),",0",",0")</f>
        <v>612495,8|5,0,0</v>
      </c>
    </row>
    <row r="9" spans="1:5" x14ac:dyDescent="0.25">
      <c r="A9" t="str">
        <f>CONCATENATE(612465,",",ROW(BCTCR_06608!A9),"|",COLUMN(BCTCR_06608!A9),",0",",0")</f>
        <v>612465,9|1,0,0</v>
      </c>
      <c r="B9" t="str">
        <f>CONCATENATE(612584,",",ROW(BCTCR_06608!B9),"|",COLUMN(BCTCR_06608!B9),",0",",0")</f>
        <v>612584,9|2,0,0</v>
      </c>
      <c r="C9" t="str">
        <f>CONCATENATE(612452,",",ROW(BCTCR_06608!C9),"|",COLUMN(BCTCR_06608!C9),",0",",0")</f>
        <v>612452,9|3,0,0</v>
      </c>
      <c r="D9" t="str">
        <f>CONCATENATE(612707,",",ROW(BCTCR_06608!D9),"|",COLUMN(BCTCR_06608!D9),",0",",0")</f>
        <v>612707,9|4,0,0</v>
      </c>
      <c r="E9" t="str">
        <f>CONCATENATE(612193,",",ROW(BCTCR_06608!E9),"|",COLUMN(BCTCR_06608!E9),",0",",0")</f>
        <v>612193,9|5,0,0</v>
      </c>
    </row>
    <row r="10" spans="1:5" x14ac:dyDescent="0.25">
      <c r="A10" t="str">
        <f>CONCATENATE(612233,",",ROW(BCTCR_06608!A10),"|",COLUMN(BCTCR_06608!A10),",0",",0")</f>
        <v>612233,10|1,0,0</v>
      </c>
      <c r="B10" t="str">
        <f>CONCATENATE(612850,",",ROW(BCTCR_06608!B10),"|",COLUMN(BCTCR_06608!B10),",0",",0")</f>
        <v>612850,10|2,0,0</v>
      </c>
      <c r="C10" t="str">
        <f>CONCATENATE(612663,",",ROW(BCTCR_06608!C10),"|",COLUMN(BCTCR_06608!C10),",0",",0")</f>
        <v>612663,10|3,0,0</v>
      </c>
      <c r="D10" t="str">
        <f>CONCATENATE(612536,",",ROW(BCTCR_06608!D10),"|",COLUMN(BCTCR_06608!D10),",0",",0")</f>
        <v>612536,10|4,0,0</v>
      </c>
      <c r="E10" t="str">
        <f>CONCATENATE(612803,",",ROW(BCTCR_06608!E10),"|",COLUMN(BCTCR_06608!E10),",0",",0")</f>
        <v>612803,10|5,0,0</v>
      </c>
    </row>
    <row r="11" spans="1:5" x14ac:dyDescent="0.25">
      <c r="A11" t="str">
        <f>CONCATENATE(612312,",",ROW(BCTCR_06608!A11),"|",COLUMN(BCTCR_06608!A11),",0",",0")</f>
        <v>612312,11|1,0,0</v>
      </c>
      <c r="B11" t="str">
        <f>CONCATENATE(612485,",",ROW(BCTCR_06608!B11),"|",COLUMN(BCTCR_06608!B11),",0",",0")</f>
        <v>612485,11|2,0,0</v>
      </c>
      <c r="C11" t="str">
        <f>CONCATENATE(612720,",",ROW(BCTCR_06608!C11),"|",COLUMN(BCTCR_06608!C11),",0",",0")</f>
        <v>612720,11|3,0,0</v>
      </c>
      <c r="D11" t="str">
        <f>CONCATENATE(612379,",",ROW(BCTCR_06608!D11),"|",COLUMN(BCTCR_06608!D11),",0",",0")</f>
        <v>612379,11|4,0,0</v>
      </c>
      <c r="E11" t="str">
        <f>CONCATENATE(612371,",",ROW(BCTCR_06608!E11),"|",COLUMN(BCTCR_06608!E11),",0",",0")</f>
        <v>612371,11|5,0,0</v>
      </c>
    </row>
    <row r="12" spans="1:5" x14ac:dyDescent="0.25">
      <c r="A12" t="str">
        <f>CONCATENATE(612234,",",ROW(BCTCR_06608!A12),"|",COLUMN(BCTCR_06608!A12),",0",",0")</f>
        <v>612234,12|1,0,0</v>
      </c>
      <c r="B12" t="str">
        <f>CONCATENATE(612399,",",ROW(BCTCR_06608!B12),"|",COLUMN(BCTCR_06608!B12),",0",",0")</f>
        <v>612399,12|2,0,0</v>
      </c>
      <c r="C12" t="str">
        <f>CONCATENATE(612664,",",ROW(BCTCR_06608!C12),"|",COLUMN(BCTCR_06608!C12),",0",",0")</f>
        <v>612664,12|3,0,0</v>
      </c>
      <c r="D12" t="str">
        <f>CONCATENATE(612537,",",ROW(BCTCR_06608!D12),"|",COLUMN(BCTCR_06608!D12),",0",",0")</f>
        <v>612537,12|4,0,0</v>
      </c>
      <c r="E12" t="str">
        <f>CONCATENATE(612804,",",ROW(BCTCR_06608!E12),"|",COLUMN(BCTCR_06608!E12),",0",",0")</f>
        <v>612804,12|5,0,0</v>
      </c>
    </row>
    <row r="13" spans="1:5" x14ac:dyDescent="0.25">
      <c r="A13" t="str">
        <f>CONCATENATE(612466,",",ROW(BCTCR_06608!A13),"|",COLUMN(BCTCR_06608!A13),",0",",0")</f>
        <v>612466,13|1,0,0</v>
      </c>
      <c r="B13" t="str">
        <f>CONCATENATE(612585,",",ROW(BCTCR_06608!B13),"|",COLUMN(BCTCR_06608!B13),",0",",0")</f>
        <v>612585,13|2,0,0</v>
      </c>
      <c r="C13" t="str">
        <f>CONCATENATE(612453,",",ROW(BCTCR_06608!C13),"|",COLUMN(BCTCR_06608!C13),",0",",0")</f>
        <v>612453,13|3,0,0</v>
      </c>
      <c r="D13" t="str">
        <f>CONCATENATE(612661,",",ROW(BCTCR_06608!D13),"|",COLUMN(BCTCR_06608!D13),",0",",0")</f>
        <v>612661,13|4,0,0</v>
      </c>
      <c r="E13" t="str">
        <f>CONCATENATE(612194,",",ROW(BCTCR_06608!E13),"|",COLUMN(BCTCR_06608!E13),",0",",0")</f>
        <v>612194,13|5,0,0</v>
      </c>
    </row>
    <row r="14" spans="1:5" x14ac:dyDescent="0.25">
      <c r="A14" t="str">
        <f>CONCATENATE(612467,",",ROW(BCTCR_06608!A14),"|",COLUMN(BCTCR_06608!A14),",0",",0")</f>
        <v>612467,14|1,0,0</v>
      </c>
      <c r="B14" t="str">
        <f>CONCATENATE(612400,",",ROW(BCTCR_06608!B14),"|",COLUMN(BCTCR_06608!B14),",0",",0")</f>
        <v>612400,14|2,0,0</v>
      </c>
      <c r="C14" t="str">
        <f>CONCATENATE(612454,",",ROW(BCTCR_06608!C14),"|",COLUMN(BCTCR_06608!C14),",0",",0")</f>
        <v>612454,14|3,0,0</v>
      </c>
      <c r="D14" t="str">
        <f>CONCATENATE(612638,",",ROW(BCTCR_06608!D14),"|",COLUMN(BCTCR_06608!D14),",0",",0")</f>
        <v>612638,14|4,0,0</v>
      </c>
      <c r="E14" t="str">
        <f>CONCATENATE(612195,",",ROW(BCTCR_06608!E14),"|",COLUMN(BCTCR_06608!E14),",0",",0")</f>
        <v>612195,14|5,0,0</v>
      </c>
    </row>
    <row r="15" spans="1:5" x14ac:dyDescent="0.25">
      <c r="A15" t="str">
        <f>CONCATENATE(612235,",",ROW(BCTCR_06608!A15),"|",COLUMN(BCTCR_06608!A15),",0",",0")</f>
        <v>612235,15|1,0,0</v>
      </c>
      <c r="B15" t="str">
        <f>CONCATENATE(612486,",",ROW(BCTCR_06608!B15),"|",COLUMN(BCTCR_06608!B15),",0",",0")</f>
        <v>612486,15|2,0,0</v>
      </c>
      <c r="C15" t="str">
        <f>CONCATENATE(612665,",",ROW(BCTCR_06608!C15),"|",COLUMN(BCTCR_06608!C15),",0",",0")</f>
        <v>612665,15|3,0,0</v>
      </c>
      <c r="D15" t="str">
        <f>CONCATENATE(612538,",",ROW(BCTCR_06608!D15),"|",COLUMN(BCTCR_06608!D15),",0",",0")</f>
        <v>612538,15|4,0,0</v>
      </c>
      <c r="E15" t="str">
        <f>CONCATENATE(612805,",",ROW(BCTCR_06608!E15),"|",COLUMN(BCTCR_06608!E15),",0",",0")</f>
        <v>612805,15|5,0,0</v>
      </c>
    </row>
    <row r="16" spans="1:5" x14ac:dyDescent="0.25">
      <c r="A16" t="str">
        <f>CONCATENATE(612468,",",ROW(BCTCR_06608!A16),"|",COLUMN(BCTCR_06608!A16),",0",",0")</f>
        <v>612468,16|1,0,0</v>
      </c>
      <c r="B16" t="str">
        <f>CONCATENATE(612851,",",ROW(BCTCR_06608!B16),"|",COLUMN(BCTCR_06608!B16),",0",",0")</f>
        <v>612851,16|2,0,0</v>
      </c>
      <c r="C16" t="str">
        <f>CONCATENATE(612455,",",ROW(BCTCR_06608!C16),"|",COLUMN(BCTCR_06608!C16),",0",",0")</f>
        <v>612455,16|3,0,0</v>
      </c>
      <c r="D16" t="str">
        <f>CONCATENATE(612639,",",ROW(BCTCR_06608!D16),"|",COLUMN(BCTCR_06608!D16),",0",",0")</f>
        <v>612639,16|4,0,0</v>
      </c>
      <c r="E16" t="str">
        <f>CONCATENATE(612196,",",ROW(BCTCR_06608!E16),"|",COLUMN(BCTCR_06608!E16),",0",",0")</f>
        <v>612196,16|5,0,0</v>
      </c>
    </row>
    <row r="17" spans="1:5" x14ac:dyDescent="0.25">
      <c r="A17" t="str">
        <f>CONCATENATE(612236,",",ROW(BCTCR_06608!A17),"|",COLUMN(BCTCR_06608!A17),",0",",0")</f>
        <v>612236,17|1,0,0</v>
      </c>
      <c r="B17" t="str">
        <f>CONCATENATE(612401,",",ROW(BCTCR_06608!B17),"|",COLUMN(BCTCR_06608!B17),",0",",0")</f>
        <v>612401,17|2,0,0</v>
      </c>
      <c r="C17" t="str">
        <f>CONCATENATE(612666,",",ROW(BCTCR_06608!C17),"|",COLUMN(BCTCR_06608!C17),",0",",0")</f>
        <v>612666,17|3,0,0</v>
      </c>
      <c r="D17" t="str">
        <f>CONCATENATE(612764,",",ROW(BCTCR_06608!D17),"|",COLUMN(BCTCR_06608!D17),",0",",0")</f>
        <v>612764,17|4,0,0</v>
      </c>
      <c r="E17" t="str">
        <f>CONCATENATE(612807,",",ROW(BCTCR_06608!E17),"|",COLUMN(BCTCR_06608!E17),",0",",0")</f>
        <v>612807,17|5,0,0</v>
      </c>
    </row>
    <row r="18" spans="1:5" x14ac:dyDescent="0.25">
      <c r="A18" t="str">
        <f>CONCATENATE(612237,",",ROW(BCTCR_06608!A18),"|",COLUMN(BCTCR_06608!A18),",0",",0")</f>
        <v>612237,18|1,0,0</v>
      </c>
      <c r="B18" t="str">
        <f>CONCATENATE(612852,",",ROW(BCTCR_06608!B18),"|",COLUMN(BCTCR_06608!B18),",0",",0")</f>
        <v>612852,18|2,0,0</v>
      </c>
      <c r="C18" t="str">
        <f>CONCATENATE(612667,",",ROW(BCTCR_06608!C18),"|",COLUMN(BCTCR_06608!C18),",0",",0")</f>
        <v>612667,18|3,0,0</v>
      </c>
      <c r="D18" t="str">
        <f>CONCATENATE(612620,",",ROW(BCTCR_06608!D18),"|",COLUMN(BCTCR_06608!D18),",0",",0")</f>
        <v>612620,18|4,0,0</v>
      </c>
      <c r="E18" t="str">
        <f>CONCATENATE(612808,",",ROW(BCTCR_06608!E18),"|",COLUMN(BCTCR_06608!E18),",0",",0")</f>
        <v>612808,18|5,0,0</v>
      </c>
    </row>
    <row r="19" spans="1:5" x14ac:dyDescent="0.25">
      <c r="A19" t="str">
        <f>CONCATENATE(612818,",",ROW(BCTCR_06608!A19),"|",COLUMN(BCTCR_06608!A19),",0",",0")</f>
        <v>612818,19|1,0,0</v>
      </c>
      <c r="B19" t="str">
        <f>CONCATENATE(612432,",",ROW(BCTCR_06608!B19),"|",COLUMN(BCTCR_06608!B19),",0",",0")</f>
        <v>612432,19|2,0,0</v>
      </c>
      <c r="C19" t="str">
        <f>CONCATENATE(612456,",",ROW(BCTCR_06608!C19),"|",COLUMN(BCTCR_06608!C19),",0",",0")</f>
        <v>612456,19|3,0,0</v>
      </c>
      <c r="D19" t="str">
        <f>CONCATENATE(612640,",",ROW(BCTCR_06608!D19),"|",COLUMN(BCTCR_06608!D19),",0",",0")</f>
        <v>612640,19|4,0,0</v>
      </c>
      <c r="E19" t="str">
        <f>CONCATENATE(612197,",",ROW(BCTCR_06608!E19),"|",COLUMN(BCTCR_06608!E19),",0",",0")</f>
        <v>612197,19|5,0,0</v>
      </c>
    </row>
    <row r="20" spans="1:5" x14ac:dyDescent="0.25">
      <c r="A20" t="str">
        <f>CONCATENATE(612469,",",ROW(BCTCR_06608!A20),"|",COLUMN(BCTCR_06608!A20),",0",",0")</f>
        <v>612469,20|1,0,0</v>
      </c>
      <c r="B20" t="str">
        <f>CONCATENATE(612351,",",ROW(BCTCR_06608!B20),"|",COLUMN(BCTCR_06608!B20),",0",",0")</f>
        <v>612351,20|2,0,0</v>
      </c>
      <c r="C20" t="str">
        <f>CONCATENATE(612771,",",ROW(BCTCR_06608!C20),"|",COLUMN(BCTCR_06608!C20),",0",",0")</f>
        <v>612771,20|3,0,0</v>
      </c>
      <c r="D20" t="str">
        <f>CONCATENATE(612380,",",ROW(BCTCR_06608!D20),"|",COLUMN(BCTCR_06608!D20),",0",",0")</f>
        <v>612380,20|4,0,0</v>
      </c>
      <c r="E20" t="str">
        <f>CONCATENATE(612372,",",ROW(BCTCR_06608!E20),"|",COLUMN(BCTCR_06608!E20),",0",",0")</f>
        <v>612372,20|5,0,0</v>
      </c>
    </row>
    <row r="21" spans="1:5" x14ac:dyDescent="0.25">
      <c r="A21" t="str">
        <f>CONCATENATE(612313,",",ROW(BCTCR_06608!A21),"|",COLUMN(BCTCR_06608!A21),",0",",0")</f>
        <v>612313,21|1,0,0</v>
      </c>
      <c r="B21" t="str">
        <f>CONCATENATE(612586,",",ROW(BCTCR_06608!B21),"|",COLUMN(BCTCR_06608!B21),",0",",0")</f>
        <v>612586,21|2,0,0</v>
      </c>
      <c r="C21" t="str">
        <f>CONCATENATE(612457,",",ROW(BCTCR_06608!C21),"|",COLUMN(BCTCR_06608!C21),",0",",0")</f>
        <v>612457,21|3,0,0</v>
      </c>
      <c r="D21" t="str">
        <f>CONCATENATE(612641,",",ROW(BCTCR_06608!D21),"|",COLUMN(BCTCR_06608!D21),",0",",0")</f>
        <v>612641,21|4,0,0</v>
      </c>
      <c r="E21" t="str">
        <f>CONCATENATE(612198,",",ROW(BCTCR_06608!E21),"|",COLUMN(BCTCR_06608!E21),",0",",0")</f>
        <v>612198,21|5,0,0</v>
      </c>
    </row>
    <row r="22" spans="1:5" x14ac:dyDescent="0.25">
      <c r="A22" t="str">
        <f>CONCATENATE(612819,",",ROW(BCTCR_06608!A22),"|",COLUMN(BCTCR_06608!A22),",0",",0")</f>
        <v>612819,22|1,0,0</v>
      </c>
      <c r="B22" t="str">
        <f>CONCATENATE(612741,",",ROW(BCTCR_06608!B22),"|",COLUMN(BCTCR_06608!B22),",0",",0")</f>
        <v>612741,22|2,0,0</v>
      </c>
      <c r="C22" t="str">
        <f>CONCATENATE(612458,",",ROW(BCTCR_06608!C22),"|",COLUMN(BCTCR_06608!C22),",0",",0")</f>
        <v>612458,22|3,0,0</v>
      </c>
      <c r="D22" t="str">
        <f>CONCATENATE(612642,",",ROW(BCTCR_06608!D22),"|",COLUMN(BCTCR_06608!D22),",0",",0")</f>
        <v>612642,22|4,0,0</v>
      </c>
      <c r="E22" t="str">
        <f>CONCATENATE(612199,",",ROW(BCTCR_06608!E22),"|",COLUMN(BCTCR_06608!E22),",0",",0")</f>
        <v>612199,22|5,0,0</v>
      </c>
    </row>
    <row r="23" spans="1:5" x14ac:dyDescent="0.25">
      <c r="A23" t="str">
        <f>CONCATENATE(612238,",",ROW(BCTCR_06608!A23),"|",COLUMN(BCTCR_06608!A23),",0",",0")</f>
        <v>612238,23|1,0,0</v>
      </c>
      <c r="B23" t="str">
        <f>CONCATENATE(612352,",",ROW(BCTCR_06608!B23),"|",COLUMN(BCTCR_06608!B23),",0",",0")</f>
        <v>612352,23|2,0,0</v>
      </c>
      <c r="C23" t="str">
        <f>CONCATENATE(612445,",",ROW(BCTCR_06608!C23),"|",COLUMN(BCTCR_06608!C23),",0",",0")</f>
        <v>612445,23|3,0,0</v>
      </c>
      <c r="D23" t="str">
        <f>CONCATENATE(612621,",",ROW(BCTCR_06608!D23),"|",COLUMN(BCTCR_06608!D23),",0",",0")</f>
        <v>612621,23|4,0,0</v>
      </c>
      <c r="E23" t="str">
        <f>CONCATENATE(612809,",",ROW(BCTCR_06608!E23),"|",COLUMN(BCTCR_06608!E23),",0",",0")</f>
        <v>612809,23|5,0,0</v>
      </c>
    </row>
    <row r="24" spans="1:5" x14ac:dyDescent="0.25">
      <c r="A24" t="str">
        <f>CONCATENATE(612314,",",ROW(BCTCR_06608!A24),"|",COLUMN(BCTCR_06608!A24),",0",",0")</f>
        <v>612314,24|1,0,0</v>
      </c>
      <c r="B24" t="str">
        <f>CONCATENATE(612742,",",ROW(BCTCR_06608!B24),"|",COLUMN(BCTCR_06608!B24),",0",",0")</f>
        <v>612742,24|2,0,0</v>
      </c>
      <c r="C24" t="str">
        <f>CONCATENATE(612459,",",ROW(BCTCR_06608!C24),"|",COLUMN(BCTCR_06608!C24),",0",",0")</f>
        <v>612459,24|3,0,0</v>
      </c>
      <c r="D24" t="str">
        <f>CONCATENATE(612643,",",ROW(BCTCR_06608!D24),"|",COLUMN(BCTCR_06608!D24),",0",",0")</f>
        <v>612643,24|4,0,0</v>
      </c>
      <c r="E24" t="str">
        <f>CONCATENATE(612200,",",ROW(BCTCR_06608!E24),"|",COLUMN(BCTCR_06608!E24),",0",",0")</f>
        <v>612200,24|5,0,0</v>
      </c>
    </row>
    <row r="25" spans="1:5" x14ac:dyDescent="0.25">
      <c r="A25" t="str">
        <f>CONCATENATE(612239,",",ROW(BCTCR_06608!A25),"|",COLUMN(BCTCR_06608!A25),",0",",0")</f>
        <v>612239,25|1,0,0</v>
      </c>
      <c r="B25" t="str">
        <f>CONCATENATE(612743,",",ROW(BCTCR_06608!B25),"|",COLUMN(BCTCR_06608!B25),",0",",0")</f>
        <v>612743,25|2,0,0</v>
      </c>
      <c r="C25" t="str">
        <f>CONCATENATE(612668,",",ROW(BCTCR_06608!C25),"|",COLUMN(BCTCR_06608!C25),",0",",0")</f>
        <v>612668,25|3,0,0</v>
      </c>
      <c r="D25" t="str">
        <f>CONCATENATE(612622,",",ROW(BCTCR_06608!D25),"|",COLUMN(BCTCR_06608!D25),",0",",0")</f>
        <v>612622,25|4,0,0</v>
      </c>
      <c r="E25" t="str">
        <f>CONCATENATE(612810,",",ROW(BCTCR_06608!E25),"|",COLUMN(BCTCR_06608!E25),",0",",0")</f>
        <v>612810,25|5,0,0</v>
      </c>
    </row>
    <row r="26" spans="1:5" x14ac:dyDescent="0.25">
      <c r="A26" t="str">
        <f>CONCATENATE(612470,",",ROW(BCTCR_06608!A26),"|",COLUMN(BCTCR_06608!A26),",0",",0")</f>
        <v>612470,26|1,0,0</v>
      </c>
      <c r="B26" t="str">
        <f>CONCATENATE(612402,",",ROW(BCTCR_06608!B26),"|",COLUMN(BCTCR_06608!B26),",0",",0")</f>
        <v>612402,26|2,0,0</v>
      </c>
      <c r="C26" t="str">
        <f>CONCATENATE(612460,",",ROW(BCTCR_06608!C26),"|",COLUMN(BCTCR_06608!C26),",0",",0")</f>
        <v>612460,26|3,0,0</v>
      </c>
      <c r="D26" t="str">
        <f>CONCATENATE(612209,",",ROW(BCTCR_06608!D26),"|",COLUMN(BCTCR_06608!D26),",0",",0")</f>
        <v>612209,26|4,0,0</v>
      </c>
      <c r="E26" t="str">
        <f>CONCATENATE(612201,",",ROW(BCTCR_06608!E26),"|",COLUMN(BCTCR_06608!E26),",0",",0")</f>
        <v>612201,26|5,0,0</v>
      </c>
    </row>
    <row r="27" spans="1:5" x14ac:dyDescent="0.25">
      <c r="A27" t="str">
        <f>CONCATENATE(612820,",",ROW(BCTCR_06608!A27),"|",COLUMN(BCTCR_06608!A27),",0",",0")</f>
        <v>612820,27|1,0,0</v>
      </c>
      <c r="B27" t="str">
        <f>CONCATENATE(612403,",",ROW(BCTCR_06608!B27),"|",COLUMN(BCTCR_06608!B27),",0",",0")</f>
        <v>612403,27|2,0,0</v>
      </c>
      <c r="C27" t="str">
        <f>CONCATENATE(612461,",",ROW(BCTCR_06608!C27),"|",COLUMN(BCTCR_06608!C27),",0",",0")</f>
        <v>612461,27|3,0,0</v>
      </c>
      <c r="D27" t="str">
        <f>CONCATENATE(612210,",",ROW(BCTCR_06608!D27),"|",COLUMN(BCTCR_06608!D27),",0",",0")</f>
        <v>612210,27|4,0,0</v>
      </c>
      <c r="E27" t="str">
        <f>CONCATENATE(612202,",",ROW(BCTCR_06608!E27),"|",COLUMN(BCTCR_06608!E27),",0",",0")</f>
        <v>612202,27|5,0,0</v>
      </c>
    </row>
    <row r="28" spans="1:5" x14ac:dyDescent="0.25">
      <c r="A28" t="str">
        <f>CONCATENATE(612821,",",ROW(BCTCR_06608!A28),"|",COLUMN(BCTCR_06608!A28),",0",",0")</f>
        <v>612821,28|1,0,0</v>
      </c>
      <c r="B28" t="str">
        <f>CONCATENATE(612806,",",ROW(BCTCR_06608!B28),"|",COLUMN(BCTCR_06608!B28),",0",",0")</f>
        <v>612806,28|2,0,0</v>
      </c>
      <c r="C28" t="str">
        <f>CONCATENATE(612772,",",ROW(BCTCR_06608!C28),"|",COLUMN(BCTCR_06608!C28),",0",",0")</f>
        <v>612772,28|3,0,0</v>
      </c>
      <c r="D28" t="str">
        <f>CONCATENATE(612385,",",ROW(BCTCR_06608!D28),"|",COLUMN(BCTCR_06608!D28),",0",",0")</f>
        <v>612385,28|4,0,0</v>
      </c>
      <c r="E28" t="str">
        <f>CONCATENATE(612529,",",ROW(BCTCR_06608!E28),"|",COLUMN(BCTCR_06608!E28),",0",",0")</f>
        <v>612529,28|5,0,0</v>
      </c>
    </row>
    <row r="29" spans="1:5" x14ac:dyDescent="0.25">
      <c r="A29" t="str">
        <f>CONCATENATE(612315,",",ROW(BCTCR_06608!A29),"|",COLUMN(BCTCR_06608!A29),",0",",0")</f>
        <v>612315,29|1,0,0</v>
      </c>
      <c r="B29" t="str">
        <f>CONCATENATE(612433,",",ROW(BCTCR_06608!B29),"|",COLUMN(BCTCR_06608!B29),",0",",0")</f>
        <v>612433,29|2,0,0</v>
      </c>
      <c r="C29" t="str">
        <f>CONCATENATE(612256,",",ROW(BCTCR_06608!C29),"|",COLUMN(BCTCR_06608!C29),",0",",0")</f>
        <v>612256,29|3,0,0</v>
      </c>
      <c r="D29" t="str">
        <f>CONCATENATE(612211,",",ROW(BCTCR_06608!D29),"|",COLUMN(BCTCR_06608!D29),",0",",0")</f>
        <v>612211,29|4,0,0</v>
      </c>
      <c r="E29" t="str">
        <f>CONCATENATE(612203,",",ROW(BCTCR_06608!E29),"|",COLUMN(BCTCR_06608!E29),",0",",0")</f>
        <v>612203,29|5,0,0</v>
      </c>
    </row>
    <row r="30" spans="1:5" x14ac:dyDescent="0.25">
      <c r="A30" t="str">
        <f>CONCATENATE(612316,",",ROW(BCTCR_06608!A30),"|",COLUMN(BCTCR_06608!A30),",0",",0")</f>
        <v>612316,30|1,0,0</v>
      </c>
      <c r="B30" t="str">
        <f>CONCATENATE(612587,",",ROW(BCTCR_06608!B30),"|",COLUMN(BCTCR_06608!B30),",0",",0")</f>
        <v>612587,30|2,0,0</v>
      </c>
      <c r="C30" t="str">
        <f>CONCATENATE(612722,",",ROW(BCTCR_06608!C30),"|",COLUMN(BCTCR_06608!C30),",0",",0")</f>
        <v>612722,30|3,0,0</v>
      </c>
      <c r="D30" t="str">
        <f>CONCATENATE(612212,",",ROW(BCTCR_06608!D30),"|",COLUMN(BCTCR_06608!D30),",0",",0")</f>
        <v>612212,30|4,0,0</v>
      </c>
      <c r="E30" t="str">
        <f>CONCATENATE(612204,",",ROW(BCTCR_06608!E30),"|",COLUMN(BCTCR_06608!E30),",0",",0")</f>
        <v>612204,30|5,0,0</v>
      </c>
    </row>
    <row r="31" spans="1:5" x14ac:dyDescent="0.25">
      <c r="A31" t="str">
        <f>CONCATENATE(612364,",",ROW(BCTCR_06608!A31),"|",COLUMN(BCTCR_06608!A31),",0",",0")</f>
        <v>612364,31|1,0,0</v>
      </c>
      <c r="B31" t="str">
        <f>CONCATENATE(612353,",",ROW(BCTCR_06608!B31),"|",COLUMN(BCTCR_06608!B31),",0",",0")</f>
        <v>612353,31|2,0,0</v>
      </c>
      <c r="C31" t="str">
        <f>CONCATENATE(612773,",",ROW(BCTCR_06608!C31),"|",COLUMN(BCTCR_06608!C31),",0",",0")</f>
        <v>612773,31|3,0,0</v>
      </c>
      <c r="D31" t="str">
        <f>CONCATENATE(612386,",",ROW(BCTCR_06608!D31),"|",COLUMN(BCTCR_06608!D31),",0",",0")</f>
        <v>612386,31|4,0,0</v>
      </c>
      <c r="E31" t="str">
        <f>CONCATENATE(612574,",",ROW(BCTCR_06608!E31),"|",COLUMN(BCTCR_06608!E31),",0",",0")</f>
        <v>612574,31|5,0,0</v>
      </c>
    </row>
    <row r="32" spans="1:5" x14ac:dyDescent="0.25">
      <c r="A32" t="str">
        <f>CONCATENATE(612484,",",ROW(BCTCR_06608!A32),"|",COLUMN(BCTCR_06608!A32),",0",",0")</f>
        <v>612484,32|1,0,0</v>
      </c>
      <c r="B32" t="str">
        <f>CONCATENATE(612404,",",ROW(BCTCR_06608!B32),"|",COLUMN(BCTCR_06608!B32),",0",",0")</f>
        <v>612404,32|2,0,0</v>
      </c>
      <c r="C32" t="str">
        <f>CONCATENATE(612719,",",ROW(BCTCR_06608!C32),"|",COLUMN(BCTCR_06608!C32),",0",",0")</f>
        <v>612719,32|3,0,0</v>
      </c>
      <c r="D32" t="str">
        <f>CONCATENATE(612378,",",ROW(BCTCR_06608!D32),"|",COLUMN(BCTCR_06608!D32),",0",",0")</f>
        <v>612378,32|4,0,0</v>
      </c>
      <c r="E32" t="str">
        <f>CONCATENATE(612370,",",ROW(BCTCR_06608!E32),"|",COLUMN(BCTCR_06608!E32),",0",",0")</f>
        <v>612370,32|5,0,0</v>
      </c>
    </row>
    <row r="33" spans="1:5" x14ac:dyDescent="0.25">
      <c r="A33" t="str">
        <f>CONCATENATE(612317,",",ROW(BCTCR_06608!A33),"|",COLUMN(BCTCR_06608!A33),",0",",0")</f>
        <v>612317,33|1,0,0</v>
      </c>
      <c r="B33" t="str">
        <f>CONCATENATE(612588,",",ROW(BCTCR_06608!B33),"|",COLUMN(BCTCR_06608!B33),",0",",0")</f>
        <v>612588,33|2,0,0</v>
      </c>
      <c r="C33" t="str">
        <f>CONCATENATE(612723,",",ROW(BCTCR_06608!C33),"|",COLUMN(BCTCR_06608!C33),",0",",0")</f>
        <v>612723,33|3,0,0</v>
      </c>
      <c r="D33" t="str">
        <f>CONCATENATE(612213,",",ROW(BCTCR_06608!D33),"|",COLUMN(BCTCR_06608!D33),",0",",0")</f>
        <v>612213,33|4,0,0</v>
      </c>
      <c r="E33" t="str">
        <f>CONCATENATE(612205,",",ROW(BCTCR_06608!E33),"|",COLUMN(BCTCR_06608!E33),",0",",0")</f>
        <v>612205,33|5,0,0</v>
      </c>
    </row>
    <row r="34" spans="1:5" x14ac:dyDescent="0.25">
      <c r="A34" t="str">
        <f>CONCATENATE(612471,",",ROW(BCTCR_06608!A34),"|",COLUMN(BCTCR_06608!A34),",0",",0")</f>
        <v>612471,34|1,0,0</v>
      </c>
      <c r="B34" t="str">
        <f>CONCATENATE(612744,",",ROW(BCTCR_06608!B34),"|",COLUMN(BCTCR_06608!B34),",0",",0")</f>
        <v>612744,34|2,0,0</v>
      </c>
      <c r="C34" t="str">
        <f>CONCATENATE(612724,",",ROW(BCTCR_06608!C34),"|",COLUMN(BCTCR_06608!C34),",0",",0")</f>
        <v>612724,34|3,0,0</v>
      </c>
      <c r="D34" t="str">
        <f>CONCATENATE(612214,",",ROW(BCTCR_06608!D34),"|",COLUMN(BCTCR_06608!D34),",0",",0")</f>
        <v>612214,34|4,0,0</v>
      </c>
      <c r="E34" t="str">
        <f>CONCATENATE(612293,",",ROW(BCTCR_06608!E34),"|",COLUMN(BCTCR_06608!E34),",0",",0")</f>
        <v>612293,34|5,0,0</v>
      </c>
    </row>
    <row r="35" spans="1:5" x14ac:dyDescent="0.25">
      <c r="A35" t="str">
        <f>CONCATENATE(612318,",",ROW(BCTCR_06608!A35),"|",COLUMN(BCTCR_06608!A35),",0",",0")</f>
        <v>612318,35|1,0,0</v>
      </c>
      <c r="B35" t="str">
        <f>CONCATENATE(612589,",",ROW(BCTCR_06608!B35),"|",COLUMN(BCTCR_06608!B35),",0",",0")</f>
        <v>612589,35|2,0,0</v>
      </c>
      <c r="C35" t="str">
        <f>CONCATENATE(612725,",",ROW(BCTCR_06608!C35),"|",COLUMN(BCTCR_06608!C35),",0",",0")</f>
        <v>612725,35|3,0,0</v>
      </c>
      <c r="D35" t="str">
        <f>CONCATENATE(612215,",",ROW(BCTCR_06608!D35),"|",COLUMN(BCTCR_06608!D35),",0",",0")</f>
        <v>612215,35|4,0,0</v>
      </c>
      <c r="E35" t="str">
        <f>CONCATENATE(612294,",",ROW(BCTCR_06608!E35),"|",COLUMN(BCTCR_06608!E35),",0",",0")</f>
        <v>612294,35|5,0,0</v>
      </c>
    </row>
    <row r="36" spans="1:5" x14ac:dyDescent="0.25">
      <c r="A36" t="str">
        <f>CONCATENATE(612472,",",ROW(BCTCR_06608!A36),"|",COLUMN(BCTCR_06608!A36),",0",",0")</f>
        <v>612472,36|1,0,0</v>
      </c>
      <c r="B36" t="str">
        <f>CONCATENATE(612434,",",ROW(BCTCR_06608!B36),"|",COLUMN(BCTCR_06608!B36),",0",",0")</f>
        <v>612434,36|2,0,0</v>
      </c>
      <c r="C36" t="str">
        <f>CONCATENATE(612726,",",ROW(BCTCR_06608!C36),"|",COLUMN(BCTCR_06608!C36),",0",",0")</f>
        <v>612726,36|3,0,0</v>
      </c>
      <c r="D36" t="str">
        <f>CONCATENATE(612216,",",ROW(BCTCR_06608!D36),"|",COLUMN(BCTCR_06608!D36),",0",",0")</f>
        <v>612216,36|4,0,0</v>
      </c>
      <c r="E36" t="str">
        <f>CONCATENATE(612295,",",ROW(BCTCR_06608!E36),"|",COLUMN(BCTCR_06608!E36),",0",",0")</f>
        <v>612295,36|5,0,0</v>
      </c>
    </row>
    <row r="37" spans="1:5" x14ac:dyDescent="0.25">
      <c r="A37" t="str">
        <f>CONCATENATE(612365,",",ROW(BCTCR_06608!A37),"|",COLUMN(BCTCR_06608!A37),",0",",0")</f>
        <v>612365,37|1,0,0</v>
      </c>
      <c r="B37" t="str">
        <f>CONCATENATE(612354,",",ROW(BCTCR_06608!B37),"|",COLUMN(BCTCR_06608!B37),",0",",0")</f>
        <v>612354,37|2,0,0</v>
      </c>
      <c r="C37" t="str">
        <f>CONCATENATE(612774,",",ROW(BCTCR_06608!C37),"|",COLUMN(BCTCR_06608!C37),",0",",0")</f>
        <v>612774,37|3,0,0</v>
      </c>
      <c r="D37" t="str">
        <f>CONCATENATE(612387,",",ROW(BCTCR_06608!D37),"|",COLUMN(BCTCR_06608!D37),",0",",0")</f>
        <v>612387,37|4,0,0</v>
      </c>
      <c r="E37" t="str">
        <f>CONCATENATE(612575,",",ROW(BCTCR_06608!E37),"|",COLUMN(BCTCR_06608!E37),",0",",0")</f>
        <v>612575,37|5,0,0</v>
      </c>
    </row>
    <row r="38" spans="1:5" x14ac:dyDescent="0.25">
      <c r="A38" t="str">
        <f>CONCATENATE(612240,",",ROW(BCTCR_06608!A38),"|",COLUMN(BCTCR_06608!A38),",0",",0")</f>
        <v>612240,38|1,0,0</v>
      </c>
      <c r="B38" t="str">
        <f>CONCATENATE(612435,",",ROW(BCTCR_06608!B38),"|",COLUMN(BCTCR_06608!B38),",0",",0")</f>
        <v>612435,38|2,0,0</v>
      </c>
      <c r="C38" t="str">
        <f>CONCATENATE(612669,",",ROW(BCTCR_06608!C38),"|",COLUMN(BCTCR_06608!C38),",0",",0")</f>
        <v>612669,38|3,0,0</v>
      </c>
      <c r="D38" t="str">
        <f>CONCATENATE(612623,",",ROW(BCTCR_06608!D38),"|",COLUMN(BCTCR_06608!D38),",0",",0")</f>
        <v>612623,38|4,0,0</v>
      </c>
      <c r="E38" t="str">
        <f>CONCATENATE(612811,",",ROW(BCTCR_06608!E38),"|",COLUMN(BCTCR_06608!E38),",0",",0")</f>
        <v>612811,38|5,0,0</v>
      </c>
    </row>
    <row r="39" spans="1:5" x14ac:dyDescent="0.25">
      <c r="A39" t="str">
        <f>CONCATENATE(612473,",",ROW(BCTCR_06608!A39),"|",COLUMN(BCTCR_06608!A39),",0",",0")</f>
        <v>612473,39|1,0,0</v>
      </c>
      <c r="B39" t="str">
        <f>CONCATENATE(612436,",",ROW(BCTCR_06608!B39),"|",COLUMN(BCTCR_06608!B39),",0",",0")</f>
        <v>612436,39|2,0,0</v>
      </c>
      <c r="C39" t="str">
        <f>CONCATENATE(612422,",",ROW(BCTCR_06608!C39),"|",COLUMN(BCTCR_06608!C39),",0",",0")</f>
        <v>612422,39|3,0,0</v>
      </c>
      <c r="D39" t="str">
        <f>CONCATENATE(612217,",",ROW(BCTCR_06608!D39),"|",COLUMN(BCTCR_06608!D39),",0",",0")</f>
        <v>612217,39|4,0,0</v>
      </c>
      <c r="E39" t="str">
        <f>CONCATENATE(612296,",",ROW(BCTCR_06608!E39),"|",COLUMN(BCTCR_06608!E39),",0",",0")</f>
        <v>612296,39|5,0,0</v>
      </c>
    </row>
    <row r="40" spans="1:5" x14ac:dyDescent="0.25">
      <c r="A40" t="str">
        <f>CONCATENATE(612414,",",ROW(BCTCR_06608!A40),"|",COLUMN(BCTCR_06608!A40),",0",",0")</f>
        <v>612414,40|1,0,0</v>
      </c>
      <c r="B40" t="str">
        <f>CONCATENATE(612355,",",ROW(BCTCR_06608!B40),"|",COLUMN(BCTCR_06608!B40),",0",",0")</f>
        <v>612355,40|2,0,0</v>
      </c>
      <c r="C40" t="str">
        <f>CONCATENATE(612775,",",ROW(BCTCR_06608!C40),"|",COLUMN(BCTCR_06608!C40),",0",",0")</f>
        <v>612775,40|3,0,0</v>
      </c>
      <c r="D40" t="str">
        <f>CONCATENATE(612388,",",ROW(BCTCR_06608!D40),"|",COLUMN(BCTCR_06608!D40),",0",",0")</f>
        <v>612388,40|4,0,0</v>
      </c>
      <c r="E40" t="str">
        <f>CONCATENATE(612576,",",ROW(BCTCR_06608!E40),"|",COLUMN(BCTCR_06608!E40),",0",",0")</f>
        <v>612576,40|5,0,0</v>
      </c>
    </row>
    <row r="41" spans="1:5" x14ac:dyDescent="0.25">
      <c r="A41" t="str">
        <f>CONCATENATE(612474,",",ROW(BCTCR_06608!A41),"|",COLUMN(BCTCR_06608!A41),",0",",0")</f>
        <v>612474,41|1,0,0</v>
      </c>
      <c r="B41" t="str">
        <f>CONCATENATE(612745,",",ROW(BCTCR_06608!B41),"|",COLUMN(BCTCR_06608!B41),",0",",0")</f>
        <v>612745,41|2,0,0</v>
      </c>
      <c r="C41" t="str">
        <f>CONCATENATE(612727,",",ROW(BCTCR_06608!C41),"|",COLUMN(BCTCR_06608!C41),",0",",0")</f>
        <v>612727,41|3,0,0</v>
      </c>
      <c r="D41" t="str">
        <f>CONCATENATE(612218,",",ROW(BCTCR_06608!D41),"|",COLUMN(BCTCR_06608!D41),",0",",0")</f>
        <v>612218,41|4,0,0</v>
      </c>
      <c r="E41" t="str">
        <f>CONCATENATE(612297,",",ROW(BCTCR_06608!E41),"|",COLUMN(BCTCR_06608!E41),",0",",0")</f>
        <v>612297,41|5,0,0</v>
      </c>
    </row>
    <row r="42" spans="1:5" x14ac:dyDescent="0.25">
      <c r="A42" t="str">
        <f>CONCATENATE(612366,",",ROW(BCTCR_06608!A42),"|",COLUMN(BCTCR_06608!A42),",0",",0")</f>
        <v>612366,42|1,0,0</v>
      </c>
      <c r="B42" t="str">
        <f>CONCATENATE(612689,",",ROW(BCTCR_06608!B42),"|",COLUMN(BCTCR_06608!B42),",0",",0")</f>
        <v>612689,42|2,0,0</v>
      </c>
      <c r="C42" t="str">
        <f>CONCATENATE(612442,",",ROW(BCTCR_06608!C42),"|",COLUMN(BCTCR_06608!C42),",0",",0")</f>
        <v>612442,42|3,0,0</v>
      </c>
      <c r="D42" t="str">
        <f>CONCATENATE(612341,",",ROW(BCTCR_06608!D42),"|",COLUMN(BCTCR_06608!D42),",0",",0")</f>
        <v>612341,42|4,0,0</v>
      </c>
      <c r="E42" t="str">
        <f>CONCATENATE(612833,",",ROW(BCTCR_06608!E42),"|",COLUMN(BCTCR_06608!E42),",0",",0")</f>
        <v>612833,42|5,0,0</v>
      </c>
    </row>
    <row r="43" spans="1:5" x14ac:dyDescent="0.25">
      <c r="A43" t="str">
        <f>CONCATENATE(612381,",",ROW(BCTCR_06608!A43),"|",COLUMN(BCTCR_06608!A43),",0",",0")</f>
        <v>612381,43|1,0,0</v>
      </c>
      <c r="B43" t="str">
        <f>CONCATENATE(612690,",",ROW(BCTCR_06608!B43),"|",COLUMN(BCTCR_06608!B43),",0",",0")</f>
        <v>612690,43|2,0,0</v>
      </c>
      <c r="C43" t="str">
        <f>CONCATENATE(612728,",",ROW(BCTCR_06608!C43),"|",COLUMN(BCTCR_06608!C43),",0",",0")</f>
        <v>612728,43|3,0,0</v>
      </c>
      <c r="D43" t="str">
        <f>CONCATENATE(612219,",",ROW(BCTCR_06608!D43),"|",COLUMN(BCTCR_06608!D43),",0",",0")</f>
        <v>612219,43|4,0,0</v>
      </c>
      <c r="E43" t="str">
        <f>CONCATENATE(612298,",",ROW(BCTCR_06608!E43),"|",COLUMN(BCTCR_06608!E43),",0",",0")</f>
        <v>612298,43|5,0,0</v>
      </c>
    </row>
    <row r="44" spans="1:5" x14ac:dyDescent="0.25">
      <c r="A44" t="str">
        <f>CONCATENATE(612241,",",ROW(BCTCR_06608!A44),"|",COLUMN(BCTCR_06608!A44),",0",",0")</f>
        <v>612241,44|1,0,0</v>
      </c>
      <c r="B44" t="str">
        <f>CONCATENATE(612691,",",ROW(BCTCR_06608!B44),"|",COLUMN(BCTCR_06608!B44),",0",",0")</f>
        <v>612691,44|2,0,0</v>
      </c>
      <c r="C44" t="str">
        <f>CONCATENATE(612670,",",ROW(BCTCR_06608!C44),"|",COLUMN(BCTCR_06608!C44),",0",",0")</f>
        <v>612670,44|3,0,0</v>
      </c>
      <c r="D44" t="str">
        <f>CONCATENATE(612624,",",ROW(BCTCR_06608!D44),"|",COLUMN(BCTCR_06608!D44),",0",",0")</f>
        <v>612624,44|4,0,0</v>
      </c>
      <c r="E44" t="str">
        <f>CONCATENATE(612812,",",ROW(BCTCR_06608!E44),"|",COLUMN(BCTCR_06608!E44),",0",",0")</f>
        <v>612812,44|5,0,0</v>
      </c>
    </row>
    <row r="45" spans="1:5" x14ac:dyDescent="0.25">
      <c r="A45" t="str">
        <f>CONCATENATE(612705,",",ROW(BCTCR_06608!A45),"|",COLUMN(BCTCR_06608!A45),",0",",0")</f>
        <v>612705,45|1,0,0</v>
      </c>
      <c r="B45" t="str">
        <f>CONCATENATE(612590,",",ROW(BCTCR_06608!B45),"|",COLUMN(BCTCR_06608!B45),",0",",0")</f>
        <v>612590,45|2,0,0</v>
      </c>
      <c r="C45" t="str">
        <f>CONCATENATE(612443,",",ROW(BCTCR_06608!C45),"|",COLUMN(BCTCR_06608!C45),",0",",0")</f>
        <v>612443,45|3,0,0</v>
      </c>
      <c r="D45" t="str">
        <f>CONCATENATE(612342,",",ROW(BCTCR_06608!D45),"|",COLUMN(BCTCR_06608!D45),",0",",0")</f>
        <v>612342,45|4,0,0</v>
      </c>
      <c r="E45" t="str">
        <f>CONCATENATE(612834,",",ROW(BCTCR_06608!E45),"|",COLUMN(BCTCR_06608!E45),",0",",0")</f>
        <v>612834,45|5,0,0</v>
      </c>
    </row>
    <row r="46" spans="1:5" x14ac:dyDescent="0.25">
      <c r="A46" t="str">
        <f>CONCATENATE(612766,",",ROW(BCTCR_06608!A46),"|",COLUMN(BCTCR_06608!A46),",0",",0")</f>
        <v>612766,46|1,0,0</v>
      </c>
      <c r="B46" t="str">
        <f>CONCATENATE(612405,",",ROW(BCTCR_06608!B46),"|",COLUMN(BCTCR_06608!B46),",0",",0")</f>
        <v>612405,46|2,0,0</v>
      </c>
      <c r="C46" t="str">
        <f>CONCATENATE(612444,",",ROW(BCTCR_06608!C46),"|",COLUMN(BCTCR_06608!C46),",0",",0")</f>
        <v>612444,46|3,0,0</v>
      </c>
      <c r="D46" t="str">
        <f>CONCATENATE(612343,",",ROW(BCTCR_06608!D46),"|",COLUMN(BCTCR_06608!D46),",0",",0")</f>
        <v>612343,46|4,0,0</v>
      </c>
      <c r="E46" t="str">
        <f>CONCATENATE(612835,",",ROW(BCTCR_06608!E46),"|",COLUMN(BCTCR_06608!E46),",0",",0")</f>
        <v>612835,46|5,0,0</v>
      </c>
    </row>
    <row r="47" spans="1:5" x14ac:dyDescent="0.25">
      <c r="A47" t="str">
        <f>CONCATENATE(612767,",",ROW(BCTCR_06608!A47),"|",COLUMN(BCTCR_06608!A47),",0",",0")</f>
        <v>612767,47|1,0,0</v>
      </c>
      <c r="B47" t="str">
        <f>CONCATENATE(612692,",",ROW(BCTCR_06608!B47),"|",COLUMN(BCTCR_06608!B47),",0",",0")</f>
        <v>612692,47|2,0,0</v>
      </c>
      <c r="C47" t="str">
        <f>CONCATENATE(612446,",",ROW(BCTCR_06608!C47),"|",COLUMN(BCTCR_06608!C47),",0",",0")</f>
        <v>612446,47|3,0,0</v>
      </c>
      <c r="D47" t="str">
        <f>CONCATENATE(612344,",",ROW(BCTCR_06608!D47),"|",COLUMN(BCTCR_06608!D47),",0",",0")</f>
        <v>612344,47|4,0,0</v>
      </c>
      <c r="E47" t="str">
        <f>CONCATENATE(612836,",",ROW(BCTCR_06608!E47),"|",COLUMN(BCTCR_06608!E47),",0",",0")</f>
        <v>612836,47|5,0,0</v>
      </c>
    </row>
    <row r="48" spans="1:5" x14ac:dyDescent="0.25">
      <c r="A48" t="str">
        <f>CONCATENATE(612475,",",ROW(BCTCR_06608!A48),"|",COLUMN(BCTCR_06608!A48),",0",",0")</f>
        <v>612475,48|1,0,0</v>
      </c>
      <c r="B48" t="str">
        <f>CONCATENATE(612504,",",ROW(BCTCR_06608!B48),"|",COLUMN(BCTCR_06608!B48),",0",",0")</f>
        <v>612504,48|2,0,0</v>
      </c>
      <c r="C48" t="str">
        <f>CONCATENATE(612730,",",ROW(BCTCR_06608!C48),"|",COLUMN(BCTCR_06608!C48),",0",",0")</f>
        <v>612730,48|3,0,0</v>
      </c>
      <c r="D48" t="str">
        <f>CONCATENATE(612220,",",ROW(BCTCR_06608!D48),"|",COLUMN(BCTCR_06608!D48),",0",",0")</f>
        <v>612220,48|4,0,0</v>
      </c>
      <c r="E48" t="str">
        <f>CONCATENATE(612299,",",ROW(BCTCR_06608!E48),"|",COLUMN(BCTCR_06608!E48),",0",",0")</f>
        <v>612299,48|5,0,0</v>
      </c>
    </row>
    <row r="49" spans="1:5" x14ac:dyDescent="0.25">
      <c r="A49" t="str">
        <f>CONCATENATE(612476,",",ROW(BCTCR_06608!A49),"|",COLUMN(BCTCR_06608!A49),",0",",0")</f>
        <v>612476,49|1,0,0</v>
      </c>
      <c r="B49" t="str">
        <f>CONCATENATE(612693,",",ROW(BCTCR_06608!B49),"|",COLUMN(BCTCR_06608!B49),",0",",0")</f>
        <v>612693,49|2,0,0</v>
      </c>
      <c r="C49" t="str">
        <f>CONCATENATE(612609,",",ROW(BCTCR_06608!C49),"|",COLUMN(BCTCR_06608!C49),",0",",0")</f>
        <v>612609,49|3,0,0</v>
      </c>
      <c r="D49" t="str">
        <f>CONCATENATE(612221,",",ROW(BCTCR_06608!D49),"|",COLUMN(BCTCR_06608!D49),",0",",0")</f>
        <v>612221,49|4,0,0</v>
      </c>
      <c r="E49" t="str">
        <f>CONCATENATE(612300,",",ROW(BCTCR_06608!E49),"|",COLUMN(BCTCR_06608!E49),",0",",0")</f>
        <v>612300,49|5,0,0</v>
      </c>
    </row>
    <row r="50" spans="1:5" x14ac:dyDescent="0.25">
      <c r="A50" t="str">
        <f>CONCATENATE(612382,",",ROW(BCTCR_06608!A50),"|",COLUMN(BCTCR_06608!A50),",0",",0")</f>
        <v>612382,50|1,0,0</v>
      </c>
      <c r="B50" t="str">
        <f>CONCATENATE(612694,",",ROW(BCTCR_06608!B50),"|",COLUMN(BCTCR_06608!B50),",0",",0")</f>
        <v>612694,50|2,0,0</v>
      </c>
      <c r="C50" t="str">
        <f>CONCATENATE(612548,",",ROW(BCTCR_06608!C50),"|",COLUMN(BCTCR_06608!C50),",0",",0")</f>
        <v>612548,50|3,0,0</v>
      </c>
      <c r="D50" t="str">
        <f>CONCATENATE(612222,",",ROW(BCTCR_06608!D50),"|",COLUMN(BCTCR_06608!D50),",0",",0")</f>
        <v>612222,50|4,0,0</v>
      </c>
      <c r="E50" t="str">
        <f>CONCATENATE(612301,",",ROW(BCTCR_06608!E50),"|",COLUMN(BCTCR_06608!E50),",0",",0")</f>
        <v>612301,50|5,0,0</v>
      </c>
    </row>
    <row r="51" spans="1:5" x14ac:dyDescent="0.25">
      <c r="A51" t="str">
        <f>CONCATENATE(612206,",",ROW(BCTCR_06608!A51),"|",COLUMN(BCTCR_06608!A51),",0",",0")</f>
        <v>612206,51|1,0,0</v>
      </c>
      <c r="B51" t="str">
        <f>CONCATENATE(612695,",",ROW(BCTCR_06608!B51),"|",COLUMN(BCTCR_06608!B51),",0",",0")</f>
        <v>612695,51|2,0,0</v>
      </c>
      <c r="C51" t="str">
        <f>CONCATENATE(612549,",",ROW(BCTCR_06608!C51),"|",COLUMN(BCTCR_06608!C51),",0",",0")</f>
        <v>612549,51|3,0,0</v>
      </c>
      <c r="D51" t="str">
        <f>CONCATENATE(612223,",",ROW(BCTCR_06608!D51),"|",COLUMN(BCTCR_06608!D51),",0",",0")</f>
        <v>612223,51|4,0,0</v>
      </c>
      <c r="E51" t="str">
        <f>CONCATENATE(612302,",",ROW(BCTCR_06608!E51),"|",COLUMN(BCTCR_06608!E51),",0",",0")</f>
        <v>612302,51|5,0,0</v>
      </c>
    </row>
    <row r="52" spans="1:5" x14ac:dyDescent="0.25">
      <c r="A52" t="str">
        <f>CONCATENATE(612242,",",ROW(BCTCR_06608!A52),"|",COLUMN(BCTCR_06608!A52),",0",",0")</f>
        <v>612242,52|1,0,0</v>
      </c>
      <c r="B52" t="str">
        <f>CONCATENATE(612696,",",ROW(BCTCR_06608!B52),"|",COLUMN(BCTCR_06608!B52),",0",",0")</f>
        <v>612696,52|2,0,0</v>
      </c>
      <c r="C52" t="str">
        <f>CONCATENATE(612671,",",ROW(BCTCR_06608!C52),"|",COLUMN(BCTCR_06608!C52),",0",",0")</f>
        <v>612671,52|3,0,0</v>
      </c>
      <c r="D52" t="str">
        <f>CONCATENATE(612625,",",ROW(BCTCR_06608!D52),"|",COLUMN(BCTCR_06608!D52),",0",",0")</f>
        <v>612625,52|4,0,0</v>
      </c>
      <c r="E52" t="str">
        <f>CONCATENATE(612813,",",ROW(BCTCR_06608!E52),"|",COLUMN(BCTCR_06608!E52),",0",",0")</f>
        <v>612813,52|5,0,0</v>
      </c>
    </row>
    <row r="53" spans="1:5" x14ac:dyDescent="0.25">
      <c r="A53" t="str">
        <f>CONCATENATE(612243,",",ROW(BCTCR_06608!A53),"|",COLUMN(BCTCR_06608!A53),",0",",0")</f>
        <v>612243,53|1,0,0</v>
      </c>
      <c r="B53" t="str">
        <f>CONCATENATE(612356,",",ROW(BCTCR_06608!B53),"|",COLUMN(BCTCR_06608!B53),",0",",0")</f>
        <v>612356,53|2,0,0</v>
      </c>
      <c r="C53" t="str">
        <f>CONCATENATE(612672,",",ROW(BCTCR_06608!C53),"|",COLUMN(BCTCR_06608!C53),",0",",0")</f>
        <v>612672,53|3,0,0</v>
      </c>
      <c r="D53" t="str">
        <f>CONCATENATE(612626,",",ROW(BCTCR_06608!D53),"|",COLUMN(BCTCR_06608!D53),",0",",0")</f>
        <v>612626,53|4,0,0</v>
      </c>
      <c r="E53" t="str">
        <f>CONCATENATE(612814,",",ROW(BCTCR_06608!E53),"|",COLUMN(BCTCR_06608!E53),",0",",0")</f>
        <v>612814,53|5,0,0</v>
      </c>
    </row>
    <row r="54" spans="1:5" x14ac:dyDescent="0.25">
      <c r="A54" t="str">
        <f>CONCATENATE(612477,",",ROW(BCTCR_06608!A54),"|",COLUMN(BCTCR_06608!A54),",0",",0")</f>
        <v>612477,54|1,0,0</v>
      </c>
      <c r="B54" t="str">
        <f>CONCATENATE(612697,",",ROW(BCTCR_06608!B54),"|",COLUMN(BCTCR_06608!B54),",0",",0")</f>
        <v>612697,54|2,0,0</v>
      </c>
      <c r="C54" t="str">
        <f>CONCATENATE(612550,",",ROW(BCTCR_06608!C54),"|",COLUMN(BCTCR_06608!C54),",0",",0")</f>
        <v>612550,54|3,0,0</v>
      </c>
      <c r="D54" t="str">
        <f>CONCATENATE(612224,",",ROW(BCTCR_06608!D54),"|",COLUMN(BCTCR_06608!D54),",0",",0")</f>
        <v>612224,54|4,0,0</v>
      </c>
      <c r="E54" t="str">
        <f>CONCATENATE(612303,",",ROW(BCTCR_06608!E54),"|",COLUMN(BCTCR_06608!E54),",0",",0")</f>
        <v>612303,54|5,0,0</v>
      </c>
    </row>
    <row r="55" spans="1:5" x14ac:dyDescent="0.25">
      <c r="A55" t="str">
        <f>CONCATENATE(612244,",",ROW(BCTCR_06608!A55),"|",COLUMN(BCTCR_06608!A55),",0",",0")</f>
        <v>612244,55|1,0,0</v>
      </c>
      <c r="B55" t="str">
        <f>CONCATENATE(612591,",",ROW(BCTCR_06608!B55),"|",COLUMN(BCTCR_06608!B55),",0",",0")</f>
        <v>612591,55|2,0,0</v>
      </c>
      <c r="C55" t="str">
        <f>CONCATENATE(612673,",",ROW(BCTCR_06608!C55),"|",COLUMN(BCTCR_06608!C55),",0",",0")</f>
        <v>612673,55|3,0,0</v>
      </c>
      <c r="D55" t="str">
        <f>CONCATENATE(612627,",",ROW(BCTCR_06608!D55),"|",COLUMN(BCTCR_06608!D55),",0",",0")</f>
        <v>612627,55|4,0,0</v>
      </c>
      <c r="E55" t="str">
        <f>CONCATENATE(612731,",",ROW(BCTCR_06608!E55),"|",COLUMN(BCTCR_06608!E55),",0",",0")</f>
        <v>612731,55|5,0,0</v>
      </c>
    </row>
    <row r="56" spans="1:5" x14ac:dyDescent="0.25">
      <c r="A56" t="str">
        <f>CONCATENATE(612245,",",ROW(BCTCR_06608!A56),"|",COLUMN(BCTCR_06608!A56),",0",",0")</f>
        <v>612245,56|1,0,0</v>
      </c>
      <c r="B56" t="str">
        <f>CONCATENATE(612406,",",ROW(BCTCR_06608!B56),"|",COLUMN(BCTCR_06608!B56),",0",",0")</f>
        <v>612406,56|2,0,0</v>
      </c>
      <c r="C56" t="str">
        <f>CONCATENATE(612674,",",ROW(BCTCR_06608!C56),"|",COLUMN(BCTCR_06608!C56),",0",",0")</f>
        <v>612674,56|3,0,0</v>
      </c>
      <c r="D56" t="str">
        <f>CONCATENATE(612628,",",ROW(BCTCR_06608!D56),"|",COLUMN(BCTCR_06608!D56),",0",",0")</f>
        <v>612628,56|4,0,0</v>
      </c>
      <c r="E56" t="str">
        <f>CONCATENATE(612732,",",ROW(BCTCR_06608!E56),"|",COLUMN(BCTCR_06608!E56),",0",",0")</f>
        <v>612732,56|5,0,0</v>
      </c>
    </row>
    <row r="57" spans="1:5" x14ac:dyDescent="0.25">
      <c r="A57" t="str">
        <f>CONCATENATE(612246,",",ROW(BCTCR_06608!A57),"|",COLUMN(BCTCR_06608!A57),",0",",0")</f>
        <v>612246,57|1,0,0</v>
      </c>
      <c r="B57" t="str">
        <f>CONCATENATE(612698,",",ROW(BCTCR_06608!B57),"|",COLUMN(BCTCR_06608!B57),",0",",0")</f>
        <v>612698,57|2,0,0</v>
      </c>
      <c r="C57" t="str">
        <f>CONCATENATE(612675,",",ROW(BCTCR_06608!C57),"|",COLUMN(BCTCR_06608!C57),",0",",0")</f>
        <v>612675,57|3,0,0</v>
      </c>
      <c r="D57" t="str">
        <f>CONCATENATE(612291,",",ROW(BCTCR_06608!D57),"|",COLUMN(BCTCR_06608!D57),",0",",0")</f>
        <v>612291,57|4,0,0</v>
      </c>
      <c r="E57" t="str">
        <f>CONCATENATE(612733,",",ROW(BCTCR_06608!E57),"|",COLUMN(BCTCR_06608!E57),",0",",0")</f>
        <v>612733,57|5,0,0</v>
      </c>
    </row>
    <row r="58" spans="1:5" x14ac:dyDescent="0.25">
      <c r="A58" t="str">
        <f>CONCATENATE(612396,",",ROW(BCTCR_06608!A58),"|",COLUMN(BCTCR_06608!A58),",0",",0")</f>
        <v>612396,58|1,0,0</v>
      </c>
      <c r="B58" t="str">
        <f>CONCATENATE(612592,",",ROW(BCTCR_06608!B58),"|",COLUMN(BCTCR_06608!B58),",0",",0")</f>
        <v>612592,58|2,0,0</v>
      </c>
      <c r="C58" t="str">
        <f>CONCATENATE(612551,",",ROW(BCTCR_06608!C58),"|",COLUMN(BCTCR_06608!C58),",0",",0")</f>
        <v>612551,58|3,0,0</v>
      </c>
      <c r="D58" t="str">
        <f>CONCATENATE(612225,",",ROW(BCTCR_06608!D58),"|",COLUMN(BCTCR_06608!D58),",0",",0")</f>
        <v>612225,58|4,0,0</v>
      </c>
      <c r="E58" t="str">
        <f>CONCATENATE(612304,",",ROW(BCTCR_06608!E58),"|",COLUMN(BCTCR_06608!E58),",0",",0")</f>
        <v>612304,58|5,0,0</v>
      </c>
    </row>
    <row r="59" spans="1:5" x14ac:dyDescent="0.25">
      <c r="A59" t="str">
        <f>CONCATENATE(612415,",",ROW(BCTCR_06608!A59),"|",COLUMN(BCTCR_06608!A59),",0",",0")</f>
        <v>612415,59|1,0,0</v>
      </c>
      <c r="B59" t="str">
        <f>CONCATENATE(612699,",",ROW(BCTCR_06608!B59),"|",COLUMN(BCTCR_06608!B59),",0",",0")</f>
        <v>612699,59|2,0,0</v>
      </c>
      <c r="C59" t="str">
        <f>CONCATENATE(612552,",",ROW(BCTCR_06608!C59),"|",COLUMN(BCTCR_06608!C59),",0",",0")</f>
        <v>612552,59|3,0,0</v>
      </c>
      <c r="D59" t="str">
        <f>CONCATENATE(612226,",",ROW(BCTCR_06608!D59),"|",COLUMN(BCTCR_06608!D59),",0",",0")</f>
        <v>612226,59|4,0,0</v>
      </c>
      <c r="E59" t="str">
        <f>CONCATENATE(612305,",",ROW(BCTCR_06608!E59),"|",COLUMN(BCTCR_06608!E59),",0",",0")</f>
        <v>612305,59|5,0,0</v>
      </c>
    </row>
    <row r="60" spans="1:5" x14ac:dyDescent="0.25">
      <c r="A60" t="str">
        <f>CONCATENATE(612768,",",ROW(BCTCR_06608!A60),"|",COLUMN(BCTCR_06608!A60),",0",",0")</f>
        <v>612768,60|1,0,0</v>
      </c>
      <c r="B60" t="str">
        <f>CONCATENATE(612700,",",ROW(BCTCR_06608!B60),"|",COLUMN(BCTCR_06608!B60),",0",",0")</f>
        <v>612700,60|2,0,0</v>
      </c>
      <c r="C60" t="str">
        <f>CONCATENATE(612447,",",ROW(BCTCR_06608!C60),"|",COLUMN(BCTCR_06608!C60),",0",",0")</f>
        <v>612447,60|3,0,0</v>
      </c>
      <c r="D60" t="str">
        <f>CONCATENATE(612345,",",ROW(BCTCR_06608!D60),"|",COLUMN(BCTCR_06608!D60),",0",",0")</f>
        <v>612345,60|4,0,0</v>
      </c>
      <c r="E60" t="str">
        <f>CONCATENATE(612837,",",ROW(BCTCR_06608!E60),"|",COLUMN(BCTCR_06608!E60),",0",",0")</f>
        <v>612837,60|5,0,0</v>
      </c>
    </row>
    <row r="61" spans="1:5" x14ac:dyDescent="0.25">
      <c r="A61" t="str">
        <f>CONCATENATE(612247,",",ROW(BCTCR_06608!A61),"|",COLUMN(BCTCR_06608!A61),",0",",0")</f>
        <v>612247,61|1,0,0</v>
      </c>
      <c r="B61" t="str">
        <f>CONCATENATE(612593,",",ROW(BCTCR_06608!B61),"|",COLUMN(BCTCR_06608!B61),",0",",0")</f>
        <v>612593,61|2,0,0</v>
      </c>
      <c r="C61" t="str">
        <f>CONCATENATE(612676,",",ROW(BCTCR_06608!C61),"|",COLUMN(BCTCR_06608!C61),",0",",0")</f>
        <v>612676,61|3,0,0</v>
      </c>
      <c r="D61" t="str">
        <f>CONCATENATE(612292,",",ROW(BCTCR_06608!D61),"|",COLUMN(BCTCR_06608!D61),",0",",0")</f>
        <v>612292,61|4,0,0</v>
      </c>
      <c r="E61" t="str">
        <f>CONCATENATE(612734,",",ROW(BCTCR_06608!E61),"|",COLUMN(BCTCR_06608!E61),",0",",0")</f>
        <v>612734,61|5,0,0</v>
      </c>
    </row>
    <row r="62" spans="1:5" x14ac:dyDescent="0.25">
      <c r="A62" t="str">
        <f>CONCATENATE(612207,",",ROW(BCTCR_06608!A62),"|",COLUMN(BCTCR_06608!A62),",0",",0")</f>
        <v>612207,62|1,0,0</v>
      </c>
      <c r="B62" t="str">
        <f>CONCATENATE(612701,",",ROW(BCTCR_06608!B62),"|",COLUMN(BCTCR_06608!B62),",0",",0")</f>
        <v>612701,62|2,0,0</v>
      </c>
      <c r="C62" t="str">
        <f>CONCATENATE(612553,",",ROW(BCTCR_06608!C62),"|",COLUMN(BCTCR_06608!C62),",0",",0")</f>
        <v>612553,62|3,0,0</v>
      </c>
      <c r="D62" t="str">
        <f>CONCATENATE(612227,",",ROW(BCTCR_06608!D62),"|",COLUMN(BCTCR_06608!D62),",0",",0")</f>
        <v>612227,62|4,0,0</v>
      </c>
      <c r="E62" t="str">
        <f>CONCATENATE(612306,",",ROW(BCTCR_06608!E62),"|",COLUMN(BCTCR_06608!E62),",0",",0")</f>
        <v>612306,62|5,0,0</v>
      </c>
    </row>
    <row r="63" spans="1:5" x14ac:dyDescent="0.25">
      <c r="A63" t="str">
        <f>CONCATENATE(612769,",",ROW(BCTCR_06608!A63),"|",COLUMN(BCTCR_06608!A63),",0",",0")</f>
        <v>612769,63|1,0,0</v>
      </c>
      <c r="B63" t="str">
        <f>CONCATENATE(612594,",",ROW(BCTCR_06608!B63),"|",COLUMN(BCTCR_06608!B63),",0",",0")</f>
        <v>612594,63|2,0,0</v>
      </c>
      <c r="C63" t="str">
        <f>CONCATENATE(612448,",",ROW(BCTCR_06608!C63),"|",COLUMN(BCTCR_06608!C63),",0",",0")</f>
        <v>612448,63|3,0,0</v>
      </c>
      <c r="D63" t="str">
        <f>CONCATENATE(612346,",",ROW(BCTCR_06608!D63),"|",COLUMN(BCTCR_06608!D63),",0",",0")</f>
        <v>612346,63|4,0,0</v>
      </c>
      <c r="E63" t="str">
        <f>CONCATENATE(612838,",",ROW(BCTCR_06608!E63),"|",COLUMN(BCTCR_06608!E63),",0",",0")</f>
        <v>612838,63|5,0,0</v>
      </c>
    </row>
    <row r="64" spans="1:5" x14ac:dyDescent="0.25">
      <c r="A64" t="str">
        <f>CONCATENATE(612248,",",ROW(BCTCR_06608!A64),"|",COLUMN(BCTCR_06608!A64),",0",",0")</f>
        <v>612248,64|1,0,0</v>
      </c>
      <c r="B64" t="str">
        <f>CONCATENATE(612357,",",ROW(BCTCR_06608!B64),"|",COLUMN(BCTCR_06608!B64),",0",",0")</f>
        <v>612357,64|2,0,0</v>
      </c>
      <c r="C64" t="str">
        <f>CONCATENATE(612677,",",ROW(BCTCR_06608!C64),"|",COLUMN(BCTCR_06608!C64),",0",",0")</f>
        <v>612677,64|3,0,0</v>
      </c>
      <c r="D64" t="str">
        <f>CONCATENATE(612539,",",ROW(BCTCR_06608!D64),"|",COLUMN(BCTCR_06608!D64),",0",",0")</f>
        <v>612539,64|4,0,0</v>
      </c>
      <c r="E64" t="str">
        <f>CONCATENATE(612735,",",ROW(BCTCR_06608!E64),"|",COLUMN(BCTCR_06608!E64),",0",",0")</f>
        <v>612735,64|5,0,0</v>
      </c>
    </row>
    <row r="65" spans="1:5" x14ac:dyDescent="0.25">
      <c r="A65" t="str">
        <f>CONCATENATE(612770,",",ROW(BCTCR_06608!A65),"|",COLUMN(BCTCR_06608!A65),",0",",0")</f>
        <v>612770,65|1,0,0</v>
      </c>
      <c r="B65" t="str">
        <f>CONCATENATE(612407,",",ROW(BCTCR_06608!B65),"|",COLUMN(BCTCR_06608!B65),",0",",0")</f>
        <v>612407,65|2,0,0</v>
      </c>
      <c r="C65" t="str">
        <f>CONCATENATE(612449,",",ROW(BCTCR_06608!C65),"|",COLUMN(BCTCR_06608!C65),",0",",0")</f>
        <v>612449,65|3,0,0</v>
      </c>
      <c r="D65" t="str">
        <f>CONCATENATE(612347,",",ROW(BCTCR_06608!D65),"|",COLUMN(BCTCR_06608!D65),",0",",0")</f>
        <v>612347,65|4,0,0</v>
      </c>
      <c r="E65" t="str">
        <f>CONCATENATE(612839,",",ROW(BCTCR_06608!E65),"|",COLUMN(BCTCR_06608!E65),",0",",0")</f>
        <v>612839,65|5,0,0</v>
      </c>
    </row>
    <row r="66" spans="1:5" x14ac:dyDescent="0.25">
      <c r="A66" t="str">
        <f>CONCATENATE(612249,",",ROW(BCTCR_06608!A66),"|",COLUMN(BCTCR_06608!A66),",0",",0")</f>
        <v>612249,66|1,0,0</v>
      </c>
      <c r="B66" t="str">
        <f>CONCATENATE(612702,",",ROW(BCTCR_06608!B66),"|",COLUMN(BCTCR_06608!B66),",0",",0")</f>
        <v>612702,66|2,0,0</v>
      </c>
      <c r="C66" t="str">
        <f>CONCATENATE(612678,",",ROW(BCTCR_06608!C66),"|",COLUMN(BCTCR_06608!C66),",0",",0")</f>
        <v>612678,66|3,0,0</v>
      </c>
      <c r="D66" t="str">
        <f>CONCATENATE(612540,",",ROW(BCTCR_06608!D66),"|",COLUMN(BCTCR_06608!D66),",0",",0")</f>
        <v>612540,66|4,0,0</v>
      </c>
      <c r="E66" t="str">
        <f>CONCATENATE(612736,",",ROW(BCTCR_06608!E66),"|",COLUMN(BCTCR_06608!E66),",0",",0")</f>
        <v>612736,66|5,0,0</v>
      </c>
    </row>
    <row r="67" spans="1:5" x14ac:dyDescent="0.25">
      <c r="A67" t="str">
        <f>CONCATENATE(612262,",",ROW(BCTCR_06608!A67),"|",COLUMN(BCTCR_06608!A67),",0",",0")</f>
        <v>612262,67|1,0,0</v>
      </c>
      <c r="B67" t="str">
        <f>CONCATENATE(612595,",",ROW(BCTCR_06608!B67),"|",COLUMN(BCTCR_06608!B67),",0",",0")</f>
        <v>612595,67|2,0,0</v>
      </c>
      <c r="C67" t="str">
        <f>CONCATENATE(612554,",",ROW(BCTCR_06608!C67),"|",COLUMN(BCTCR_06608!C67),",0",",0")</f>
        <v>612554,67|3,0,0</v>
      </c>
      <c r="D67" t="str">
        <f>CONCATENATE(612284,",",ROW(BCTCR_06608!D67),"|",COLUMN(BCTCR_06608!D67),",0",",0")</f>
        <v>612284,67|4,0,0</v>
      </c>
      <c r="E67" t="str">
        <f>CONCATENATE(612308,",",ROW(BCTCR_06608!E67),"|",COLUMN(BCTCR_06608!E67),",0",",0")</f>
        <v>612308,67|5,0,0</v>
      </c>
    </row>
    <row r="68" spans="1:5" x14ac:dyDescent="0.25">
      <c r="A68" t="str">
        <f>CONCATENATE(612424,",",ROW(BCTCR_06608!A68),"|",COLUMN(BCTCR_06608!A68),",0",",0")</f>
        <v>612424,68|1,0,0</v>
      </c>
      <c r="B68" t="str">
        <f>CONCATENATE(612703,",",ROW(BCTCR_06608!B68),"|",COLUMN(BCTCR_06608!B68),",0",",0")</f>
        <v>612703,68|2,0,0</v>
      </c>
      <c r="C68" t="str">
        <f>CONCATENATE(612555,",",ROW(BCTCR_06608!C68),"|",COLUMN(BCTCR_06608!C68),",0",",0")</f>
        <v>612555,68|3,0,0</v>
      </c>
      <c r="D68" t="str">
        <f>CONCATENATE(612285,",",ROW(BCTCR_06608!D68),"|",COLUMN(BCTCR_06608!D68),",0",",0")</f>
        <v>612285,68|4,0,0</v>
      </c>
      <c r="E68" t="str">
        <f>CONCATENATE(612309,",",ROW(BCTCR_06608!E68),"|",COLUMN(BCTCR_06608!E68),",0",",0")</f>
        <v>612309,68|5,0,0</v>
      </c>
    </row>
    <row r="69" spans="1:5" x14ac:dyDescent="0.25">
      <c r="A69" t="str">
        <f>CONCATENATE(612228,",",ROW(BCTCR_06608!A69),"|",COLUMN(BCTCR_06608!A69),",0",",0")</f>
        <v>612228,69|1,0,0</v>
      </c>
      <c r="B69" t="str">
        <f>CONCATENATE(612704,",",ROW(BCTCR_06608!B69),"|",COLUMN(BCTCR_06608!B69),",0",",0")</f>
        <v>612704,69|2,0,0</v>
      </c>
      <c r="C69" t="str">
        <f>CONCATENATE(612556,",",ROW(BCTCR_06608!C69),"|",COLUMN(BCTCR_06608!C69),",0",",0")</f>
        <v>612556,69|3,0,0</v>
      </c>
      <c r="D69" t="str">
        <f>CONCATENATE(612708,",",ROW(BCTCR_06608!D69),"|",COLUMN(BCTCR_06608!D69),",0",",0")</f>
        <v>612708,69|4,0,0</v>
      </c>
      <c r="E69" t="str">
        <f>CONCATENATE(612310,",",ROW(BCTCR_06608!E69),"|",COLUMN(BCTCR_06608!E69),",0",",0")</f>
        <v>612310,69|5,0,0</v>
      </c>
    </row>
    <row r="70" spans="1:5" x14ac:dyDescent="0.25">
      <c r="A70" t="str">
        <f>CONCATENATE(612416,",",ROW(BCTCR_06608!A70),"|",COLUMN(BCTCR_06608!A70),",0",",0")</f>
        <v>612416,70|1,0,0</v>
      </c>
      <c r="B70" t="str">
        <f>CONCATENATE(612408,",",ROW(BCTCR_06608!B70),"|",COLUMN(BCTCR_06608!B70),",0",",0")</f>
        <v>612408,70|2,0,0</v>
      </c>
      <c r="C70" t="str">
        <f>CONCATENATE(612557,",",ROW(BCTCR_06608!C70),"|",COLUMN(BCTCR_06608!C70),",0",",0")</f>
        <v>612557,70|3,0,0</v>
      </c>
      <c r="D70" t="str">
        <f>CONCATENATE(612709,",",ROW(BCTCR_06608!D70),"|",COLUMN(BCTCR_06608!D70),",0",",0")</f>
        <v>612709,70|4,0,0</v>
      </c>
      <c r="E70" t="str">
        <f>CONCATENATE(612311,",",ROW(BCTCR_06608!E70),"|",COLUMN(BCTCR_06608!E70),",0",",0")</f>
        <v>612311,70|5,0,0</v>
      </c>
    </row>
    <row r="71" spans="1:5" x14ac:dyDescent="0.25">
      <c r="A71" t="str">
        <f>CONCATENATE(612739,",",ROW(BCTCR_06608!A71),"|",COLUMN(BCTCR_06608!A71),",0",",0")</f>
        <v>612739,71|1,0,0</v>
      </c>
      <c r="B71" t="str">
        <f>CONCATENATE(612629,",",ROW(BCTCR_06608!B71),"|",COLUMN(BCTCR_06608!B71),",0",",0")</f>
        <v>612629,71|2,0,0</v>
      </c>
      <c r="C71" t="str">
        <f>CONCATENATE(612450,",",ROW(BCTCR_06608!C71),"|",COLUMN(BCTCR_06608!C71),",0",",0")</f>
        <v>612450,71|3,0,0</v>
      </c>
      <c r="D71" t="str">
        <f>CONCATENATE(612348,",",ROW(BCTCR_06608!D71),"|",COLUMN(BCTCR_06608!D71),",0",",0")</f>
        <v>612348,71|4,0,0</v>
      </c>
      <c r="E71" t="str">
        <f>CONCATENATE(612191,",",ROW(BCTCR_06608!E71),"|",COLUMN(BCTCR_06608!E71),",0",",0")</f>
        <v>612191,71|5,0,0</v>
      </c>
    </row>
    <row r="72" spans="1:5" x14ac:dyDescent="0.25">
      <c r="A72" t="str">
        <f>CONCATENATE(612255,",",ROW(BCTCR_06608!A72),"|",COLUMN(BCTCR_06608!A72),",0",",0")</f>
        <v>612255,72|1,0,0</v>
      </c>
      <c r="B72" t="s">
        <v>5</v>
      </c>
      <c r="C72" t="str">
        <f>CONCATENATE(612288,",",ROW(BCTCR_06608!C72),"|",COLUMN(BCTCR_06608!C72),",0",",0")</f>
        <v>612288,72|3,0,0</v>
      </c>
      <c r="D72" t="str">
        <f>CONCATENATE(612287,",",ROW(BCTCR_06608!D72),"|",COLUMN(BCTCR_06608!D72),",0",",0")</f>
        <v>612287,72|4,0,0</v>
      </c>
      <c r="E72" t="str">
        <f>CONCATENATE(612765,",",ROW(BCTCR_06608!E72),"|",COLUMN(BCTCR_06608!E72),",0",",0")</f>
        <v>612765,72|5,0,0</v>
      </c>
    </row>
    <row r="73" spans="1:5" x14ac:dyDescent="0.25">
      <c r="A73" t="str">
        <f>CONCATENATE(612229,",",ROW(BCTCR_06608!A73),"|",COLUMN(BCTCR_06608!A73),",0",",0")</f>
        <v>612229,73|1,0,0</v>
      </c>
      <c r="B73" t="str">
        <f>CONCATENATE(612596,",",ROW(BCTCR_06608!B73),"|",COLUMN(BCTCR_06608!B73),",0",",0")</f>
        <v>612596,73|2,0,0</v>
      </c>
      <c r="C73" t="str">
        <f>CONCATENATE(612558,",",ROW(BCTCR_06608!C73),"|",COLUMN(BCTCR_06608!C73),",0",",0")</f>
        <v>612558,73|3,0,0</v>
      </c>
      <c r="D73" t="str">
        <f>CONCATENATE(612710,",",ROW(BCTCR_06608!D73),"|",COLUMN(BCTCR_06608!D73),",0",",0")</f>
        <v>612710,73|4,0,0</v>
      </c>
      <c r="E73" t="str">
        <f>CONCATENATE(612505,",",ROW(BCTCR_06608!E73),"|",COLUMN(BCTCR_06608!E73),",0",",0")</f>
        <v>612505,73|5,0,0</v>
      </c>
    </row>
    <row r="74" spans="1:5" x14ac:dyDescent="0.25">
      <c r="A74" t="str">
        <f>CONCATENATE(612230,",",ROW(BCTCR_06608!A74),"|",COLUMN(BCTCR_06608!A74),",0",",0")</f>
        <v>612230,74|1,0,0</v>
      </c>
      <c r="B74" t="str">
        <f>CONCATENATE(612597,",",ROW(BCTCR_06608!B74),"|",COLUMN(BCTCR_06608!B74),",0",",0")</f>
        <v>612597,74|2,0,0</v>
      </c>
      <c r="C74" t="str">
        <f>CONCATENATE(612559,",",ROW(BCTCR_06608!C74),"|",COLUMN(BCTCR_06608!C74),",0",",0")</f>
        <v>612559,74|3,0,0</v>
      </c>
      <c r="D74" t="str">
        <f>CONCATENATE(612711,",",ROW(BCTCR_06608!D74),"|",COLUMN(BCTCR_06608!D74),",0",",0")</f>
        <v>612711,74|4,0,0</v>
      </c>
      <c r="E74" t="str">
        <f>CONCATENATE(612506,",",ROW(BCTCR_06608!E74),"|",COLUMN(BCTCR_06608!E74),",0",",0")</f>
        <v>612506,74|5,0,0</v>
      </c>
    </row>
    <row r="75" spans="1:5" x14ac:dyDescent="0.25">
      <c r="A75" t="str">
        <f>CONCATENATE(612425,",",ROW(BCTCR_06608!A75),"|",COLUMN(BCTCR_06608!A75),",0",",0")</f>
        <v>612425,75|1,0,0</v>
      </c>
      <c r="B75" t="str">
        <f>CONCATENATE(612630,",",ROW(BCTCR_06608!B75),"|",COLUMN(BCTCR_06608!B75),",0",",0")</f>
        <v>612630,75|2,0,0</v>
      </c>
      <c r="C75" t="str">
        <f>CONCATENATE(612560,",",ROW(BCTCR_06608!C75),"|",COLUMN(BCTCR_06608!C75),",0",",0")</f>
        <v>612560,75|3,0,0</v>
      </c>
      <c r="D75" t="str">
        <f>CONCATENATE(612257,",",ROW(BCTCR_06608!D75),"|",COLUMN(BCTCR_06608!D75),",0",",0")</f>
        <v>612257,75|4,0,0</v>
      </c>
      <c r="E75" t="str">
        <f>CONCATENATE(612507,",",ROW(BCTCR_06608!E75),"|",COLUMN(BCTCR_06608!E75),",0",",0")</f>
        <v>612507,75|5,0,0</v>
      </c>
    </row>
    <row r="76" spans="1:5" x14ac:dyDescent="0.25">
      <c r="A76" t="str">
        <f>CONCATENATE(612740,",",ROW(BCTCR_06608!A76),"|",COLUMN(BCTCR_06608!A76),",0",",0")</f>
        <v>612740,76|1,0,0</v>
      </c>
      <c r="B76" t="str">
        <f>CONCATENATE(612598,",",ROW(BCTCR_06608!B76),"|",COLUMN(BCTCR_06608!B76),",0",",0")</f>
        <v>612598,76|2,0,0</v>
      </c>
      <c r="C76" t="str">
        <f>CONCATENATE(612451,",",ROW(BCTCR_06608!C76),"|",COLUMN(BCTCR_06608!C76),",0",",0")</f>
        <v>612451,76|3,0,0</v>
      </c>
      <c r="D76" t="str">
        <f>CONCATENATE(612349,",",ROW(BCTCR_06608!D76),"|",COLUMN(BCTCR_06608!D76),",0",",0")</f>
        <v>612349,76|4,0,0</v>
      </c>
      <c r="E76" t="str">
        <f>CONCATENATE(612192,",",ROW(BCTCR_06608!E76),"|",COLUMN(BCTCR_06608!E76),",0",",0")</f>
        <v>612192,76|5,0,0</v>
      </c>
    </row>
    <row r="77" spans="1:5" x14ac:dyDescent="0.25">
      <c r="A77" t="str">
        <f>CONCATENATE(612426,",",ROW(BCTCR_06608!A77),"|",COLUMN(BCTCR_06608!A77),",0",",0")</f>
        <v>612426,77|1,0,0</v>
      </c>
      <c r="B77" t="str">
        <f>CONCATENATE(612631,",",ROW(BCTCR_06608!B77),"|",COLUMN(BCTCR_06608!B77),",0",",0")</f>
        <v>612631,77|2,0,0</v>
      </c>
      <c r="C77" t="str">
        <f>CONCATENATE(612561,",",ROW(BCTCR_06608!C77),"|",COLUMN(BCTCR_06608!C77),",0",",0")</f>
        <v>612561,77|3,0,0</v>
      </c>
      <c r="D77" t="str">
        <f>CONCATENATE(612258,",",ROW(BCTCR_06608!D77),"|",COLUMN(BCTCR_06608!D77),",0",",0")</f>
        <v>612258,77|4,0,0</v>
      </c>
      <c r="E77" t="str">
        <f>CONCATENATE(612508,",",ROW(BCTCR_06608!E77),"|",COLUMN(BCTCR_06608!E77),",0",",0")</f>
        <v>612508,77|5,0,0</v>
      </c>
    </row>
    <row r="78" spans="1:5" x14ac:dyDescent="0.25">
      <c r="A78" t="str">
        <f>CONCATENATE(612750,",",ROW(BCTCR_06608!A78),"|",COLUMN(BCTCR_06608!A78),",0",",0")</f>
        <v>612750,78|1,0,0</v>
      </c>
      <c r="B78" t="str">
        <f>CONCATENATE(612599,",",ROW(BCTCR_06608!B78),"|",COLUMN(BCTCR_06608!B78),",0",",0")</f>
        <v>612599,78|2,0,0</v>
      </c>
      <c r="C78" t="str">
        <f>CONCATENATE(612562,",",ROW(BCTCR_06608!C78),"|",COLUMN(BCTCR_06608!C78),",0",",0")</f>
        <v>612562,78|3,0,0</v>
      </c>
      <c r="D78" t="str">
        <f>CONCATENATE(612259,",",ROW(BCTCR_06608!D78),"|",COLUMN(BCTCR_06608!D78),",0",",0")</f>
        <v>612259,78|4,0,0</v>
      </c>
      <c r="E78" t="str">
        <f>CONCATENATE(612509,",",ROW(BCTCR_06608!E78),"|",COLUMN(BCTCR_06608!E78),",0",",0")</f>
        <v>612509,78|5,0,0</v>
      </c>
    </row>
    <row r="79" spans="1:5" x14ac:dyDescent="0.25">
      <c r="A79" t="str">
        <f>CONCATENATE(612822,",",ROW(BCTCR_06608!A79),"|",COLUMN(BCTCR_06608!A79),",0",",0")</f>
        <v>612822,79|1,0,0</v>
      </c>
      <c r="B79" t="str">
        <f>CONCATENATE(612600,",",ROW(BCTCR_06608!B79),"|",COLUMN(BCTCR_06608!B79),",0",",0")</f>
        <v>612600,79|2,0,0</v>
      </c>
      <c r="C79" t="str">
        <f>CONCATENATE(612563,",",ROW(BCTCR_06608!C79),"|",COLUMN(BCTCR_06608!C79),",0",",0")</f>
        <v>612563,79|3,0,0</v>
      </c>
      <c r="D79" t="str">
        <f>CONCATENATE(612260,",",ROW(BCTCR_06608!D79),"|",COLUMN(BCTCR_06608!D79),",0",",0")</f>
        <v>612260,79|4,0,0</v>
      </c>
      <c r="E79" t="str">
        <f>CONCATENATE(612510,",",ROW(BCTCR_06608!E79),"|",COLUMN(BCTCR_06608!E79),",0",",0")</f>
        <v>612510,79|5,0,0</v>
      </c>
    </row>
    <row r="80" spans="1:5" x14ac:dyDescent="0.25">
      <c r="A80" t="str">
        <f>CONCATENATE(612545,",",ROW(BCTCR_06608!A80),"|",COLUMN(BCTCR_06608!A80),",0",",0")</f>
        <v>612545,80|1,0,0</v>
      </c>
      <c r="B80" t="str">
        <f>CONCATENATE(612410,",",ROW(BCTCR_06608!B80),"|",COLUMN(BCTCR_06608!B80),",0",",0")</f>
        <v>612410,80|2,0,0</v>
      </c>
      <c r="C80" t="str">
        <f>CONCATENATE(612438,",",ROW(BCTCR_06608!C80),"|",COLUMN(BCTCR_06608!C80),",0",",0")</f>
        <v>612438,80|3,0,0</v>
      </c>
      <c r="D80" t="str">
        <f>CONCATENATE(612337,",",ROW(BCTCR_06608!D80),"|",COLUMN(BCTCR_06608!D80),",0",",0")</f>
        <v>612337,80|4,0,0</v>
      </c>
      <c r="E80" t="str">
        <f>CONCATENATE(612829,",",ROW(BCTCR_06608!E80),"|",COLUMN(BCTCR_06608!E80),",0",",0")</f>
        <v>612829,80|5,0,0</v>
      </c>
    </row>
    <row r="81" spans="1:5" x14ac:dyDescent="0.25">
      <c r="A81" t="str">
        <f>CONCATENATE(612546,",",ROW(BCTCR_06608!A81),"|",COLUMN(BCTCR_06608!A81),",0",",0")</f>
        <v>612546,81|1,0,0</v>
      </c>
      <c r="B81" t="str">
        <f>CONCATENATE(612601,",",ROW(BCTCR_06608!B81),"|",COLUMN(BCTCR_06608!B81),",0",",0")</f>
        <v>612601,81|2,0,0</v>
      </c>
      <c r="C81" t="str">
        <f>CONCATENATE(612439,",",ROW(BCTCR_06608!C81),"|",COLUMN(BCTCR_06608!C81),",0",",0")</f>
        <v>612439,81|3,0,0</v>
      </c>
      <c r="D81" t="str">
        <f>CONCATENATE(612338,",",ROW(BCTCR_06608!D81),"|",COLUMN(BCTCR_06608!D81),",0",",0")</f>
        <v>612338,81|4,0,0</v>
      </c>
      <c r="E81" t="str">
        <f>CONCATENATE(612830,",",ROW(BCTCR_06608!E81),"|",COLUMN(BCTCR_06608!E81),",0",",0")</f>
        <v>612830,81|5,0,0</v>
      </c>
    </row>
    <row r="82" spans="1:5" x14ac:dyDescent="0.25">
      <c r="A82" t="str">
        <f>CONCATENATE(612547,",",ROW(BCTCR_06608!A82),"|",COLUMN(BCTCR_06608!A82),",0",",0")</f>
        <v>612547,82|1,0,0</v>
      </c>
      <c r="B82" t="str">
        <f>CONCATENATE(612411,",",ROW(BCTCR_06608!B82),"|",COLUMN(BCTCR_06608!B82),",0",",0")</f>
        <v>612411,82|2,0,0</v>
      </c>
      <c r="C82" t="str">
        <f>CONCATENATE(612440,",",ROW(BCTCR_06608!C82),"|",COLUMN(BCTCR_06608!C82),",0",",0")</f>
        <v>612440,82|3,0,0</v>
      </c>
      <c r="D82" t="str">
        <f>CONCATENATE(612339,",",ROW(BCTCR_06608!D82),"|",COLUMN(BCTCR_06608!D82),",0",",0")</f>
        <v>612339,82|4,0,0</v>
      </c>
      <c r="E82" t="str">
        <f>CONCATENATE(612831,",",ROW(BCTCR_06608!E82),"|",COLUMN(BCTCR_06608!E82),",0",",0")</f>
        <v>612831,82|5,0,0</v>
      </c>
    </row>
    <row r="83" spans="1:5" x14ac:dyDescent="0.25">
      <c r="A83" t="str">
        <f>CONCATENATE(612815,",",ROW(BCTCR_06608!A83),"|",COLUMN(BCTCR_06608!A83),",0",",0")</f>
        <v>612815,83|1,0,0</v>
      </c>
      <c r="B83" t="str">
        <f>CONCATENATE(612632,",",ROW(BCTCR_06608!B83),"|",COLUMN(BCTCR_06608!B83),",0",",0")</f>
        <v>612632,83|2,0,0</v>
      </c>
      <c r="C83" t="str">
        <f>CONCATENATE(612564,",",ROW(BCTCR_06608!C83),"|",COLUMN(BCTCR_06608!C83),",0",",0")</f>
        <v>612564,83|3,0,0</v>
      </c>
      <c r="D83" t="str">
        <f>CONCATENATE(612261,",",ROW(BCTCR_06608!D83),"|",COLUMN(BCTCR_06608!D83),",0",",0")</f>
        <v>612261,83|4,0,0</v>
      </c>
      <c r="E83" t="str">
        <f>CONCATENATE(612511,",",ROW(BCTCR_06608!E83),"|",COLUMN(BCTCR_06608!E83),",0",",0")</f>
        <v>612511,83|5,0,0</v>
      </c>
    </row>
    <row r="84" spans="1:5" x14ac:dyDescent="0.25">
      <c r="A84" t="str">
        <f>CONCATENATE(612478,",",ROW(BCTCR_06608!A84),"|",COLUMN(BCTCR_06608!A84),",0",",0")</f>
        <v>612478,84|1,0,0</v>
      </c>
      <c r="B84" t="str">
        <f>CONCATENATE(612633,",",ROW(BCTCR_06608!B84),"|",COLUMN(BCTCR_06608!B84),",0",",0")</f>
        <v>612633,84|2,0,0</v>
      </c>
      <c r="C84" t="str">
        <f>CONCATENATE(612565,",",ROW(BCTCR_06608!C84),"|",COLUMN(BCTCR_06608!C84),",0",",0")</f>
        <v>612565,84|3,0,0</v>
      </c>
      <c r="D84" t="str">
        <f>CONCATENATE(612729,",",ROW(BCTCR_06608!D84),"|",COLUMN(BCTCR_06608!D84),",0",",0")</f>
        <v>612729,84|4,0,0</v>
      </c>
      <c r="E84" t="str">
        <f>CONCATENATE(612512,",",ROW(BCTCR_06608!E84),"|",COLUMN(BCTCR_06608!E84),",0",",0")</f>
        <v>612512,84|5,0,0</v>
      </c>
    </row>
    <row r="85" spans="1:5" x14ac:dyDescent="0.25">
      <c r="A85" t="str">
        <f>CONCATENATE(612479,",",ROW(BCTCR_06608!A85),"|",COLUMN(BCTCR_06608!A85),",0",",0")</f>
        <v>612479,85|1,0,0</v>
      </c>
      <c r="B85" t="str">
        <f>CONCATENATE(612635,",",ROW(BCTCR_06608!B85),"|",COLUMN(BCTCR_06608!B85),",0",",0")</f>
        <v>612635,85|2,0,0</v>
      </c>
      <c r="C85" t="str">
        <f>CONCATENATE(612566,",",ROW(BCTCR_06608!C85),"|",COLUMN(BCTCR_06608!C85),",0",",0")</f>
        <v>612566,85|3,0,0</v>
      </c>
      <c r="D85" t="str">
        <f>CONCATENATE(612644,",",ROW(BCTCR_06608!D85),"|",COLUMN(BCTCR_06608!D85),",0",",0")</f>
        <v>612644,85|4,0,0</v>
      </c>
      <c r="E85" t="str">
        <f>CONCATENATE(612513,",",ROW(BCTCR_06608!E85),"|",COLUMN(BCTCR_06608!E85),",0",",0")</f>
        <v>612513,85|5,0,0</v>
      </c>
    </row>
    <row r="86" spans="1:5" x14ac:dyDescent="0.25">
      <c r="A86" t="str">
        <f>CONCATENATE(612480,",",ROW(BCTCR_06608!A86),"|",COLUMN(BCTCR_06608!A86),",0",",0")</f>
        <v>612480,86|1,0,0</v>
      </c>
      <c r="B86" t="str">
        <f>CONCATENATE(612602,",",ROW(BCTCR_06608!B86),"|",COLUMN(BCTCR_06608!B86),",0",",0")</f>
        <v>612602,86|2,0,0</v>
      </c>
      <c r="C86" t="str">
        <f>CONCATENATE(612567,",",ROW(BCTCR_06608!C86),"|",COLUMN(BCTCR_06608!C86),",0",",0")</f>
        <v>612567,86|3,0,0</v>
      </c>
      <c r="D86" t="str">
        <f>CONCATENATE(612645,",",ROW(BCTCR_06608!D86),"|",COLUMN(BCTCR_06608!D86),",0",",0")</f>
        <v>612645,86|4,0,0</v>
      </c>
      <c r="E86" t="str">
        <f>CONCATENATE(612514,",",ROW(BCTCR_06608!E86),"|",COLUMN(BCTCR_06608!E86),",0",",0")</f>
        <v>612514,86|5,0,0</v>
      </c>
    </row>
    <row r="87" spans="1:5" x14ac:dyDescent="0.25">
      <c r="A87" t="str">
        <f>CONCATENATE(612481,",",ROW(BCTCR_06608!A87),"|",COLUMN(BCTCR_06608!A87),",0",",0")</f>
        <v>612481,87|1,0,0</v>
      </c>
      <c r="B87" t="str">
        <f>CONCATENATE(612636,",",ROW(BCTCR_06608!B87),"|",COLUMN(BCTCR_06608!B87),",0",",0")</f>
        <v>612636,87|2,0,0</v>
      </c>
      <c r="C87" t="str">
        <f>CONCATENATE(612568,",",ROW(BCTCR_06608!C87),"|",COLUMN(BCTCR_06608!C87),",0",",0")</f>
        <v>612568,87|3,0,0</v>
      </c>
      <c r="D87" t="str">
        <f>CONCATENATE(612646,",",ROW(BCTCR_06608!D87),"|",COLUMN(BCTCR_06608!D87),",0",",0")</f>
        <v>612646,87|4,0,0</v>
      </c>
      <c r="E87" t="str">
        <f>CONCATENATE(612515,",",ROW(BCTCR_06608!E87),"|",COLUMN(BCTCR_06608!E87),",0",",0")</f>
        <v>612515,87|5,0,0</v>
      </c>
    </row>
    <row r="88" spans="1:5" x14ac:dyDescent="0.25">
      <c r="A88" t="str">
        <f>CONCATENATE(612482,",",ROW(BCTCR_06608!A88),"|",COLUMN(BCTCR_06608!A88),",0",",0")</f>
        <v>612482,88|1,0,0</v>
      </c>
      <c r="B88" t="str">
        <f>CONCATENATE(612637,",",ROW(BCTCR_06608!B88),"|",COLUMN(BCTCR_06608!B88),",0",",0")</f>
        <v>612637,88|2,0,0</v>
      </c>
      <c r="C88" t="str">
        <f>CONCATENATE(612569,",",ROW(BCTCR_06608!C88),"|",COLUMN(BCTCR_06608!C88),",0",",0")</f>
        <v>612569,88|3,0,0</v>
      </c>
      <c r="D88" t="str">
        <f>CONCATENATE(612647,",",ROW(BCTCR_06608!D88),"|",COLUMN(BCTCR_06608!D88),",0",",0")</f>
        <v>612647,88|4,0,0</v>
      </c>
      <c r="E88" t="str">
        <f>CONCATENATE(612516,",",ROW(BCTCR_06608!E88),"|",COLUMN(BCTCR_06608!E88),",0",",0")</f>
        <v>612516,88|5,0,0</v>
      </c>
    </row>
    <row r="89" spans="1:5" x14ac:dyDescent="0.25">
      <c r="A89" t="str">
        <f>CONCATENATE(612483,",",ROW(BCTCR_06608!A89),"|",COLUMN(BCTCR_06608!A89),",0",",0")</f>
        <v>612483,89|1,0,0</v>
      </c>
      <c r="B89" t="str">
        <f>CONCATENATE(612610,",",ROW(BCTCR_06608!B89),"|",COLUMN(BCTCR_06608!B89),",0",",0")</f>
        <v>612610,89|2,0,0</v>
      </c>
      <c r="C89" t="str">
        <f>CONCATENATE(612423,",",ROW(BCTCR_06608!C89),"|",COLUMN(BCTCR_06608!C89),",0",",0")</f>
        <v>612423,89|3,0,0</v>
      </c>
      <c r="D89" t="str">
        <f>CONCATENATE(612648,",",ROW(BCTCR_06608!D89),"|",COLUMN(BCTCR_06608!D89),",0",",0")</f>
        <v>612648,89|4,0,0</v>
      </c>
      <c r="E89" t="str">
        <f>CONCATENATE(612517,",",ROW(BCTCR_06608!E89),"|",COLUMN(BCTCR_06608!E89),",0",",0")</f>
        <v>612517,89|5,0,0</v>
      </c>
    </row>
    <row r="90" spans="1:5" x14ac:dyDescent="0.25">
      <c r="A90" t="str">
        <f>CONCATENATE(612527,",",ROW(BCTCR_06608!A90),"|",COLUMN(BCTCR_06608!A90),",0",",0")</f>
        <v>612527,90|1,0,0</v>
      </c>
      <c r="B90" t="str">
        <f>CONCATENATE(612611,",",ROW(BCTCR_06608!B90),"|",COLUMN(BCTCR_06608!B90),",0",",0")</f>
        <v>612611,90|2,0,0</v>
      </c>
      <c r="C90" t="str">
        <f>CONCATENATE(612277,",",ROW(BCTCR_06608!C90),"|",COLUMN(BCTCR_06608!C90),",0",",0")</f>
        <v>612277,90|3,0,0</v>
      </c>
      <c r="D90" t="str">
        <f>CONCATENATE(612649,",",ROW(BCTCR_06608!D90),"|",COLUMN(BCTCR_06608!D90),",0",",0")</f>
        <v>612649,90|4,0,0</v>
      </c>
      <c r="E90" t="str">
        <f>CONCATENATE(612519,",",ROW(BCTCR_06608!E90),"|",COLUMN(BCTCR_06608!E90),",0",",0")</f>
        <v>612519,90|5,0,0</v>
      </c>
    </row>
    <row r="91" spans="1:5" x14ac:dyDescent="0.25">
      <c r="A91" t="str">
        <f>CONCATENATE(612528,",",ROW(BCTCR_06608!A91),"|",COLUMN(BCTCR_06608!A91),",0",",0")</f>
        <v>612528,91|1,0,0</v>
      </c>
      <c r="B91" t="str">
        <f>CONCATENATE(612603,",",ROW(BCTCR_06608!B91),"|",COLUMN(BCTCR_06608!B91),",0",",0")</f>
        <v>612603,91|2,0,0</v>
      </c>
      <c r="C91" t="str">
        <f>CONCATENATE(612278,",",ROW(BCTCR_06608!C91),"|",COLUMN(BCTCR_06608!C91),",0",",0")</f>
        <v>612278,91|3,0,0</v>
      </c>
      <c r="D91" t="str">
        <f>CONCATENATE(612650,",",ROW(BCTCR_06608!D91),"|",COLUMN(BCTCR_06608!D91),",0",",0")</f>
        <v>612650,91|4,0,0</v>
      </c>
      <c r="E91" t="str">
        <f>CONCATENATE(612520,",",ROW(BCTCR_06608!E91),"|",COLUMN(BCTCR_06608!E91),",0",",0")</f>
        <v>612520,91|5,0,0</v>
      </c>
    </row>
    <row r="92" spans="1:5" x14ac:dyDescent="0.25">
      <c r="A92" t="str">
        <f>CONCATENATE(612250,",",ROW(BCTCR_06608!A92),"|",COLUMN(BCTCR_06608!A92),",0",",0")</f>
        <v>612250,92|1,0,0</v>
      </c>
      <c r="B92" t="str">
        <f>CONCATENATE(612612,",",ROW(BCTCR_06608!B92),"|",COLUMN(BCTCR_06608!B92),",0",",0")</f>
        <v>612612,92|2,0,0</v>
      </c>
      <c r="C92" t="str">
        <f>CONCATENATE(612679,",",ROW(BCTCR_06608!C92),"|",COLUMN(BCTCR_06608!C92),",0",",0")</f>
        <v>612679,92|3,0,0</v>
      </c>
      <c r="D92" t="str">
        <f>CONCATENATE(612541,",",ROW(BCTCR_06608!D92),"|",COLUMN(BCTCR_06608!D92),",0",",0")</f>
        <v>612541,92|4,0,0</v>
      </c>
      <c r="E92" t="str">
        <f>CONCATENATE(612737,",",ROW(BCTCR_06608!E92),"|",COLUMN(BCTCR_06608!E92),",0",",0")</f>
        <v>612737,92|5,0,0</v>
      </c>
    </row>
    <row r="93" spans="1:5" x14ac:dyDescent="0.25">
      <c r="A93" t="str">
        <f>CONCATENATE(612251,",",ROW(BCTCR_06608!A93),"|",COLUMN(BCTCR_06608!A93),",0",",0")</f>
        <v>612251,93|1,0,0</v>
      </c>
      <c r="B93" t="str">
        <f>CONCATENATE(612358,",",ROW(BCTCR_06608!B93),"|",COLUMN(BCTCR_06608!B93),",0",",0")</f>
        <v>612358,93|2,0,0</v>
      </c>
      <c r="C93" t="str">
        <f>CONCATENATE(612721,",",ROW(BCTCR_06608!C93),"|",COLUMN(BCTCR_06608!C93),",0",",0")</f>
        <v>612721,93|3,0,0</v>
      </c>
      <c r="D93" t="str">
        <f>CONCATENATE(612542,",",ROW(BCTCR_06608!D93),"|",COLUMN(BCTCR_06608!D93),",0",",0")</f>
        <v>612542,93|4,0,0</v>
      </c>
      <c r="E93" t="str">
        <f>CONCATENATE(612738,",",ROW(BCTCR_06608!E93),"|",COLUMN(BCTCR_06608!E93),",0",",0")</f>
        <v>612738,93|5,0,0</v>
      </c>
    </row>
    <row r="94" spans="1:5" x14ac:dyDescent="0.25">
      <c r="A94" t="str">
        <f>CONCATENATE(612427,",",ROW(BCTCR_06608!A94),"|",COLUMN(BCTCR_06608!A94),",0",",0")</f>
        <v>612427,94|1,0,0</v>
      </c>
      <c r="B94" t="str">
        <f>CONCATENATE(612613,",",ROW(BCTCR_06608!B94),"|",COLUMN(BCTCR_06608!B94),",0",",0")</f>
        <v>612613,94|2,0,0</v>
      </c>
      <c r="C94" t="str">
        <f>CONCATENATE(612279,",",ROW(BCTCR_06608!C94),"|",COLUMN(BCTCR_06608!C94),",0",",0")</f>
        <v>612279,94|3,0,0</v>
      </c>
      <c r="D94" t="str">
        <f>CONCATENATE(612651,",",ROW(BCTCR_06608!D94),"|",COLUMN(BCTCR_06608!D94),",0",",0")</f>
        <v>612651,94|4,0,0</v>
      </c>
      <c r="E94" t="str">
        <f>CONCATENATE(612521,",",ROW(BCTCR_06608!E94),"|",COLUMN(BCTCR_06608!E94),",0",",0")</f>
        <v>612521,94|5,0,0</v>
      </c>
    </row>
    <row r="95" spans="1:5" x14ac:dyDescent="0.25">
      <c r="A95" t="str">
        <f>CONCATENATE(612570,",",ROW(BCTCR_06608!A95),"|",COLUMN(BCTCR_06608!A95),",0",",0")</f>
        <v>612570,95|1,0,0</v>
      </c>
      <c r="B95" t="str">
        <f>CONCATENATE(612359,",",ROW(BCTCR_06608!B95),"|",COLUMN(BCTCR_06608!B95),",0",",0")</f>
        <v>612359,95|2,0,0</v>
      </c>
      <c r="C95" t="str">
        <f>CONCATENATE(612776,",",ROW(BCTCR_06608!C95),"|",COLUMN(BCTCR_06608!C95),",0",",0")</f>
        <v>612776,95|3,0,0</v>
      </c>
      <c r="D95" t="str">
        <f>CONCATENATE(612389,",",ROW(BCTCR_06608!D95),"|",COLUMN(BCTCR_06608!D95),",0",",0")</f>
        <v>612389,95|4,0,0</v>
      </c>
      <c r="E95" t="str">
        <f>CONCATENATE(612577,",",ROW(BCTCR_06608!E95),"|",COLUMN(BCTCR_06608!E95),",0",",0")</f>
        <v>612577,95|5,0,0</v>
      </c>
    </row>
    <row r="96" spans="1:5" x14ac:dyDescent="0.25">
      <c r="A96" t="str">
        <f>CONCATENATE(612252,",",ROW(BCTCR_06608!A96),"|",COLUMN(BCTCR_06608!A96),",0",",0")</f>
        <v>612252,96|1,0,0</v>
      </c>
      <c r="B96" t="str">
        <f>CONCATENATE(612604,",",ROW(BCTCR_06608!B96),"|",COLUMN(BCTCR_06608!B96),",0",",0")</f>
        <v>612604,96|2,0,0</v>
      </c>
      <c r="C96" t="str">
        <f>CONCATENATE(612571,",",ROW(BCTCR_06608!C96),"|",COLUMN(BCTCR_06608!C96),",0",",0")</f>
        <v>612571,96|3,0,0</v>
      </c>
      <c r="D96" t="str">
        <f>CONCATENATE(612543,",",ROW(BCTCR_06608!D96),"|",COLUMN(BCTCR_06608!D96),",0",",0")</f>
        <v>612543,96|4,0,0</v>
      </c>
      <c r="E96" t="str">
        <f>CONCATENATE(612272,",",ROW(BCTCR_06608!E96),"|",COLUMN(BCTCR_06608!E96),",0",",0")</f>
        <v>612272,96|5,0,0</v>
      </c>
    </row>
    <row r="97" spans="1:5" x14ac:dyDescent="0.25">
      <c r="A97" t="str">
        <f>CONCATENATE(612840,",",ROW(BCTCR_06608!A97),"|",COLUMN(BCTCR_06608!A97),",0",",0")</f>
        <v>612840,97|1,0,0</v>
      </c>
      <c r="B97" t="str">
        <f>CONCATENATE(612360,",",ROW(BCTCR_06608!B97),"|",COLUMN(BCTCR_06608!B97),",0",",0")</f>
        <v>612360,97|2,0,0</v>
      </c>
      <c r="C97" t="str">
        <f>CONCATENATE(612777,",",ROW(BCTCR_06608!C97),"|",COLUMN(BCTCR_06608!C97),",0",",0")</f>
        <v>612777,97|3,0,0</v>
      </c>
      <c r="D97" t="str">
        <f>CONCATENATE(612390,",",ROW(BCTCR_06608!D97),"|",COLUMN(BCTCR_06608!D97),",0",",0")</f>
        <v>612390,97|4,0,0</v>
      </c>
      <c r="E97" t="str">
        <f>CONCATENATE(612578,",",ROW(BCTCR_06608!E97),"|",COLUMN(BCTCR_06608!E97),",0",",0")</f>
        <v>612578,97|5,0,0</v>
      </c>
    </row>
    <row r="98" spans="1:5" x14ac:dyDescent="0.25">
      <c r="A98" t="str">
        <f>CONCATENATE(612749,",",ROW(BCTCR_06608!A98),"|",COLUMN(BCTCR_06608!A98),",0",",0")</f>
        <v>612749,98|1,0,0</v>
      </c>
      <c r="B98" t="str">
        <f>CONCATENATE(612605,",",ROW(BCTCR_06608!B98),"|",COLUMN(BCTCR_06608!B98),",0",",0")</f>
        <v>612605,98|2,0,0</v>
      </c>
      <c r="C98" t="str">
        <f>CONCATENATE(612280,",",ROW(BCTCR_06608!C98),"|",COLUMN(BCTCR_06608!C98),",0",",0")</f>
        <v>612280,98|3,0,0</v>
      </c>
      <c r="D98" t="str">
        <f>CONCATENATE(612652,",",ROW(BCTCR_06608!D98),"|",COLUMN(BCTCR_06608!D98),",0",",0")</f>
        <v>612652,98|4,0,0</v>
      </c>
      <c r="E98" t="str">
        <f>CONCATENATE(612522,",",ROW(BCTCR_06608!E98),"|",COLUMN(BCTCR_06608!E98),",0",",0")</f>
        <v>612522,98|5,0,0</v>
      </c>
    </row>
    <row r="99" spans="1:5" x14ac:dyDescent="0.25">
      <c r="A99" t="str">
        <f>CONCATENATE(612634,",",ROW(BCTCR_06608!A99),"|",COLUMN(BCTCR_06608!A99),",0",",0")</f>
        <v>612634,99|1,0,0</v>
      </c>
      <c r="B99" t="str">
        <f>CONCATENATE(612412,",",ROW(BCTCR_06608!B99),"|",COLUMN(BCTCR_06608!B99),",0",",0")</f>
        <v>612412,99|2,0,0</v>
      </c>
      <c r="C99" t="str">
        <f>CONCATENATE(612281,",",ROW(BCTCR_06608!C99),"|",COLUMN(BCTCR_06608!C99),",0",",0")</f>
        <v>612281,99|3,0,0</v>
      </c>
      <c r="D99" t="str">
        <f>CONCATENATE(612653,",",ROW(BCTCR_06608!D99),"|",COLUMN(BCTCR_06608!D99),",0",",0")</f>
        <v>612653,99|4,0,0</v>
      </c>
      <c r="E99" t="str">
        <f>CONCATENATE(612523,",",ROW(BCTCR_06608!E99),"|",COLUMN(BCTCR_06608!E99),",0",",0")</f>
        <v>612523,99|5,0,0</v>
      </c>
    </row>
    <row r="100" spans="1:5" x14ac:dyDescent="0.25">
      <c r="A100" t="str">
        <f>CONCATENATE(612428,",",ROW(BCTCR_06608!A100),"|",COLUMN(BCTCR_06608!A100),",0",",0")</f>
        <v>612428,100|1,0,0</v>
      </c>
      <c r="B100" t="str">
        <f>CONCATENATE(612581,",",ROW(BCTCR_06608!B100),"|",COLUMN(BCTCR_06608!B100),",0",",0")</f>
        <v>612581,100|2,0,0</v>
      </c>
      <c r="C100" t="str">
        <f>CONCATENATE(612282,",",ROW(BCTCR_06608!C100),"|",COLUMN(BCTCR_06608!C100),",0",",0")</f>
        <v>612282,100|3,0,0</v>
      </c>
      <c r="D100" t="str">
        <f>CONCATENATE(612654,",",ROW(BCTCR_06608!D100),"|",COLUMN(BCTCR_06608!D100),",0",",0")</f>
        <v>612654,100|4,0,0</v>
      </c>
      <c r="E100" t="str">
        <f>CONCATENATE(612524,",",ROW(BCTCR_06608!E100),"|",COLUMN(BCTCR_06608!E100),",0",",0")</f>
        <v>612524,100|5,0,0</v>
      </c>
    </row>
    <row r="101" spans="1:5" x14ac:dyDescent="0.25">
      <c r="A101" t="str">
        <f>CONCATENATE(612841,",",ROW(BCTCR_06608!A101),"|",COLUMN(BCTCR_06608!A101),",0",",0")</f>
        <v>612841,101|1,0,0</v>
      </c>
      <c r="B101" t="str">
        <f>CONCATENATE(612583,",",ROW(BCTCR_06608!B101),"|",COLUMN(BCTCR_06608!B101),",0",",0")</f>
        <v>612583,101|2,0,0</v>
      </c>
      <c r="C101" t="str">
        <f>CONCATENATE(612747,",",ROW(BCTCR_06608!C101),"|",COLUMN(BCTCR_06608!C101),",0",",0")</f>
        <v>612747,101|3,0,0</v>
      </c>
      <c r="D101" t="str">
        <f>CONCATENATE(612659,",",ROW(BCTCR_06608!D101),"|",COLUMN(BCTCR_06608!D101),",0",",0")</f>
        <v>612659,101|4,0,0</v>
      </c>
      <c r="E101" t="str">
        <f>CONCATENATE(612290,",",ROW(BCTCR_06608!E101),"|",COLUMN(BCTCR_06608!E101),",0",",0")</f>
        <v>612290,101|5,0,0</v>
      </c>
    </row>
    <row r="102" spans="1:5" x14ac:dyDescent="0.25">
      <c r="A102" t="str">
        <f>CONCATENATE(612842,",",ROW(BCTCR_06608!A102),"|",COLUMN(BCTCR_06608!A102),",0",",0")</f>
        <v>612842,102|1,0,0</v>
      </c>
      <c r="B102" t="str">
        <f>CONCATENATE(612361,",",ROW(BCTCR_06608!B102),"|",COLUMN(BCTCR_06608!B102),",0",",0")</f>
        <v>612361,102|2,0,0</v>
      </c>
      <c r="C102" t="str">
        <f>CONCATENATE(612778,",",ROW(BCTCR_06608!C102),"|",COLUMN(BCTCR_06608!C102),",0",",0")</f>
        <v>612778,102|3,0,0</v>
      </c>
      <c r="D102" t="str">
        <f>CONCATENATE(612572,",",ROW(BCTCR_06608!D102),"|",COLUMN(BCTCR_06608!D102),",0",",0")</f>
        <v>612572,102|4,0,0</v>
      </c>
      <c r="E102" t="str">
        <f>CONCATENATE(612579,",",ROW(BCTCR_06608!E102),"|",COLUMN(BCTCR_06608!E102),",0",",0")</f>
        <v>612579,102|5,0,0</v>
      </c>
    </row>
    <row r="103" spans="1:5" x14ac:dyDescent="0.25">
      <c r="A103" t="str">
        <f>CONCATENATE(612253,",",ROW(BCTCR_06608!A103),"|",COLUMN(BCTCR_06608!A103),",0",",0")</f>
        <v>612253,103|1,0,0</v>
      </c>
      <c r="B103" t="str">
        <f>CONCATENATE(612606,",",ROW(BCTCR_06608!B103),"|",COLUMN(BCTCR_06608!B103),",0",",0")</f>
        <v>612606,103|2,0,0</v>
      </c>
      <c r="C103" t="str">
        <f>CONCATENATE(612712,",",ROW(BCTCR_06608!C103),"|",COLUMN(BCTCR_06608!C103),",0",",0")</f>
        <v>612712,103|3,0,0</v>
      </c>
      <c r="D103" t="str">
        <f>CONCATENATE(612544,",",ROW(BCTCR_06608!D103),"|",COLUMN(BCTCR_06608!D103),",0",",0")</f>
        <v>612544,103|4,0,0</v>
      </c>
      <c r="E103" t="str">
        <f>CONCATENATE(612273,",",ROW(BCTCR_06608!E103),"|",COLUMN(BCTCR_06608!E103),",0",",0")</f>
        <v>612273,103|5,0,0</v>
      </c>
    </row>
    <row r="104" spans="1:5" x14ac:dyDescent="0.25">
      <c r="A104" t="str">
        <f>CONCATENATE(612751,",",ROW(BCTCR_06608!A104),"|",COLUMN(BCTCR_06608!A104),",0",",0")</f>
        <v>612751,104|1,0,0</v>
      </c>
      <c r="B104" t="str">
        <f>CONCATENATE(612792,",",ROW(BCTCR_06608!B104),"|",COLUMN(BCTCR_06608!B104),",0",",0")</f>
        <v>612792,104|2,0,0</v>
      </c>
      <c r="C104" t="str">
        <f>CONCATENATE(612283,",",ROW(BCTCR_06608!C104),"|",COLUMN(BCTCR_06608!C104),",0",",0")</f>
        <v>612283,104|3,0,0</v>
      </c>
      <c r="D104" t="str">
        <f>CONCATENATE(612655,",",ROW(BCTCR_06608!D104),"|",COLUMN(BCTCR_06608!D104),",0",",0")</f>
        <v>612655,104|4,0,0</v>
      </c>
      <c r="E104" t="str">
        <f>CONCATENATE(612525,",",ROW(BCTCR_06608!E104),"|",COLUMN(BCTCR_06608!E104),",0",",0")</f>
        <v>612525,104|5,0,0</v>
      </c>
    </row>
    <row r="105" spans="1:5" x14ac:dyDescent="0.25">
      <c r="A105" t="str">
        <f>CONCATENATE(612752,",",ROW(BCTCR_06608!A105),"|",COLUMN(BCTCR_06608!A105),",0",",0")</f>
        <v>612752,105|1,0,0</v>
      </c>
      <c r="B105" t="str">
        <f>CONCATENATE(612607,",",ROW(BCTCR_06608!B105),"|",COLUMN(BCTCR_06608!B105),",0",",0")</f>
        <v>612607,105|2,0,0</v>
      </c>
      <c r="C105" t="str">
        <f>CONCATENATE(612208,",",ROW(BCTCR_06608!C105),"|",COLUMN(BCTCR_06608!C105),",0",",0")</f>
        <v>612208,105|3,0,0</v>
      </c>
      <c r="D105" t="str">
        <f>CONCATENATE(612656,",",ROW(BCTCR_06608!D105),"|",COLUMN(BCTCR_06608!D105),",0",",0")</f>
        <v>612656,105|4,0,0</v>
      </c>
      <c r="E105" t="str">
        <f>CONCATENATE(612526,",",ROW(BCTCR_06608!E105),"|",COLUMN(BCTCR_06608!E105),",0",",0")</f>
        <v>612526,105|5,0,0</v>
      </c>
    </row>
    <row r="106" spans="1:5" x14ac:dyDescent="0.25">
      <c r="A106" t="str">
        <f>CONCATENATE(612429,",",ROW(BCTCR_06608!A106),"|",COLUMN(BCTCR_06608!A106),",0",",0")</f>
        <v>612429,106|1,0,0</v>
      </c>
      <c r="B106" t="str">
        <f>CONCATENATE(612793,",",ROW(BCTCR_06608!B106),"|",COLUMN(BCTCR_06608!B106),",0",",0")</f>
        <v>612793,106|2,0,0</v>
      </c>
      <c r="C106" t="str">
        <f>CONCATENATE(612746,",",ROW(BCTCR_06608!C106),"|",COLUMN(BCTCR_06608!C106),",0",",0")</f>
        <v>612746,106|3,0,0</v>
      </c>
      <c r="D106" t="str">
        <f>CONCATENATE(612658,",",ROW(BCTCR_06608!D106),"|",COLUMN(BCTCR_06608!D106),",0",",0")</f>
        <v>612658,106|4,0,0</v>
      </c>
      <c r="E106" t="str">
        <f>CONCATENATE(612533,",",ROW(BCTCR_06608!E106),"|",COLUMN(BCTCR_06608!E106),",0",",0")</f>
        <v>612533,106|5,0,0</v>
      </c>
    </row>
    <row r="107" spans="1:5" x14ac:dyDescent="0.25">
      <c r="A107" t="str">
        <f>CONCATENATE(612231,",",ROW(BCTCR_06608!A107),"|",COLUMN(BCTCR_06608!A107),",0",",0")</f>
        <v>612231,107|1,0,0</v>
      </c>
      <c r="B107" t="str">
        <f>CONCATENATE(612608,",",ROW(BCTCR_06608!B107),"|",COLUMN(BCTCR_06608!B107),",0",",0")</f>
        <v>612608,107|2,0,0</v>
      </c>
      <c r="C107" t="str">
        <f>CONCATENATE(612688,",",ROW(BCTCR_06608!C107),"|",COLUMN(BCTCR_06608!C107),",0",",0")</f>
        <v>612688,107|3,0,0</v>
      </c>
      <c r="D107" t="str">
        <f>CONCATENATE(612657,",",ROW(BCTCR_06608!D107),"|",COLUMN(BCTCR_06608!D107),",0",",0")</f>
        <v>612657,107|4,0,0</v>
      </c>
      <c r="E107" t="str">
        <f>CONCATENATE(612763,",",ROW(BCTCR_06608!E107),"|",COLUMN(BCTCR_06608!E107),",0",",0")</f>
        <v>612763,107|5,0,0</v>
      </c>
    </row>
    <row r="108" spans="1:5" x14ac:dyDescent="0.25">
      <c r="A108" t="str">
        <f>CONCATENATE(612391,",",ROW(BCTCR_06608!A108),"|",COLUMN(BCTCR_06608!A108),",0",",0")</f>
        <v>612391,108|1,0,0</v>
      </c>
      <c r="B108" t="str">
        <f>CONCATENATE(612680,",",ROW(BCTCR_06608!B108),"|",COLUMN(BCTCR_06608!B108),",0",",0")</f>
        <v>612680,108|2,0,0</v>
      </c>
      <c r="C108" t="str">
        <f>CONCATENATE(612713,",",ROW(BCTCR_06608!C108),"|",COLUMN(BCTCR_06608!C108),",0",",0")</f>
        <v>612713,108|3,0,0</v>
      </c>
      <c r="D108" t="str">
        <f>CONCATENATE(612706,",",ROW(BCTCR_06608!D108),"|",COLUMN(BCTCR_06608!D108),",0",",0")</f>
        <v>612706,108|4,0,0</v>
      </c>
      <c r="E108" t="str">
        <f>CONCATENATE(612274,",",ROW(BCTCR_06608!E108),"|",COLUMN(BCTCR_06608!E108),",0",",0")</f>
        <v>612274,108|5,0,0</v>
      </c>
    </row>
    <row r="109" spans="1:5" x14ac:dyDescent="0.25">
      <c r="A109" t="str">
        <f>CONCATENATE(612753,",",ROW(BCTCR_06608!A109),"|",COLUMN(BCTCR_06608!A109),",0",",0")</f>
        <v>612753,109|1,0,0</v>
      </c>
      <c r="B109" t="str">
        <f>CONCATENATE(612794,",",ROW(BCTCR_06608!B109),"|",COLUMN(BCTCR_06608!B109),",0",",0")</f>
        <v>612794,109|2,0,0</v>
      </c>
      <c r="C109" t="str">
        <f>CONCATENATE(612781,",",ROW(BCTCR_06608!C109),"|",COLUMN(BCTCR_06608!C109),",0",",0")</f>
        <v>612781,109|3,0,0</v>
      </c>
      <c r="D109" t="str">
        <f>CONCATENATE(612383,",",ROW(BCTCR_06608!D109),"|",COLUMN(BCTCR_06608!D109),",0",",0")</f>
        <v>612383,109|4,0,0</v>
      </c>
      <c r="E109" t="str">
        <f>CONCATENATE(612488,",",ROW(BCTCR_06608!E109),"|",COLUMN(BCTCR_06608!E109),",0",",0")</f>
        <v>612488,109|5,0,0</v>
      </c>
    </row>
    <row r="110" spans="1:5" x14ac:dyDescent="0.25">
      <c r="A110" t="str">
        <f>CONCATENATE(612754,",",ROW(BCTCR_06608!A110),"|",COLUMN(BCTCR_06608!A110),",0",",0")</f>
        <v>612754,110|1,0,0</v>
      </c>
      <c r="B110" t="str">
        <f>CONCATENATE(612681,",",ROW(BCTCR_06608!B110),"|",COLUMN(BCTCR_06608!B110),",0",",0")</f>
        <v>612681,110|2,0,0</v>
      </c>
      <c r="C110" t="str">
        <f>CONCATENATE(612782,",",ROW(BCTCR_06608!C110),"|",COLUMN(BCTCR_06608!C110),",0",",0")</f>
        <v>612782,110|3,0,0</v>
      </c>
      <c r="D110" t="str">
        <f>CONCATENATE(612384,",",ROW(BCTCR_06608!D110),"|",COLUMN(BCTCR_06608!D110),",0",",0")</f>
        <v>612384,110|4,0,0</v>
      </c>
      <c r="E110" t="str">
        <f>CONCATENATE(612489,",",ROW(BCTCR_06608!E110),"|",COLUMN(BCTCR_06608!E110),",0",",0")</f>
        <v>612489,110|5,0,0</v>
      </c>
    </row>
    <row r="111" spans="1:5" x14ac:dyDescent="0.25">
      <c r="A111" t="str">
        <f>CONCATENATE(612430,",",ROW(BCTCR_06608!A111),"|",COLUMN(BCTCR_06608!A111),",0",",0")</f>
        <v>612430,111|1,0,0</v>
      </c>
      <c r="B111" t="str">
        <f>CONCATENATE(612682,",",ROW(BCTCR_06608!B111),"|",COLUMN(BCTCR_06608!B111),",0",",0")</f>
        <v>612682,111|2,0,0</v>
      </c>
      <c r="C111" t="str">
        <f>CONCATENATE(612783,",",ROW(BCTCR_06608!C111),"|",COLUMN(BCTCR_06608!C111),",0",",0")</f>
        <v>612783,111|3,0,0</v>
      </c>
      <c r="D111" t="str">
        <f>CONCATENATE(612319,",",ROW(BCTCR_06608!D111),"|",COLUMN(BCTCR_06608!D111),",0",",0")</f>
        <v>612319,111|4,0,0</v>
      </c>
      <c r="E111" t="str">
        <f>CONCATENATE(612490,",",ROW(BCTCR_06608!E111),"|",COLUMN(BCTCR_06608!E111),",0",",0")</f>
        <v>612490,111|5,0,0</v>
      </c>
    </row>
    <row r="112" spans="1:5" x14ac:dyDescent="0.25">
      <c r="A112" t="str">
        <f>CONCATENATE(612394,",",ROW(BCTCR_06608!A112),"|",COLUMN(BCTCR_06608!A112),",0",",0")</f>
        <v>612394,112|1,0,0</v>
      </c>
      <c r="B112" t="str">
        <f>CONCATENATE(612795,",",ROW(BCTCR_06608!B112),"|",COLUMN(BCTCR_06608!B112),",0",",0")</f>
        <v>612795,112|2,0,0</v>
      </c>
      <c r="C112" t="str">
        <f>CONCATENATE(612784,",",ROW(BCTCR_06608!C112),"|",COLUMN(BCTCR_06608!C112),",0",",0")</f>
        <v>612784,112|3,0,0</v>
      </c>
      <c r="D112" t="str">
        <f>CONCATENATE(612320,",",ROW(BCTCR_06608!D112),"|",COLUMN(BCTCR_06608!D112),",0",",0")</f>
        <v>612320,112|4,0,0</v>
      </c>
      <c r="E112" t="str">
        <f>CONCATENATE(612491,",",ROW(BCTCR_06608!E112),"|",COLUMN(BCTCR_06608!E112),",0",",0")</f>
        <v>612491,112|5,0,0</v>
      </c>
    </row>
    <row r="113" spans="1:5" x14ac:dyDescent="0.25">
      <c r="A113" t="str">
        <f>CONCATENATE(612582,",",ROW(BCTCR_06608!A113),"|",COLUMN(BCTCR_06608!A113),",0",",0")</f>
        <v>612582,113|1,0,0</v>
      </c>
      <c r="B113" t="str">
        <f>CONCATENATE(612683,",",ROW(BCTCR_06608!B113),"|",COLUMN(BCTCR_06608!B113),",0",",0")</f>
        <v>612683,113|2,0,0</v>
      </c>
      <c r="C113" t="str">
        <f>CONCATENATE(612785,",",ROW(BCTCR_06608!C113),"|",COLUMN(BCTCR_06608!C113),",0",",0")</f>
        <v>612785,113|3,0,0</v>
      </c>
      <c r="D113" t="str">
        <f>CONCATENATE(612321,",",ROW(BCTCR_06608!D113),"|",COLUMN(BCTCR_06608!D113),",0",",0")</f>
        <v>612321,113|4,0,0</v>
      </c>
      <c r="E113" t="str">
        <f>CONCATENATE(612492,",",ROW(BCTCR_06608!E113),"|",COLUMN(BCTCR_06608!E113),",0",",0")</f>
        <v>612492,113|5,0,0</v>
      </c>
    </row>
    <row r="114" spans="1:5" x14ac:dyDescent="0.25">
      <c r="A114" t="str">
        <f>CONCATENATE(612392,",",ROW(BCTCR_06608!A114),"|",COLUMN(BCTCR_06608!A114),",0",",0")</f>
        <v>612392,114|1,0,0</v>
      </c>
      <c r="B114" t="str">
        <f>CONCATENATE(612796,",",ROW(BCTCR_06608!B114),"|",COLUMN(BCTCR_06608!B114),",0",",0")</f>
        <v>612796,114|2,0,0</v>
      </c>
      <c r="C114" t="str">
        <f>CONCATENATE(612714,",",ROW(BCTCR_06608!C114),"|",COLUMN(BCTCR_06608!C114),",0",",0")</f>
        <v>612714,114|3,0,0</v>
      </c>
      <c r="D114" t="str">
        <f>CONCATENATE(612373,",",ROW(BCTCR_06608!D114),"|",COLUMN(BCTCR_06608!D114),",0",",0")</f>
        <v>612373,114|4,0,0</v>
      </c>
      <c r="E114" t="str">
        <f>CONCATENATE(612275,",",ROW(BCTCR_06608!E114),"|",COLUMN(BCTCR_06608!E114),",0",",0")</f>
        <v>612275,114|5,0,0</v>
      </c>
    </row>
    <row r="115" spans="1:5" x14ac:dyDescent="0.25">
      <c r="A115" t="str">
        <f>CONCATENATE(612755,",",ROW(BCTCR_06608!A115),"|",COLUMN(BCTCR_06608!A115),",0",",0")</f>
        <v>612755,115|1,0,0</v>
      </c>
      <c r="B115" t="str">
        <f>CONCATENATE(612413,",",ROW(BCTCR_06608!B115),"|",COLUMN(BCTCR_06608!B115),",0",",0")</f>
        <v>612413,115|2,0,0</v>
      </c>
      <c r="C115" t="str">
        <f>CONCATENATE(612786,",",ROW(BCTCR_06608!C115),"|",COLUMN(BCTCR_06608!C115),",0",",0")</f>
        <v>612786,115|3,0,0</v>
      </c>
      <c r="D115" t="str">
        <f>CONCATENATE(612322,",",ROW(BCTCR_06608!D115),"|",COLUMN(BCTCR_06608!D115),",0",",0")</f>
        <v>612322,115|4,0,0</v>
      </c>
      <c r="E115" t="str">
        <f>CONCATENATE(612493,",",ROW(BCTCR_06608!E115),"|",COLUMN(BCTCR_06608!E115),",0",",0")</f>
        <v>612493,115|5,0,0</v>
      </c>
    </row>
    <row r="116" spans="1:5" x14ac:dyDescent="0.25">
      <c r="A116" t="str">
        <f>CONCATENATE(612307,",",ROW(BCTCR_06608!A116),"|",COLUMN(BCTCR_06608!A116),",0",",0")</f>
        <v>612307,116|1,0,0</v>
      </c>
      <c r="B116" t="s">
        <v>5</v>
      </c>
      <c r="C116" t="str">
        <f>CONCATENATE(612286,",",ROW(BCTCR_06608!C116),"|",COLUMN(BCTCR_06608!C116),",0",",0")</f>
        <v>612286,116|3,0,0</v>
      </c>
      <c r="D116" t="str">
        <f>CONCATENATE(612619,",",ROW(BCTCR_06608!D116),"|",COLUMN(BCTCR_06608!D116),",0",",0")</f>
        <v>612619,116|4,0,0</v>
      </c>
      <c r="E116" t="str">
        <f>CONCATENATE(612289,",",ROW(BCTCR_06608!E116),"|",COLUMN(BCTCR_06608!E116),",0",",0")</f>
        <v>612289,116|5,0,0</v>
      </c>
    </row>
    <row r="117" spans="1:5" x14ac:dyDescent="0.25">
      <c r="A117" t="str">
        <f>CONCATENATE(612843,",",ROW(BCTCR_06608!A117),"|",COLUMN(BCTCR_06608!A117),",0",",0")</f>
        <v>612843,117|1,0,0</v>
      </c>
      <c r="B117" t="str">
        <f>CONCATENATE(612684,",",ROW(BCTCR_06608!B117),"|",COLUMN(BCTCR_06608!B117),",0",",0")</f>
        <v>612684,117|2,0,0</v>
      </c>
      <c r="C117" t="str">
        <f>CONCATENATE(612787,",",ROW(BCTCR_06608!C117),"|",COLUMN(BCTCR_06608!C117),",0",",0")</f>
        <v>612787,117|3,0,0</v>
      </c>
      <c r="D117" t="str">
        <f>CONCATENATE(612323,",",ROW(BCTCR_06608!D117),"|",COLUMN(BCTCR_06608!D117),",0",",0")</f>
        <v>612323,117|4,0,0</v>
      </c>
      <c r="E117" t="str">
        <f>CONCATENATE(612494,",",ROW(BCTCR_06608!E117),"|",COLUMN(BCTCR_06608!E117),",0",",0")</f>
        <v>612494,117|5,0,0</v>
      </c>
    </row>
    <row r="118" spans="1:5" x14ac:dyDescent="0.25">
      <c r="A118" t="str">
        <f>CONCATENATE(612844,",",ROW(BCTCR_06608!A118),"|",COLUMN(BCTCR_06608!A118),",0",",0")</f>
        <v>612844,118|1,0,0</v>
      </c>
      <c r="B118" t="str">
        <f>CONCATENATE(612797,",",ROW(BCTCR_06608!B118),"|",COLUMN(BCTCR_06608!B118),",0",",0")</f>
        <v>612797,118|2,0,0</v>
      </c>
      <c r="C118" t="str">
        <f>CONCATENATE(612788,",",ROW(BCTCR_06608!C118),"|",COLUMN(BCTCR_06608!C118),",0",",0")</f>
        <v>612788,118|3,0,0</v>
      </c>
      <c r="D118" t="str">
        <f>CONCATENATE(612324,",",ROW(BCTCR_06608!D118),"|",COLUMN(BCTCR_06608!D118),",0",",0")</f>
        <v>612324,118|4,0,0</v>
      </c>
      <c r="E118" t="str">
        <f>CONCATENATE(612496,",",ROW(BCTCR_06608!E118),"|",COLUMN(BCTCR_06608!E118),",0",",0")</f>
        <v>612496,118|5,0,0</v>
      </c>
    </row>
    <row r="119" spans="1:5" x14ac:dyDescent="0.25">
      <c r="A119" t="str">
        <f>CONCATENATE(612393,",",ROW(BCTCR_06608!A119),"|",COLUMN(BCTCR_06608!A119),",0",",0")</f>
        <v>612393,119|1,0,0</v>
      </c>
      <c r="B119" t="str">
        <f>CONCATENATE(612798,",",ROW(BCTCR_06608!B119),"|",COLUMN(BCTCR_06608!B119),",0",",0")</f>
        <v>612798,119|2,0,0</v>
      </c>
      <c r="C119" t="str">
        <f>CONCATENATE(612715,",",ROW(BCTCR_06608!C119),"|",COLUMN(BCTCR_06608!C119),",0",",0")</f>
        <v>612715,119|3,0,0</v>
      </c>
      <c r="D119" t="str">
        <f>CONCATENATE(612374,",",ROW(BCTCR_06608!D119),"|",COLUMN(BCTCR_06608!D119),",0",",0")</f>
        <v>612374,119|4,0,0</v>
      </c>
      <c r="E119" t="str">
        <f>CONCATENATE(612276,",",ROW(BCTCR_06608!E119),"|",COLUMN(BCTCR_06608!E119),",0",",0")</f>
        <v>612276,119|5,0,0</v>
      </c>
    </row>
    <row r="120" spans="1:5" x14ac:dyDescent="0.25">
      <c r="A120" t="str">
        <f>CONCATENATE(612756,",",ROW(BCTCR_06608!A120),"|",COLUMN(BCTCR_06608!A120),",0",",0")</f>
        <v>612756,120|1,0,0</v>
      </c>
      <c r="B120" t="str">
        <f>CONCATENATE(612362,",",ROW(BCTCR_06608!B120),"|",COLUMN(BCTCR_06608!B120),",0",",0")</f>
        <v>612362,120|2,0,0</v>
      </c>
      <c r="C120" t="str">
        <f>CONCATENATE(612779,",",ROW(BCTCR_06608!C120),"|",COLUMN(BCTCR_06608!C120),",0",",0")</f>
        <v>612779,120|3,0,0</v>
      </c>
      <c r="D120" t="str">
        <f>CONCATENATE(612573,",",ROW(BCTCR_06608!D120),"|",COLUMN(BCTCR_06608!D120),",0",",0")</f>
        <v>612573,120|4,0,0</v>
      </c>
      <c r="E120" t="str">
        <f>CONCATENATE(612580,",",ROW(BCTCR_06608!E120),"|",COLUMN(BCTCR_06608!E120),",0",",0")</f>
        <v>612580,120|5,0,0</v>
      </c>
    </row>
    <row r="121" spans="1:5" x14ac:dyDescent="0.25">
      <c r="A121" t="str">
        <f>CONCATENATE(612530,",",ROW(BCTCR_06608!A121),"|",COLUMN(BCTCR_06608!A121),",0",",0")</f>
        <v>612530,121|1,0,0</v>
      </c>
      <c r="B121" t="str">
        <f>CONCATENATE(612799,",",ROW(BCTCR_06608!B121),"|",COLUMN(BCTCR_06608!B121),",0",",0")</f>
        <v>612799,121|2,0,0</v>
      </c>
      <c r="C121" t="str">
        <f>CONCATENATE(612716,",",ROW(BCTCR_06608!C121),"|",COLUMN(BCTCR_06608!C121),",0",",0")</f>
        <v>612716,121|3,0,0</v>
      </c>
      <c r="D121" t="str">
        <f>CONCATENATE(612375,",",ROW(BCTCR_06608!D121),"|",COLUMN(BCTCR_06608!D121),",0",",0")</f>
        <v>612375,121|4,0,0</v>
      </c>
      <c r="E121" t="str">
        <f>CONCATENATE(612367,",",ROW(BCTCR_06608!E121),"|",COLUMN(BCTCR_06608!E121),",0",",0")</f>
        <v>612367,121|5,0,0</v>
      </c>
    </row>
    <row r="122" spans="1:5" x14ac:dyDescent="0.25">
      <c r="A122" t="str">
        <f>CONCATENATE(612395,",",ROW(BCTCR_06608!A122),"|",COLUMN(BCTCR_06608!A122),",0",",0")</f>
        <v>612395,122|1,0,0</v>
      </c>
      <c r="B122" t="str">
        <f>CONCATENATE(612363,",",ROW(BCTCR_06608!B122),"|",COLUMN(BCTCR_06608!B122),",0",",0")</f>
        <v>612363,122|2,0,0</v>
      </c>
      <c r="C122" t="str">
        <f>CONCATENATE(612780,",",ROW(BCTCR_06608!C122),"|",COLUMN(BCTCR_06608!C122),",0",",0")</f>
        <v>612780,122|3,0,0</v>
      </c>
      <c r="D122" t="str">
        <f>CONCATENATE(612350,",",ROW(BCTCR_06608!D122),"|",COLUMN(BCTCR_06608!D122),",0",",0")</f>
        <v>612350,122|4,0,0</v>
      </c>
      <c r="E122" t="str">
        <f>CONCATENATE(612487,",",ROW(BCTCR_06608!E122),"|",COLUMN(BCTCR_06608!E122),",0",",0")</f>
        <v>612487,122|5,0,0</v>
      </c>
    </row>
    <row r="123" spans="1:5" x14ac:dyDescent="0.25">
      <c r="A123" t="str">
        <f>CONCATENATE(612845,",",ROW(BCTCR_06608!A123),"|",COLUMN(BCTCR_06608!A123),",0",",0")</f>
        <v>612845,123|1,0,0</v>
      </c>
      <c r="B123" t="str">
        <f>CONCATENATE(612685,",",ROW(BCTCR_06608!B123),"|",COLUMN(BCTCR_06608!B123),",0",",0")</f>
        <v>612685,123|2,0,0</v>
      </c>
      <c r="C123" t="str">
        <f>CONCATENATE(612789,",",ROW(BCTCR_06608!C123),"|",COLUMN(BCTCR_06608!C123),",0",",0")</f>
        <v>612789,123|3,0,0</v>
      </c>
      <c r="D123" t="str">
        <f>CONCATENATE(612325,",",ROW(BCTCR_06608!D123),"|",COLUMN(BCTCR_06608!D123),",0",",0")</f>
        <v>612325,123|4,0,0</v>
      </c>
      <c r="E123" t="str">
        <f>CONCATENATE(612497,",",ROW(BCTCR_06608!E123),"|",COLUMN(BCTCR_06608!E123),",0",",0")</f>
        <v>612497,123|5,0,0</v>
      </c>
    </row>
    <row r="124" spans="1:5" x14ac:dyDescent="0.25">
      <c r="A124" t="str">
        <f>CONCATENATE(612757,",",ROW(BCTCR_06608!A124),"|",COLUMN(BCTCR_06608!A124),",0",",0")</f>
        <v>612757,124|1,0,0</v>
      </c>
      <c r="B124" t="str">
        <f>CONCATENATE(612800,",",ROW(BCTCR_06608!B124),"|",COLUMN(BCTCR_06608!B124),",0",",0")</f>
        <v>612800,124|2,0,0</v>
      </c>
      <c r="C124" t="str">
        <f>CONCATENATE(612790,",",ROW(BCTCR_06608!C124),"|",COLUMN(BCTCR_06608!C124),",0",",0")</f>
        <v>612790,124|3,0,0</v>
      </c>
      <c r="D124" t="str">
        <f>CONCATENATE(612326,",",ROW(BCTCR_06608!D124),"|",COLUMN(BCTCR_06608!D124),",0",",0")</f>
        <v>612326,124|4,0,0</v>
      </c>
      <c r="E124" t="str">
        <f>CONCATENATE(612498,",",ROW(BCTCR_06608!E124),"|",COLUMN(BCTCR_06608!E124),",0",",0")</f>
        <v>612498,124|5,0,0</v>
      </c>
    </row>
    <row r="125" spans="1:5" x14ac:dyDescent="0.25">
      <c r="A125" t="str">
        <f>CONCATENATE(612531,",",ROW(BCTCR_06608!A125),"|",COLUMN(BCTCR_06608!A125),",0",",0")</f>
        <v>612531,125|1,0,0</v>
      </c>
      <c r="B125" t="str">
        <f>CONCATENATE(612437,",",ROW(BCTCR_06608!B125),"|",COLUMN(BCTCR_06608!B125),",0",",0")</f>
        <v>612437,125|2,0,0</v>
      </c>
      <c r="C125" t="str">
        <f>CONCATENATE(612717,",",ROW(BCTCR_06608!C125),"|",COLUMN(BCTCR_06608!C125),",0",",0")</f>
        <v>612717,125|3,0,0</v>
      </c>
      <c r="D125" t="str">
        <f>CONCATENATE(612376,",",ROW(BCTCR_06608!D125),"|",COLUMN(BCTCR_06608!D125),",0",",0")</f>
        <v>612376,125|4,0,0</v>
      </c>
      <c r="E125" t="str">
        <f>CONCATENATE(612368,",",ROW(BCTCR_06608!E125),"|",COLUMN(BCTCR_06608!E125),",0",",0")</f>
        <v>612368,125|5,0,0</v>
      </c>
    </row>
    <row r="126" spans="1:5" x14ac:dyDescent="0.25">
      <c r="A126" t="str">
        <f>CONCATENATE(612758,",",ROW(BCTCR_06608!A126),"|",COLUMN(BCTCR_06608!A126),",0",",0")</f>
        <v>612758,126|1,0,0</v>
      </c>
      <c r="B126" t="str">
        <f>CONCATENATE(612686,",",ROW(BCTCR_06608!B126),"|",COLUMN(BCTCR_06608!B126),",0",",0")</f>
        <v>612686,126|2,0,0</v>
      </c>
      <c r="C126" t="str">
        <f>CONCATENATE(612791,",",ROW(BCTCR_06608!C126),"|",COLUMN(BCTCR_06608!C126),",0",",0")</f>
        <v>612791,126|3,0,0</v>
      </c>
      <c r="D126" t="str">
        <f>CONCATENATE(612327,",",ROW(BCTCR_06608!D126),"|",COLUMN(BCTCR_06608!D126),",0",",0")</f>
        <v>612327,126|4,0,0</v>
      </c>
      <c r="E126" t="str">
        <f>CONCATENATE(612499,",",ROW(BCTCR_06608!E126),"|",COLUMN(BCTCR_06608!E126),",0",",0")</f>
        <v>612499,126|5,0,0</v>
      </c>
    </row>
    <row r="127" spans="1:5" x14ac:dyDescent="0.25">
      <c r="A127" t="str">
        <f>CONCATENATE(612846,",",ROW(BCTCR_06608!A127),"|",COLUMN(BCTCR_06608!A127),",0",",0")</f>
        <v>612846,127|1,0,0</v>
      </c>
      <c r="B127" t="str">
        <f>CONCATENATE(612687,",",ROW(BCTCR_06608!B127),"|",COLUMN(BCTCR_06608!B127),",0",",0")</f>
        <v>612687,127|2,0,0</v>
      </c>
      <c r="C127" t="str">
        <f>CONCATENATE(612263,",",ROW(BCTCR_06608!C127),"|",COLUMN(BCTCR_06608!C127),",0",",0")</f>
        <v>612263,127|3,0,0</v>
      </c>
      <c r="D127" t="str">
        <f>CONCATENATE(612328,",",ROW(BCTCR_06608!D127),"|",COLUMN(BCTCR_06608!D127),",0",",0")</f>
        <v>612328,127|4,0,0</v>
      </c>
      <c r="E127" t="str">
        <f>CONCATENATE(612500,",",ROW(BCTCR_06608!E127),"|",COLUMN(BCTCR_06608!E127),",0",",0")</f>
        <v>612500,127|5,0,0</v>
      </c>
    </row>
    <row r="128" spans="1:5" x14ac:dyDescent="0.25">
      <c r="A128" t="str">
        <f>CONCATENATE(612397,",",ROW(BCTCR_06608!A128),"|",COLUMN(BCTCR_06608!A128),",0",",0")</f>
        <v>612397,128|1,0,0</v>
      </c>
      <c r="B128" t="str">
        <f>CONCATENATE(612823,",",ROW(BCTCR_06608!B128),"|",COLUMN(BCTCR_06608!B128),",0",",0")</f>
        <v>612823,128|2,0,0</v>
      </c>
      <c r="C128" t="str">
        <f>CONCATENATE(612264,",",ROW(BCTCR_06608!C128),"|",COLUMN(BCTCR_06608!C128),",0",",0")</f>
        <v>612264,128|3,0,0</v>
      </c>
      <c r="D128" t="str">
        <f>CONCATENATE(612329,",",ROW(BCTCR_06608!D128),"|",COLUMN(BCTCR_06608!D128),",0",",0")</f>
        <v>612329,128|4,0,0</v>
      </c>
      <c r="E128" t="str">
        <f>CONCATENATE(612501,",",ROW(BCTCR_06608!E128),"|",COLUMN(BCTCR_06608!E128),",0",",0")</f>
        <v>612501,128|5,0,0</v>
      </c>
    </row>
    <row r="129" spans="1:5" x14ac:dyDescent="0.25">
      <c r="A129" t="str">
        <f>CONCATENATE(612759,",",ROW(BCTCR_06608!A129),"|",COLUMN(BCTCR_06608!A129),",0",",0")</f>
        <v>612759,129|1,0,0</v>
      </c>
      <c r="B129" t="str">
        <f>CONCATENATE(612417,",",ROW(BCTCR_06608!B129),"|",COLUMN(BCTCR_06608!B129),",0",",0")</f>
        <v>612417,129|2,0,0</v>
      </c>
      <c r="C129" t="str">
        <f>CONCATENATE(612265,",",ROW(BCTCR_06608!C129),"|",COLUMN(BCTCR_06608!C129),",0",",0")</f>
        <v>612265,129|3,0,0</v>
      </c>
      <c r="D129" t="str">
        <f>CONCATENATE(612330,",",ROW(BCTCR_06608!D129),"|",COLUMN(BCTCR_06608!D129),",0",",0")</f>
        <v>612330,129|4,0,0</v>
      </c>
      <c r="E129" t="str">
        <f>CONCATENATE(612502,",",ROW(BCTCR_06608!E129),"|",COLUMN(BCTCR_06608!E129),",0",",0")</f>
        <v>612502,129|5,0,0</v>
      </c>
    </row>
    <row r="130" spans="1:5" x14ac:dyDescent="0.25">
      <c r="A130" t="str">
        <f>CONCATENATE(612532,",",ROW(BCTCR_06608!A130),"|",COLUMN(BCTCR_06608!A130),",0",",0")</f>
        <v>612532,130|1,0,0</v>
      </c>
      <c r="B130" t="str">
        <f>CONCATENATE(612824,",",ROW(BCTCR_06608!B130),"|",COLUMN(BCTCR_06608!B130),",0",",0")</f>
        <v>612824,130|2,0,0</v>
      </c>
      <c r="C130" t="str">
        <f>CONCATENATE(612718,",",ROW(BCTCR_06608!C130),"|",COLUMN(BCTCR_06608!C130),",0",",0")</f>
        <v>612718,130|3,0,0</v>
      </c>
      <c r="D130" t="str">
        <f>CONCATENATE(612377,",",ROW(BCTCR_06608!D130),"|",COLUMN(BCTCR_06608!D130),",0",",0")</f>
        <v>612377,130|4,0,0</v>
      </c>
      <c r="E130" t="str">
        <f>CONCATENATE(612369,",",ROW(BCTCR_06608!E130),"|",COLUMN(BCTCR_06608!E130),",0",",0")</f>
        <v>612369,130|5,0,0</v>
      </c>
    </row>
    <row r="131" spans="1:5" x14ac:dyDescent="0.25">
      <c r="A131" t="str">
        <f>CONCATENATE(612847,",",ROW(BCTCR_06608!A131),"|",COLUMN(BCTCR_06608!A131),",0",",0")</f>
        <v>612847,131|1,0,0</v>
      </c>
      <c r="B131" t="str">
        <f>CONCATENATE(612418,",",ROW(BCTCR_06608!B131),"|",COLUMN(BCTCR_06608!B131),",0",",0")</f>
        <v>612418,131|2,0,0</v>
      </c>
      <c r="C131" t="str">
        <f>CONCATENATE(612266,",",ROW(BCTCR_06608!C131),"|",COLUMN(BCTCR_06608!C131),",0",",0")</f>
        <v>612266,131|3,0,0</v>
      </c>
      <c r="D131" t="str">
        <f>CONCATENATE(612331,",",ROW(BCTCR_06608!D131),"|",COLUMN(BCTCR_06608!D131),",0",",0")</f>
        <v>612331,131|4,0,0</v>
      </c>
      <c r="E131" t="str">
        <f>CONCATENATE(612503,",",ROW(BCTCR_06608!E131),"|",COLUMN(BCTCR_06608!E131),",0",",0")</f>
        <v>612503,131|5,0,0</v>
      </c>
    </row>
    <row r="132" spans="1:5" x14ac:dyDescent="0.25">
      <c r="A132" t="str">
        <f>CONCATENATE(612760,",",ROW(BCTCR_06608!A132),"|",COLUMN(BCTCR_06608!A132),",0",",0")</f>
        <v>612760,132|1,0,0</v>
      </c>
      <c r="B132" t="str">
        <f>CONCATENATE(612420,",",ROW(BCTCR_06608!B132),"|",COLUMN(BCTCR_06608!B132),",0",",0")</f>
        <v>612420,132|2,0,0</v>
      </c>
      <c r="C132" t="str">
        <f>CONCATENATE(612267,",",ROW(BCTCR_06608!C132),"|",COLUMN(BCTCR_06608!C132),",0",",0")</f>
        <v>612267,132|3,0,0</v>
      </c>
      <c r="D132" t="str">
        <f>CONCATENATE(612332,",",ROW(BCTCR_06608!D132),"|",COLUMN(BCTCR_06608!D132),",0",",0")</f>
        <v>612332,132|4,0,0</v>
      </c>
      <c r="E132" t="str">
        <f>CONCATENATE(612518,",",ROW(BCTCR_06608!E132),"|",COLUMN(BCTCR_06608!E132),",0",",0")</f>
        <v>612518,132|5,0,0</v>
      </c>
    </row>
    <row r="133" spans="1:5" x14ac:dyDescent="0.25">
      <c r="A133" t="str">
        <f>CONCATENATE(612398,",",ROW(BCTCR_06608!A133),"|",COLUMN(BCTCR_06608!A133),",0",",0")</f>
        <v>612398,133|1,0,0</v>
      </c>
      <c r="B133" t="str">
        <f>CONCATENATE(612419,",",ROW(BCTCR_06608!B133),"|",COLUMN(BCTCR_06608!B133),",0",",0")</f>
        <v>612419,133|2,0,0</v>
      </c>
      <c r="C133" t="str">
        <f>CONCATENATE(612268,",",ROW(BCTCR_06608!C133),"|",COLUMN(BCTCR_06608!C133),",0",",0")</f>
        <v>612268,133|3,0,0</v>
      </c>
      <c r="D133" t="str">
        <f>CONCATENATE(612333,",",ROW(BCTCR_06608!D133),"|",COLUMN(BCTCR_06608!D133),",0",",0")</f>
        <v>612333,133|4,0,0</v>
      </c>
      <c r="E133" t="str">
        <f>CONCATENATE(612825,",",ROW(BCTCR_06608!E133),"|",COLUMN(BCTCR_06608!E133),",0",",0")</f>
        <v>612825,133|5,0,0</v>
      </c>
    </row>
    <row r="134" spans="1:5" x14ac:dyDescent="0.25">
      <c r="A134" t="str">
        <f>CONCATENATE(612761,",",ROW(BCTCR_06608!A134),"|",COLUMN(BCTCR_06608!A134),",0",",0")</f>
        <v>612761,134|1,0,0</v>
      </c>
      <c r="B134" t="str">
        <f>CONCATENATE(612421,",",ROW(BCTCR_06608!B134),"|",COLUMN(BCTCR_06608!B134),",0",",0")</f>
        <v>612421,134|2,0,0</v>
      </c>
      <c r="C134" t="str">
        <f>CONCATENATE(612269,",",ROW(BCTCR_06608!C134),"|",COLUMN(BCTCR_06608!C134),",0",",0")</f>
        <v>612269,134|3,0,0</v>
      </c>
      <c r="D134" t="str">
        <f>CONCATENATE(612334,",",ROW(BCTCR_06608!D134),"|",COLUMN(BCTCR_06608!D134),",0",",0")</f>
        <v>612334,134|4,0,0</v>
      </c>
      <c r="E134" t="str">
        <f>CONCATENATE(612826,",",ROW(BCTCR_06608!E134),"|",COLUMN(BCTCR_06608!E134),",0",",0")</f>
        <v>612826,134|5,0,0</v>
      </c>
    </row>
    <row r="135" spans="1:5" x14ac:dyDescent="0.25">
      <c r="A135" t="str">
        <f>CONCATENATE(612848,",",ROW(BCTCR_06608!A135),"|",COLUMN(BCTCR_06608!A135),",0",",0")</f>
        <v>612848,135|1,0,0</v>
      </c>
      <c r="B135" t="str">
        <f>CONCATENATE(612409,",",ROW(BCTCR_06608!B135),"|",COLUMN(BCTCR_06608!B135),",0",",0")</f>
        <v>612409,135|2,0,0</v>
      </c>
      <c r="C135" t="str">
        <f>CONCATENATE(612270,",",ROW(BCTCR_06608!C135),"|",COLUMN(BCTCR_06608!C135),",0",",0")</f>
        <v>612270,135|3,0,0</v>
      </c>
      <c r="D135" t="str">
        <f>CONCATENATE(612335,",",ROW(BCTCR_06608!D135),"|",COLUMN(BCTCR_06608!D135),",0",",0")</f>
        <v>612335,135|4,0,0</v>
      </c>
      <c r="E135" t="str">
        <f>CONCATENATE(612827,",",ROW(BCTCR_06608!E135),"|",COLUMN(BCTCR_06608!E135),",0",",0")</f>
        <v>612827,135|5,0,0</v>
      </c>
    </row>
    <row r="136" spans="1:5" x14ac:dyDescent="0.25">
      <c r="A136" t="str">
        <f>CONCATENATE(612431,",",ROW(BCTCR_06608!A136),"|",COLUMN(BCTCR_06608!A136),",0",",0")</f>
        <v>612431,136|1,0,0</v>
      </c>
      <c r="B136" t="str">
        <f>CONCATENATE(612816,",",ROW(BCTCR_06608!B136),"|",COLUMN(BCTCR_06608!B136),",0",",0")</f>
        <v>612816,136|2,0,0</v>
      </c>
      <c r="C136" t="str">
        <f>CONCATENATE(612271,",",ROW(BCTCR_06608!C136),"|",COLUMN(BCTCR_06608!C136),",0",",0")</f>
        <v>612271,136|3,0,0</v>
      </c>
      <c r="D136" t="str">
        <f>CONCATENATE(612336,",",ROW(BCTCR_06608!D136),"|",COLUMN(BCTCR_06608!D136),",0",",0")</f>
        <v>612336,136|4,0,0</v>
      </c>
      <c r="E136" t="str">
        <f>CONCATENATE(612828,",",ROW(BCTCR_06608!E136),"|",COLUMN(BCTCR_06608!E136),",0",",0")</f>
        <v>612828,136|5,0,0</v>
      </c>
    </row>
    <row r="137" spans="1:5" x14ac:dyDescent="0.25">
      <c r="A137" t="str">
        <f>CONCATENATE(612618,",",ROW(BCTCR_06608!A137),"|",COLUMN(BCTCR_06608!A137),",0",",0")</f>
        <v>612618,137|1,0,0</v>
      </c>
      <c r="B137" t="str">
        <f>CONCATENATE(612615,",",ROW(BCTCR_06608!B137),"|",COLUMN(BCTCR_06608!B137),",0",",0")</f>
        <v>612615,137|2,0,0</v>
      </c>
      <c r="C137" t="str">
        <f>CONCATENATE(612617,",",ROW(BCTCR_06608!C137),"|",COLUMN(BCTCR_06608!C137),",0",",0")</f>
        <v>612617,137|3,0,0</v>
      </c>
      <c r="D137" t="str">
        <f>CONCATENATE(612616,",",ROW(BCTCR_06608!D137),"|",COLUMN(BCTCR_06608!D137),",0",",0")</f>
        <v>612616,137|4,0,0</v>
      </c>
      <c r="E137" t="str">
        <f>CONCATENATE(612614,",",ROW(BCTCR_06608!E137),"|",COLUMN(BCTCR_06608!E137),",0",",0")</f>
        <v>612614,137|5,0,0</v>
      </c>
    </row>
  </sheetData>
  <sheetProtection password="CB7D"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topLeftCell="A46" workbookViewId="0">
      <selection activeCell="D12" sqref="D12:E48"/>
    </sheetView>
  </sheetViews>
  <sheetFormatPr defaultRowHeight="15" x14ac:dyDescent="0.25"/>
  <cols>
    <col min="1" max="1" width="31.28515625" bestFit="1" customWidth="1"/>
    <col min="2" max="5" width="19.7109375" bestFit="1" customWidth="1"/>
  </cols>
  <sheetData>
    <row r="1" spans="1:5" ht="20.25" x14ac:dyDescent="0.3">
      <c r="A1" s="2529" t="s">
        <v>12</v>
      </c>
      <c r="B1" s="2529" t="s">
        <v>5</v>
      </c>
      <c r="C1" s="2529" t="s">
        <v>5</v>
      </c>
      <c r="D1" s="2529" t="s">
        <v>5</v>
      </c>
      <c r="E1" s="2529" t="s">
        <v>5</v>
      </c>
    </row>
    <row r="2" spans="1:5" ht="18.75" x14ac:dyDescent="0.25">
      <c r="A2" s="713" t="s">
        <v>40</v>
      </c>
      <c r="B2" s="713" t="s">
        <v>41</v>
      </c>
      <c r="C2" s="713" t="s">
        <v>42</v>
      </c>
      <c r="D2" s="713" t="s">
        <v>43</v>
      </c>
      <c r="E2" s="713" t="s">
        <v>44</v>
      </c>
    </row>
    <row r="3" spans="1:5" ht="16.5" x14ac:dyDescent="0.25">
      <c r="A3" s="785" t="s">
        <v>333</v>
      </c>
      <c r="B3" s="937" t="s">
        <v>74</v>
      </c>
      <c r="C3" s="830" t="s">
        <v>283</v>
      </c>
      <c r="D3" s="835" t="s">
        <v>147</v>
      </c>
      <c r="E3" s="836" t="s">
        <v>344</v>
      </c>
    </row>
    <row r="4" spans="1:5" ht="66" x14ac:dyDescent="0.25">
      <c r="A4" s="786" t="s">
        <v>334</v>
      </c>
      <c r="B4" s="712" t="s">
        <v>5</v>
      </c>
      <c r="C4" s="716"/>
      <c r="D4" s="812" t="s">
        <v>5</v>
      </c>
      <c r="E4" s="878" t="s">
        <v>5</v>
      </c>
    </row>
    <row r="5" spans="1:5" ht="33" x14ac:dyDescent="0.25">
      <c r="A5" s="868" t="s">
        <v>360</v>
      </c>
      <c r="B5" s="924" t="s">
        <v>147</v>
      </c>
      <c r="C5" s="761"/>
      <c r="D5" s="797" t="s">
        <v>5</v>
      </c>
      <c r="E5" s="822" t="s">
        <v>5</v>
      </c>
    </row>
    <row r="6" spans="1:5" ht="49.5" x14ac:dyDescent="0.25">
      <c r="A6" s="842" t="s">
        <v>349</v>
      </c>
      <c r="B6" s="739" t="s">
        <v>284</v>
      </c>
      <c r="C6" s="752"/>
      <c r="D6" s="828" t="s">
        <v>5</v>
      </c>
      <c r="E6" s="883" t="s">
        <v>5</v>
      </c>
    </row>
    <row r="7" spans="1:5" ht="33" x14ac:dyDescent="0.25">
      <c r="A7" s="738" t="s">
        <v>312</v>
      </c>
      <c r="B7" s="925" t="s">
        <v>385</v>
      </c>
      <c r="C7" s="762"/>
      <c r="D7" s="798" t="s">
        <v>5</v>
      </c>
      <c r="E7" s="823" t="s">
        <v>5</v>
      </c>
    </row>
    <row r="8" spans="1:5" ht="33" x14ac:dyDescent="0.25">
      <c r="A8" s="843" t="s">
        <v>350</v>
      </c>
      <c r="B8" s="926" t="s">
        <v>386</v>
      </c>
      <c r="C8" s="763"/>
      <c r="D8" s="799" t="s">
        <v>5</v>
      </c>
      <c r="E8" s="824" t="s">
        <v>5</v>
      </c>
    </row>
    <row r="9" spans="1:5" ht="33" x14ac:dyDescent="0.25">
      <c r="A9" s="895" t="s">
        <v>364</v>
      </c>
      <c r="B9" s="859" t="s">
        <v>352</v>
      </c>
      <c r="C9" s="850"/>
      <c r="D9" s="866" t="s">
        <v>5</v>
      </c>
      <c r="E9" s="884" t="s">
        <v>5</v>
      </c>
    </row>
    <row r="10" spans="1:5" ht="33" x14ac:dyDescent="0.25">
      <c r="A10" s="787" t="s">
        <v>335</v>
      </c>
      <c r="B10" s="928" t="s">
        <v>388</v>
      </c>
      <c r="C10" s="717"/>
      <c r="D10" s="825" t="s">
        <v>5</v>
      </c>
      <c r="E10" s="879" t="s">
        <v>5</v>
      </c>
    </row>
    <row r="11" spans="1:5" ht="33" x14ac:dyDescent="0.25">
      <c r="A11" s="833" t="s">
        <v>342</v>
      </c>
      <c r="B11" s="929" t="s">
        <v>389</v>
      </c>
      <c r="C11" s="851"/>
      <c r="D11" s="723" t="s">
        <v>5</v>
      </c>
      <c r="E11" s="858" t="s">
        <v>5</v>
      </c>
    </row>
    <row r="12" spans="1:5" ht="49.5" x14ac:dyDescent="0.25">
      <c r="A12" s="773" t="s">
        <v>321</v>
      </c>
      <c r="B12" s="860" t="s">
        <v>353</v>
      </c>
      <c r="C12" s="852"/>
      <c r="D12" s="724">
        <v>1110000</v>
      </c>
      <c r="E12" s="885">
        <v>32020000</v>
      </c>
    </row>
    <row r="13" spans="1:5" ht="49.5" x14ac:dyDescent="0.25">
      <c r="A13" s="837" t="s">
        <v>345</v>
      </c>
      <c r="B13" s="733" t="s">
        <v>311</v>
      </c>
      <c r="C13" s="743"/>
      <c r="D13" s="725">
        <v>506430000</v>
      </c>
      <c r="E13" s="886">
        <v>506430000</v>
      </c>
    </row>
    <row r="14" spans="1:5" ht="33" x14ac:dyDescent="0.25">
      <c r="A14" s="896" t="s">
        <v>365</v>
      </c>
      <c r="B14" s="869" t="s">
        <v>361</v>
      </c>
      <c r="C14" s="764"/>
      <c r="D14" s="800" t="s">
        <v>5</v>
      </c>
      <c r="E14" s="844" t="s">
        <v>5</v>
      </c>
    </row>
    <row r="15" spans="1:5" ht="33" x14ac:dyDescent="0.25">
      <c r="A15" s="788" t="s">
        <v>336</v>
      </c>
      <c r="B15" s="930" t="s">
        <v>390</v>
      </c>
      <c r="C15" s="718"/>
      <c r="D15" s="826" t="s">
        <v>5</v>
      </c>
      <c r="E15" s="880" t="s">
        <v>5</v>
      </c>
    </row>
    <row r="16" spans="1:5" ht="33" x14ac:dyDescent="0.25">
      <c r="A16" s="774" t="s">
        <v>322</v>
      </c>
      <c r="B16" s="861" t="s">
        <v>354</v>
      </c>
      <c r="C16" s="744"/>
      <c r="D16" s="726">
        <v>670000</v>
      </c>
      <c r="E16" s="887">
        <v>610000</v>
      </c>
    </row>
    <row r="17" spans="1:5" ht="33" x14ac:dyDescent="0.25">
      <c r="A17" s="838" t="s">
        <v>346</v>
      </c>
      <c r="B17" s="862" t="s">
        <v>355</v>
      </c>
      <c r="C17" s="745"/>
      <c r="D17" s="727" t="s">
        <v>5</v>
      </c>
      <c r="E17" s="888" t="s">
        <v>5</v>
      </c>
    </row>
    <row r="18" spans="1:5" ht="66" x14ac:dyDescent="0.25">
      <c r="A18" s="789" t="s">
        <v>337</v>
      </c>
      <c r="B18" s="712" t="s">
        <v>5</v>
      </c>
      <c r="C18" s="719"/>
      <c r="D18" s="827" t="s">
        <v>5</v>
      </c>
      <c r="E18" s="881" t="s">
        <v>5</v>
      </c>
    </row>
    <row r="19" spans="1:5" ht="66" x14ac:dyDescent="0.25">
      <c r="A19" s="870" t="s">
        <v>362</v>
      </c>
      <c r="B19" s="927" t="s">
        <v>387</v>
      </c>
      <c r="C19" s="765"/>
      <c r="D19" s="801">
        <v>12404815622133</v>
      </c>
      <c r="E19" s="845">
        <v>8929959117867</v>
      </c>
    </row>
    <row r="20" spans="1:5" ht="49.5" x14ac:dyDescent="0.25">
      <c r="A20" s="903" t="s">
        <v>372</v>
      </c>
      <c r="B20" s="769" t="s">
        <v>317</v>
      </c>
      <c r="C20" s="746"/>
      <c r="D20" s="728">
        <v>10352480490000</v>
      </c>
      <c r="E20" s="889">
        <v>7525644390000</v>
      </c>
    </row>
    <row r="21" spans="1:5" ht="49.5" x14ac:dyDescent="0.25">
      <c r="A21" s="897" t="s">
        <v>366</v>
      </c>
      <c r="B21" s="811" t="s">
        <v>338</v>
      </c>
      <c r="C21" s="766"/>
      <c r="D21" s="802">
        <v>180614700000</v>
      </c>
      <c r="E21" s="846">
        <v>14272000000</v>
      </c>
    </row>
    <row r="22" spans="1:5" ht="49.5" x14ac:dyDescent="0.25">
      <c r="A22" s="904" t="s">
        <v>373</v>
      </c>
      <c r="B22" s="776" t="s">
        <v>324</v>
      </c>
      <c r="C22" s="767"/>
      <c r="D22" s="803">
        <v>1437318020000</v>
      </c>
      <c r="E22" s="847">
        <v>975076070000</v>
      </c>
    </row>
    <row r="23" spans="1:5" ht="49.5" x14ac:dyDescent="0.25">
      <c r="A23" s="834" t="s">
        <v>343</v>
      </c>
      <c r="B23" s="863" t="s">
        <v>356</v>
      </c>
      <c r="C23" s="747"/>
      <c r="D23" s="729">
        <v>92810700000</v>
      </c>
      <c r="E23" s="890">
        <v>23301130000</v>
      </c>
    </row>
    <row r="24" spans="1:5" ht="49.5" x14ac:dyDescent="0.25">
      <c r="A24" s="831" t="s">
        <v>340</v>
      </c>
      <c r="B24" s="777" t="s">
        <v>325</v>
      </c>
      <c r="C24" s="768"/>
      <c r="D24" s="804">
        <v>97403720000</v>
      </c>
      <c r="E24" s="848">
        <v>297597900000</v>
      </c>
    </row>
    <row r="25" spans="1:5" ht="49.5" x14ac:dyDescent="0.25">
      <c r="A25" s="905" t="s">
        <v>374</v>
      </c>
      <c r="B25" s="778" t="s">
        <v>326</v>
      </c>
      <c r="C25" s="722"/>
      <c r="D25" s="805" t="s">
        <v>5</v>
      </c>
      <c r="E25" s="849" t="s">
        <v>5</v>
      </c>
    </row>
    <row r="26" spans="1:5" ht="66" x14ac:dyDescent="0.25">
      <c r="A26" s="840" t="s">
        <v>347</v>
      </c>
      <c r="B26" s="770" t="s">
        <v>318</v>
      </c>
      <c r="C26" s="748"/>
      <c r="D26" s="730">
        <v>28420820000</v>
      </c>
      <c r="E26" s="891">
        <v>29194860000</v>
      </c>
    </row>
    <row r="27" spans="1:5" ht="66" x14ac:dyDescent="0.25">
      <c r="A27" s="841" t="s">
        <v>348</v>
      </c>
      <c r="B27" s="771" t="s">
        <v>319</v>
      </c>
      <c r="C27" s="749"/>
      <c r="D27" s="731">
        <v>28420820000</v>
      </c>
      <c r="E27" s="892">
        <v>29194860000</v>
      </c>
    </row>
    <row r="28" spans="1:5" ht="66" x14ac:dyDescent="0.25">
      <c r="A28" s="871" t="s">
        <v>363</v>
      </c>
      <c r="B28" s="779" t="s">
        <v>327</v>
      </c>
      <c r="C28" s="938"/>
      <c r="D28" s="806" t="s">
        <v>5</v>
      </c>
      <c r="E28" s="872" t="s">
        <v>5</v>
      </c>
    </row>
    <row r="29" spans="1:5" ht="66" x14ac:dyDescent="0.25">
      <c r="A29" s="898" t="s">
        <v>367</v>
      </c>
      <c r="B29" s="931" t="s">
        <v>391</v>
      </c>
      <c r="C29" s="750"/>
      <c r="D29" s="737" t="s">
        <v>5</v>
      </c>
      <c r="E29" s="893" t="s">
        <v>5</v>
      </c>
    </row>
    <row r="30" spans="1:5" ht="66" x14ac:dyDescent="0.25">
      <c r="A30" s="899" t="s">
        <v>368</v>
      </c>
      <c r="B30" s="932" t="s">
        <v>392</v>
      </c>
      <c r="C30" s="751"/>
      <c r="D30" s="734" t="s">
        <v>5</v>
      </c>
      <c r="E30" s="894" t="s">
        <v>5</v>
      </c>
    </row>
    <row r="31" spans="1:5" ht="49.5" x14ac:dyDescent="0.25">
      <c r="A31" s="900" t="s">
        <v>369</v>
      </c>
      <c r="B31" s="780" t="s">
        <v>328</v>
      </c>
      <c r="C31" s="939"/>
      <c r="D31" s="807">
        <v>171668232520</v>
      </c>
      <c r="E31" s="873">
        <v>729311421500</v>
      </c>
    </row>
    <row r="32" spans="1:5" ht="49.5" x14ac:dyDescent="0.25">
      <c r="A32" s="901" t="s">
        <v>370</v>
      </c>
      <c r="B32" s="772" t="s">
        <v>320</v>
      </c>
      <c r="C32" s="736"/>
      <c r="D32" s="735" t="s">
        <v>5</v>
      </c>
      <c r="E32" s="911" t="s">
        <v>5</v>
      </c>
    </row>
    <row r="33" spans="1:5" ht="49.5" x14ac:dyDescent="0.25">
      <c r="A33" s="902" t="s">
        <v>371</v>
      </c>
      <c r="B33" s="781" t="s">
        <v>329</v>
      </c>
      <c r="C33" s="813"/>
      <c r="D33" s="808" t="s">
        <v>5</v>
      </c>
      <c r="E33" s="874" t="s">
        <v>5</v>
      </c>
    </row>
    <row r="34" spans="1:5" ht="49.5" x14ac:dyDescent="0.25">
      <c r="A34" s="715" t="s">
        <v>309</v>
      </c>
      <c r="B34" s="740" t="s">
        <v>313</v>
      </c>
      <c r="C34" s="909"/>
      <c r="D34" s="853" t="s">
        <v>5</v>
      </c>
      <c r="E34" s="912" t="s">
        <v>5</v>
      </c>
    </row>
    <row r="35" spans="1:5" ht="33" x14ac:dyDescent="0.25">
      <c r="A35" s="906" t="s">
        <v>375</v>
      </c>
      <c r="B35" s="782" t="s">
        <v>330</v>
      </c>
      <c r="C35" s="814"/>
      <c r="D35" s="882">
        <v>927127954243</v>
      </c>
      <c r="E35" s="875">
        <v>938212261852</v>
      </c>
    </row>
    <row r="36" spans="1:5" ht="82.5" x14ac:dyDescent="0.25">
      <c r="A36" s="907" t="s">
        <v>376</v>
      </c>
      <c r="B36" s="741" t="s">
        <v>314</v>
      </c>
      <c r="C36" s="910"/>
      <c r="D36" s="839">
        <v>927127954243</v>
      </c>
      <c r="E36" s="913">
        <v>938212261852</v>
      </c>
    </row>
    <row r="37" spans="1:5" ht="66" x14ac:dyDescent="0.25">
      <c r="A37" s="908" t="s">
        <v>377</v>
      </c>
      <c r="B37" s="742" t="s">
        <v>315</v>
      </c>
      <c r="C37" s="720"/>
      <c r="D37" s="854" t="s">
        <v>5</v>
      </c>
      <c r="E37" s="914" t="s">
        <v>5</v>
      </c>
    </row>
    <row r="38" spans="1:5" ht="49.5" x14ac:dyDescent="0.25">
      <c r="A38" s="917" t="s">
        <v>378</v>
      </c>
      <c r="B38" s="775" t="s">
        <v>323</v>
      </c>
      <c r="C38" s="754"/>
      <c r="D38" s="790" t="s">
        <v>5</v>
      </c>
      <c r="E38" s="815" t="s">
        <v>5</v>
      </c>
    </row>
    <row r="39" spans="1:5" ht="66" x14ac:dyDescent="0.25">
      <c r="A39" s="857" t="s">
        <v>351</v>
      </c>
      <c r="B39" s="832" t="s">
        <v>341</v>
      </c>
      <c r="C39" s="714"/>
      <c r="D39" s="855" t="s">
        <v>5</v>
      </c>
      <c r="E39" s="915" t="s">
        <v>5</v>
      </c>
    </row>
    <row r="40" spans="1:5" ht="66" x14ac:dyDescent="0.25">
      <c r="A40" s="918" t="s">
        <v>379</v>
      </c>
      <c r="B40" s="933" t="s">
        <v>393</v>
      </c>
      <c r="C40" s="755"/>
      <c r="D40" s="791" t="s">
        <v>5</v>
      </c>
      <c r="E40" s="816" t="s">
        <v>5</v>
      </c>
    </row>
    <row r="41" spans="1:5" ht="49.5" x14ac:dyDescent="0.25">
      <c r="A41" s="919" t="s">
        <v>380</v>
      </c>
      <c r="B41" s="935" t="s">
        <v>395</v>
      </c>
      <c r="C41" s="756"/>
      <c r="D41" s="792" t="s">
        <v>5</v>
      </c>
      <c r="E41" s="817" t="s">
        <v>5</v>
      </c>
    </row>
    <row r="42" spans="1:5" ht="82.5" x14ac:dyDescent="0.25">
      <c r="A42" s="732" t="s">
        <v>310</v>
      </c>
      <c r="B42" s="783" t="s">
        <v>331</v>
      </c>
      <c r="C42" s="940"/>
      <c r="D42" s="809">
        <v>682939733110</v>
      </c>
      <c r="E42" s="876">
        <v>844123870410</v>
      </c>
    </row>
    <row r="43" spans="1:5" ht="66" x14ac:dyDescent="0.25">
      <c r="A43" s="920" t="s">
        <v>381</v>
      </c>
      <c r="B43" s="936" t="s">
        <v>396</v>
      </c>
      <c r="C43" s="757"/>
      <c r="D43" s="793">
        <v>618959697256</v>
      </c>
      <c r="E43" s="818">
        <v>811978561574</v>
      </c>
    </row>
    <row r="44" spans="1:5" ht="82.5" x14ac:dyDescent="0.25">
      <c r="A44" s="921" t="s">
        <v>382</v>
      </c>
      <c r="B44" s="865" t="s">
        <v>358</v>
      </c>
      <c r="C44" s="758"/>
      <c r="D44" s="794">
        <v>63980035854</v>
      </c>
      <c r="E44" s="819">
        <v>32145308836</v>
      </c>
    </row>
    <row r="45" spans="1:5" ht="49.5" x14ac:dyDescent="0.25">
      <c r="A45" s="753" t="s">
        <v>316</v>
      </c>
      <c r="B45" s="867" t="s">
        <v>359</v>
      </c>
      <c r="C45" s="721"/>
      <c r="D45" s="856" t="s">
        <v>5</v>
      </c>
      <c r="E45" s="916" t="s">
        <v>5</v>
      </c>
    </row>
    <row r="46" spans="1:5" ht="66" x14ac:dyDescent="0.25">
      <c r="A46" s="922" t="s">
        <v>383</v>
      </c>
      <c r="B46" s="864" t="s">
        <v>357</v>
      </c>
      <c r="C46" s="759"/>
      <c r="D46" s="795" t="s">
        <v>5</v>
      </c>
      <c r="E46" s="820" t="s">
        <v>5</v>
      </c>
    </row>
    <row r="47" spans="1:5" ht="66" x14ac:dyDescent="0.25">
      <c r="A47" s="934" t="s">
        <v>394</v>
      </c>
      <c r="B47" s="784" t="s">
        <v>332</v>
      </c>
      <c r="C47" s="941"/>
      <c r="D47" s="810" t="s">
        <v>5</v>
      </c>
      <c r="E47" s="877" t="s">
        <v>5</v>
      </c>
    </row>
    <row r="48" spans="1:5" ht="49.5" x14ac:dyDescent="0.25">
      <c r="A48" s="923" t="s">
        <v>384</v>
      </c>
      <c r="B48" s="829" t="s">
        <v>339</v>
      </c>
      <c r="C48" s="760"/>
      <c r="D48" s="796">
        <v>119000</v>
      </c>
      <c r="E48" s="821">
        <v>20763575</v>
      </c>
    </row>
  </sheetData>
  <mergeCells count="1">
    <mergeCell ref="A1:E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48"/>
  <sheetViews>
    <sheetView workbookViewId="0"/>
  </sheetViews>
  <sheetFormatPr defaultRowHeight="15" x14ac:dyDescent="0.25"/>
  <cols>
    <col min="1" max="1" width="1" style="942" bestFit="1" customWidth="1"/>
    <col min="2" max="5" width="1" bestFit="1" customWidth="1"/>
  </cols>
  <sheetData>
    <row r="3" spans="1:5" x14ac:dyDescent="0.25">
      <c r="A3" t="str">
        <f>CONCATENATE(611179,",",ROW(CCTTCR_06609!A3),"|",COLUMN(CCTTCR_06609!A3),",0",",0")</f>
        <v>611179,3|1,0,0</v>
      </c>
      <c r="B3" t="str">
        <f>CONCATENATE(611331,",",ROW(CCTTCR_06609!B3),"|",COLUMN(CCTTCR_06609!B3),",0",",0")</f>
        <v>611331,3|2,0,0</v>
      </c>
      <c r="C3" t="str">
        <f>CONCATENATE(611224,",",ROW(CCTTCR_06609!C3),"|",COLUMN(CCTTCR_06609!C3),",0",",0")</f>
        <v>611224,3|3,0,0</v>
      </c>
      <c r="D3" t="str">
        <f>CONCATENATE(611229,",",ROW(CCTTCR_06609!D3),"|",COLUMN(CCTTCR_06609!D3),",0",",0")</f>
        <v>611229,3|4,0,0</v>
      </c>
      <c r="E3" t="str">
        <f>CONCATENATE(611230,",",ROW(CCTTCR_06609!E3),"|",COLUMN(CCTTCR_06609!E3),",0",",0")</f>
        <v>611230,3|5,0,0</v>
      </c>
    </row>
    <row r="4" spans="1:5" x14ac:dyDescent="0.25">
      <c r="A4" t="str">
        <f>CONCATENATE(611180,",",ROW(CCTTCR_06609!A4),"|",COLUMN(CCTTCR_06609!A4),",0",",0")</f>
        <v>611180,4|1,0,0</v>
      </c>
      <c r="B4" t="s">
        <v>5</v>
      </c>
      <c r="C4" t="str">
        <f>CONCATENATE(611110,",",ROW(CCTTCR_06609!C4),"|",COLUMN(CCTTCR_06609!C4),",0",",0")</f>
        <v>611110,4|3,0,0</v>
      </c>
      <c r="D4" t="str">
        <f>CONCATENATE(611206,",",ROW(CCTTCR_06609!D4),"|",COLUMN(CCTTCR_06609!D4),",0",",0")</f>
        <v>611206,4|4,0,0</v>
      </c>
      <c r="E4" t="str">
        <f>CONCATENATE(611272,",",ROW(CCTTCR_06609!E4),"|",COLUMN(CCTTCR_06609!E4),",0",",0")</f>
        <v>611272,4|5,0,0</v>
      </c>
    </row>
    <row r="5" spans="1:5" x14ac:dyDescent="0.25">
      <c r="A5" t="str">
        <f>CONCATENATE(611262,",",ROW(CCTTCR_06609!A5),"|",COLUMN(CCTTCR_06609!A5),",0",",0")</f>
        <v>611262,5|1,0,0</v>
      </c>
      <c r="B5" t="str">
        <f>CONCATENATE(611318,",",ROW(CCTTCR_06609!B5),"|",COLUMN(CCTTCR_06609!B5),",0",",0")</f>
        <v>611318,5|2,0,0</v>
      </c>
      <c r="C5" t="str">
        <f>CONCATENATE(611155,",",ROW(CCTTCR_06609!C5),"|",COLUMN(CCTTCR_06609!C5),",0",",0")</f>
        <v>611155,5|3,0,0</v>
      </c>
      <c r="D5" t="str">
        <f>CONCATENATE(611191,",",ROW(CCTTCR_06609!D5),"|",COLUMN(CCTTCR_06609!D5),",0",",0")</f>
        <v>611191,5|4,0,0</v>
      </c>
      <c r="E5" t="str">
        <f>CONCATENATE(611216,",",ROW(CCTTCR_06609!E5),"|",COLUMN(CCTTCR_06609!E5),",0",",0")</f>
        <v>611216,5|5,0,0</v>
      </c>
    </row>
    <row r="6" spans="1:5" x14ac:dyDescent="0.25">
      <c r="A6" t="str">
        <f>CONCATENATE(611236,",",ROW(CCTTCR_06609!A6),"|",COLUMN(CCTTCR_06609!A6),",0",",0")</f>
        <v>611236,6|1,0,0</v>
      </c>
      <c r="B6" t="str">
        <f>CONCATENATE(611133,",",ROW(CCTTCR_06609!B6),"|",COLUMN(CCTTCR_06609!B6),",0",",0")</f>
        <v>611133,6|2,0,0</v>
      </c>
      <c r="C6" t="str">
        <f>CONCATENATE(611146,",",ROW(CCTTCR_06609!C6),"|",COLUMN(CCTTCR_06609!C6),",0",",0")</f>
        <v>611146,6|3,0,0</v>
      </c>
      <c r="D6" t="str">
        <f>CONCATENATE(611222,",",ROW(CCTTCR_06609!D6),"|",COLUMN(CCTTCR_06609!D6),",0",",0")</f>
        <v>611222,6|4,0,0</v>
      </c>
      <c r="E6" t="str">
        <f>CONCATENATE(611277,",",ROW(CCTTCR_06609!E6),"|",COLUMN(CCTTCR_06609!E6),",0",",0")</f>
        <v>611277,6|5,0,0</v>
      </c>
    </row>
    <row r="7" spans="1:5" x14ac:dyDescent="0.25">
      <c r="A7" t="str">
        <f>CONCATENATE(611132,",",ROW(CCTTCR_06609!A7),"|",COLUMN(CCTTCR_06609!A7),",0",",0")</f>
        <v>611132,7|1,0,0</v>
      </c>
      <c r="B7" t="str">
        <f>CONCATENATE(611319,",",ROW(CCTTCR_06609!B7),"|",COLUMN(CCTTCR_06609!B7),",0",",0")</f>
        <v>611319,7|2,0,0</v>
      </c>
      <c r="C7" t="str">
        <f>CONCATENATE(611156,",",ROW(CCTTCR_06609!C7),"|",COLUMN(CCTTCR_06609!C7),",0",",0")</f>
        <v>611156,7|3,0,0</v>
      </c>
      <c r="D7" t="str">
        <f>CONCATENATE(611192,",",ROW(CCTTCR_06609!D7),"|",COLUMN(CCTTCR_06609!D7),",0",",0")</f>
        <v>611192,7|4,0,0</v>
      </c>
      <c r="E7" t="str">
        <f>CONCATENATE(611217,",",ROW(CCTTCR_06609!E7),"|",COLUMN(CCTTCR_06609!E7),",0",",0")</f>
        <v>611217,7|5,0,0</v>
      </c>
    </row>
    <row r="8" spans="1:5" x14ac:dyDescent="0.25">
      <c r="A8" t="str">
        <f>CONCATENATE(611237,",",ROW(CCTTCR_06609!A8),"|",COLUMN(CCTTCR_06609!A8),",0",",0")</f>
        <v>611237,8|1,0,0</v>
      </c>
      <c r="B8" t="str">
        <f>CONCATENATE(611320,",",ROW(CCTTCR_06609!B8),"|",COLUMN(CCTTCR_06609!B8),",0",",0")</f>
        <v>611320,8|2,0,0</v>
      </c>
      <c r="C8" t="str">
        <f>CONCATENATE(611157,",",ROW(CCTTCR_06609!C8),"|",COLUMN(CCTTCR_06609!C8),",0",",0")</f>
        <v>611157,8|3,0,0</v>
      </c>
      <c r="D8" t="str">
        <f>CONCATENATE(611193,",",ROW(CCTTCR_06609!D8),"|",COLUMN(CCTTCR_06609!D8),",0",",0")</f>
        <v>611193,8|4,0,0</v>
      </c>
      <c r="E8" t="str">
        <f>CONCATENATE(611218,",",ROW(CCTTCR_06609!E8),"|",COLUMN(CCTTCR_06609!E8),",0",",0")</f>
        <v>611218,8|5,0,0</v>
      </c>
    </row>
    <row r="9" spans="1:5" x14ac:dyDescent="0.25">
      <c r="A9" t="str">
        <f>CONCATENATE(611289,",",ROW(CCTTCR_06609!A9),"|",COLUMN(CCTTCR_06609!A9),",0",",0")</f>
        <v>611289,9|1,0,0</v>
      </c>
      <c r="B9" t="str">
        <f>CONCATENATE(611253,",",ROW(CCTTCR_06609!B9),"|",COLUMN(CCTTCR_06609!B9),",0",",0")</f>
        <v>611253,9|2,0,0</v>
      </c>
      <c r="C9" t="str">
        <f>CONCATENATE(611244,",",ROW(CCTTCR_06609!C9),"|",COLUMN(CCTTCR_06609!C9),",0",",0")</f>
        <v>611244,9|3,0,0</v>
      </c>
      <c r="D9" t="str">
        <f>CONCATENATE(611260,",",ROW(CCTTCR_06609!D9),"|",COLUMN(CCTTCR_06609!D9),",0",",0")</f>
        <v>611260,9|4,0,0</v>
      </c>
      <c r="E9" t="str">
        <f>CONCATENATE(611278,",",ROW(CCTTCR_06609!E9),"|",COLUMN(CCTTCR_06609!E9),",0",",0")</f>
        <v>611278,9|5,0,0</v>
      </c>
    </row>
    <row r="10" spans="1:5" x14ac:dyDescent="0.25">
      <c r="A10" t="str">
        <f>CONCATENATE(611181,",",ROW(CCTTCR_06609!A10),"|",COLUMN(CCTTCR_06609!A10),",0",",0")</f>
        <v>611181,10|1,0,0</v>
      </c>
      <c r="B10" t="str">
        <f>CONCATENATE(611322,",",ROW(CCTTCR_06609!B10),"|",COLUMN(CCTTCR_06609!B10),",0",",0")</f>
        <v>611322,10|2,0,0</v>
      </c>
      <c r="C10" t="str">
        <f>CONCATENATE(611111,",",ROW(CCTTCR_06609!C10),"|",COLUMN(CCTTCR_06609!C10),",0",",0")</f>
        <v>611111,10|3,0,0</v>
      </c>
      <c r="D10" t="str">
        <f>CONCATENATE(611219,",",ROW(CCTTCR_06609!D10),"|",COLUMN(CCTTCR_06609!D10),",0",",0")</f>
        <v>611219,10|4,0,0</v>
      </c>
      <c r="E10" t="str">
        <f>CONCATENATE(611273,",",ROW(CCTTCR_06609!E10),"|",COLUMN(CCTTCR_06609!E10),",0",",0")</f>
        <v>611273,10|5,0,0</v>
      </c>
    </row>
    <row r="11" spans="1:5" x14ac:dyDescent="0.25">
      <c r="A11" t="str">
        <f>CONCATENATE(611227,",",ROW(CCTTCR_06609!A11),"|",COLUMN(CCTTCR_06609!A11),",0",",0")</f>
        <v>611227,11|1,0,0</v>
      </c>
      <c r="B11" t="str">
        <f>CONCATENATE(611323,",",ROW(CCTTCR_06609!B11),"|",COLUMN(CCTTCR_06609!B11),",0",",0")</f>
        <v>611323,11|2,0,0</v>
      </c>
      <c r="C11" t="str">
        <f>CONCATENATE(611245,",",ROW(CCTTCR_06609!C11),"|",COLUMN(CCTTCR_06609!C11),",0",",0")</f>
        <v>611245,11|3,0,0</v>
      </c>
      <c r="D11" t="str">
        <f>CONCATENATE(611117,",",ROW(CCTTCR_06609!D11),"|",COLUMN(CCTTCR_06609!D11),",0",",0")</f>
        <v>611117,11|4,0,0</v>
      </c>
      <c r="E11" t="str">
        <f>CONCATENATE(611252,",",ROW(CCTTCR_06609!E11),"|",COLUMN(CCTTCR_06609!E11),",0",",0")</f>
        <v>611252,11|5,0,0</v>
      </c>
    </row>
    <row r="12" spans="1:5" x14ac:dyDescent="0.25">
      <c r="A12" t="str">
        <f>CONCATENATE(611167,",",ROW(CCTTCR_06609!A12),"|",COLUMN(CCTTCR_06609!A12),",0",",0")</f>
        <v>611167,12|1,0,0</v>
      </c>
      <c r="B12" t="str">
        <f>CONCATENATE(611254,",",ROW(CCTTCR_06609!B12),"|",COLUMN(CCTTCR_06609!B12),",0",",0")</f>
        <v>611254,12|2,0,0</v>
      </c>
      <c r="C12" t="str">
        <f>CONCATENATE(611246,",",ROW(CCTTCR_06609!C12),"|",COLUMN(CCTTCR_06609!C12),",0",",0")</f>
        <v>611246,12|3,0,0</v>
      </c>
      <c r="D12" t="str">
        <f>CONCATENATE(611118,",",ROW(CCTTCR_06609!D12),"|",COLUMN(CCTTCR_06609!D12),",0",",0")</f>
        <v>611118,12|4,0,0</v>
      </c>
      <c r="E12" t="str">
        <f>CONCATENATE(611279,",",ROW(CCTTCR_06609!E12),"|",COLUMN(CCTTCR_06609!E12),",0",",0")</f>
        <v>611279,12|5,0,0</v>
      </c>
    </row>
    <row r="13" spans="1:5" x14ac:dyDescent="0.25">
      <c r="A13" t="str">
        <f>CONCATENATE(611231,",",ROW(CCTTCR_06609!A13),"|",COLUMN(CCTTCR_06609!A13),",0",",0")</f>
        <v>611231,13|1,0,0</v>
      </c>
      <c r="B13" t="str">
        <f>CONCATENATE(611127,",",ROW(CCTTCR_06609!B13),"|",COLUMN(CCTTCR_06609!B13),",0",",0")</f>
        <v>611127,13|2,0,0</v>
      </c>
      <c r="C13" t="str">
        <f>CONCATENATE(611137,",",ROW(CCTTCR_06609!C13),"|",COLUMN(CCTTCR_06609!C13),",0",",0")</f>
        <v>611137,13|3,0,0</v>
      </c>
      <c r="D13" t="str">
        <f>CONCATENATE(611119,",",ROW(CCTTCR_06609!D13),"|",COLUMN(CCTTCR_06609!D13),",0",",0")</f>
        <v>611119,13|4,0,0</v>
      </c>
      <c r="E13" t="str">
        <f>CONCATENATE(611280,",",ROW(CCTTCR_06609!E13),"|",COLUMN(CCTTCR_06609!E13),",0",",0")</f>
        <v>611280,13|5,0,0</v>
      </c>
    </row>
    <row r="14" spans="1:5" x14ac:dyDescent="0.25">
      <c r="A14" t="str">
        <f>CONCATENATE(611290,",",ROW(CCTTCR_06609!A14),"|",COLUMN(CCTTCR_06609!A14),",0",",0")</f>
        <v>611290,14|1,0,0</v>
      </c>
      <c r="B14" t="str">
        <f>CONCATENATE(611263,",",ROW(CCTTCR_06609!B14),"|",COLUMN(CCTTCR_06609!B14),",0",",0")</f>
        <v>611263,14|2,0,0</v>
      </c>
      <c r="C14" t="str">
        <f>CONCATENATE(611158,",",ROW(CCTTCR_06609!C14),"|",COLUMN(CCTTCR_06609!C14),",0",",0")</f>
        <v>611158,14|3,0,0</v>
      </c>
      <c r="D14" t="str">
        <f>CONCATENATE(611194,",",ROW(CCTTCR_06609!D14),"|",COLUMN(CCTTCR_06609!D14),",0",",0")</f>
        <v>611194,14|4,0,0</v>
      </c>
      <c r="E14" t="str">
        <f>CONCATENATE(611238,",",ROW(CCTTCR_06609!E14),"|",COLUMN(CCTTCR_06609!E14),",0",",0")</f>
        <v>611238,14|5,0,0</v>
      </c>
    </row>
    <row r="15" spans="1:5" x14ac:dyDescent="0.25">
      <c r="A15" t="str">
        <f>CONCATENATE(611182,",",ROW(CCTTCR_06609!A15),"|",COLUMN(CCTTCR_06609!A15),",0",",0")</f>
        <v>611182,15|1,0,0</v>
      </c>
      <c r="B15" t="str">
        <f>CONCATENATE(611324,",",ROW(CCTTCR_06609!B15),"|",COLUMN(CCTTCR_06609!B15),",0",",0")</f>
        <v>611324,15|2,0,0</v>
      </c>
      <c r="C15" t="str">
        <f>CONCATENATE(611112,",",ROW(CCTTCR_06609!C15),"|",COLUMN(CCTTCR_06609!C15),",0",",0")</f>
        <v>611112,15|3,0,0</v>
      </c>
      <c r="D15" t="str">
        <f>CONCATENATE(611220,",",ROW(CCTTCR_06609!D15),"|",COLUMN(CCTTCR_06609!D15),",0",",0")</f>
        <v>611220,15|4,0,0</v>
      </c>
      <c r="E15" t="str">
        <f>CONCATENATE(611274,",",ROW(CCTTCR_06609!E15),"|",COLUMN(CCTTCR_06609!E15),",0",",0")</f>
        <v>611274,15|5,0,0</v>
      </c>
    </row>
    <row r="16" spans="1:5" x14ac:dyDescent="0.25">
      <c r="A16" t="str">
        <f>CONCATENATE(611168,",",ROW(CCTTCR_06609!A16),"|",COLUMN(CCTTCR_06609!A16),",0",",0")</f>
        <v>611168,16|1,0,0</v>
      </c>
      <c r="B16" t="str">
        <f>CONCATENATE(611255,",",ROW(CCTTCR_06609!B16),"|",COLUMN(CCTTCR_06609!B16),",0",",0")</f>
        <v>611255,16|2,0,0</v>
      </c>
      <c r="C16" t="str">
        <f>CONCATENATE(611138,",",ROW(CCTTCR_06609!C16),"|",COLUMN(CCTTCR_06609!C16),",0",",0")</f>
        <v>611138,16|3,0,0</v>
      </c>
      <c r="D16" t="str">
        <f>CONCATENATE(611120,",",ROW(CCTTCR_06609!D16),"|",COLUMN(CCTTCR_06609!D16),",0",",0")</f>
        <v>611120,16|4,0,0</v>
      </c>
      <c r="E16" t="str">
        <f>CONCATENATE(611281,",",ROW(CCTTCR_06609!E16),"|",COLUMN(CCTTCR_06609!E16),",0",",0")</f>
        <v>611281,16|5,0,0</v>
      </c>
    </row>
    <row r="17" spans="1:5" x14ac:dyDescent="0.25">
      <c r="A17" t="str">
        <f>CONCATENATE(611232,",",ROW(CCTTCR_06609!A17),"|",COLUMN(CCTTCR_06609!A17),",0",",0")</f>
        <v>611232,17|1,0,0</v>
      </c>
      <c r="B17" t="str">
        <f>CONCATENATE(611256,",",ROW(CCTTCR_06609!B17),"|",COLUMN(CCTTCR_06609!B17),",0",",0")</f>
        <v>611256,17|2,0,0</v>
      </c>
      <c r="C17" t="str">
        <f>CONCATENATE(611139,",",ROW(CCTTCR_06609!C17),"|",COLUMN(CCTTCR_06609!C17),",0",",0")</f>
        <v>611139,17|3,0,0</v>
      </c>
      <c r="D17" t="str">
        <f>CONCATENATE(611121,",",ROW(CCTTCR_06609!D17),"|",COLUMN(CCTTCR_06609!D17),",0",",0")</f>
        <v>611121,17|4,0,0</v>
      </c>
      <c r="E17" t="str">
        <f>CONCATENATE(611282,",",ROW(CCTTCR_06609!E17),"|",COLUMN(CCTTCR_06609!E17),",0",",0")</f>
        <v>611282,17|5,0,0</v>
      </c>
    </row>
    <row r="18" spans="1:5" x14ac:dyDescent="0.25">
      <c r="A18" t="str">
        <f>CONCATENATE(611183,",",ROW(CCTTCR_06609!A18),"|",COLUMN(CCTTCR_06609!A18),",0",",0")</f>
        <v>611183,18|1,0,0</v>
      </c>
      <c r="B18" t="s">
        <v>5</v>
      </c>
      <c r="C18" t="str">
        <f>CONCATENATE(611113,",",ROW(CCTTCR_06609!C18),"|",COLUMN(CCTTCR_06609!C18),",0",",0")</f>
        <v>611113,18|3,0,0</v>
      </c>
      <c r="D18" t="str">
        <f>CONCATENATE(611221,",",ROW(CCTTCR_06609!D18),"|",COLUMN(CCTTCR_06609!D18),",0",",0")</f>
        <v>611221,18|4,0,0</v>
      </c>
      <c r="E18" t="str">
        <f>CONCATENATE(611275,",",ROW(CCTTCR_06609!E18),"|",COLUMN(CCTTCR_06609!E18),",0",",0")</f>
        <v>611275,18|5,0,0</v>
      </c>
    </row>
    <row r="19" spans="1:5" x14ac:dyDescent="0.25">
      <c r="A19" t="str">
        <f>CONCATENATE(611264,",",ROW(CCTTCR_06609!A19),"|",COLUMN(CCTTCR_06609!A19),",0",",0")</f>
        <v>611264,19|1,0,0</v>
      </c>
      <c r="B19" t="str">
        <f>CONCATENATE(611321,",",ROW(CCTTCR_06609!B19),"|",COLUMN(CCTTCR_06609!B19),",0",",0")</f>
        <v>611321,19|2,0,0</v>
      </c>
      <c r="C19" t="str">
        <f>CONCATENATE(611159,",",ROW(CCTTCR_06609!C19),"|",COLUMN(CCTTCR_06609!C19),",0",",0")</f>
        <v>611159,19|3,0,0</v>
      </c>
      <c r="D19" t="str">
        <f>CONCATENATE(611195,",",ROW(CCTTCR_06609!D19),"|",COLUMN(CCTTCR_06609!D19),",0",",0")</f>
        <v>611195,19|4,0,0</v>
      </c>
      <c r="E19" t="str">
        <f>CONCATENATE(611239,",",ROW(CCTTCR_06609!E19),"|",COLUMN(CCTTCR_06609!E19),",0",",0")</f>
        <v>611239,19|5,0,0</v>
      </c>
    </row>
    <row r="20" spans="1:5" x14ac:dyDescent="0.25">
      <c r="A20" t="str">
        <f>CONCATENATE(611297,",",ROW(CCTTCR_06609!A20),"|",COLUMN(CCTTCR_06609!A20),",0",",0")</f>
        <v>611297,20|1,0,0</v>
      </c>
      <c r="B20" t="str">
        <f>CONCATENATE(611163,",",ROW(CCTTCR_06609!B20),"|",COLUMN(CCTTCR_06609!B20),",0",",0")</f>
        <v>611163,20|2,0,0</v>
      </c>
      <c r="C20" t="str">
        <f>CONCATENATE(611140,",",ROW(CCTTCR_06609!C20),"|",COLUMN(CCTTCR_06609!C20),",0",",0")</f>
        <v>611140,20|3,0,0</v>
      </c>
      <c r="D20" t="str">
        <f>CONCATENATE(611122,",",ROW(CCTTCR_06609!D20),"|",COLUMN(CCTTCR_06609!D20),",0",",0")</f>
        <v>611122,20|4,0,0</v>
      </c>
      <c r="E20" t="str">
        <f>CONCATENATE(611283,",",ROW(CCTTCR_06609!E20),"|",COLUMN(CCTTCR_06609!E20),",0",",0")</f>
        <v>611283,20|5,0,0</v>
      </c>
    </row>
    <row r="21" spans="1:5" x14ac:dyDescent="0.25">
      <c r="A21" t="str">
        <f>CONCATENATE(611291,",",ROW(CCTTCR_06609!A21),"|",COLUMN(CCTTCR_06609!A21),",0",",0")</f>
        <v>611291,21|1,0,0</v>
      </c>
      <c r="B21" t="str">
        <f>CONCATENATE(611205,",",ROW(CCTTCR_06609!B21),"|",COLUMN(CCTTCR_06609!B21),",0",",0")</f>
        <v>611205,21|2,0,0</v>
      </c>
      <c r="C21" t="str">
        <f>CONCATENATE(611160,",",ROW(CCTTCR_06609!C21),"|",COLUMN(CCTTCR_06609!C21),",0",",0")</f>
        <v>611160,21|3,0,0</v>
      </c>
      <c r="D21" t="str">
        <f>CONCATENATE(611196,",",ROW(CCTTCR_06609!D21),"|",COLUMN(CCTTCR_06609!D21),",0",",0")</f>
        <v>611196,21|4,0,0</v>
      </c>
      <c r="E21" t="str">
        <f>CONCATENATE(611240,",",ROW(CCTTCR_06609!E21),"|",COLUMN(CCTTCR_06609!E21),",0",",0")</f>
        <v>611240,21|5,0,0</v>
      </c>
    </row>
    <row r="22" spans="1:5" x14ac:dyDescent="0.25">
      <c r="A22" t="str">
        <f>CONCATENATE(611298,",",ROW(CCTTCR_06609!A22),"|",COLUMN(CCTTCR_06609!A22),",0",",0")</f>
        <v>611298,22|1,0,0</v>
      </c>
      <c r="B22" t="str">
        <f>CONCATENATE(611170,",",ROW(CCTTCR_06609!B22),"|",COLUMN(CCTTCR_06609!B22),",0",",0")</f>
        <v>611170,22|2,0,0</v>
      </c>
      <c r="C22" t="str">
        <f>CONCATENATE(611161,",",ROW(CCTTCR_06609!C22),"|",COLUMN(CCTTCR_06609!C22),",0",",0")</f>
        <v>611161,22|3,0,0</v>
      </c>
      <c r="D22" t="str">
        <f>CONCATENATE(611197,",",ROW(CCTTCR_06609!D22),"|",COLUMN(CCTTCR_06609!D22),",0",",0")</f>
        <v>611197,22|4,0,0</v>
      </c>
      <c r="E22" t="str">
        <f>CONCATENATE(611241,",",ROW(CCTTCR_06609!E22),"|",COLUMN(CCTTCR_06609!E22),",0",",0")</f>
        <v>611241,22|5,0,0</v>
      </c>
    </row>
    <row r="23" spans="1:5" x14ac:dyDescent="0.25">
      <c r="A23" t="str">
        <f>CONCATENATE(611228,",",ROW(CCTTCR_06609!A23),"|",COLUMN(CCTTCR_06609!A23),",0",",0")</f>
        <v>611228,23|1,0,0</v>
      </c>
      <c r="B23" t="str">
        <f>CONCATENATE(611257,",",ROW(CCTTCR_06609!B23),"|",COLUMN(CCTTCR_06609!B23),",0",",0")</f>
        <v>611257,23|2,0,0</v>
      </c>
      <c r="C23" t="str">
        <f>CONCATENATE(611141,",",ROW(CCTTCR_06609!C23),"|",COLUMN(CCTTCR_06609!C23),",0",",0")</f>
        <v>611141,23|3,0,0</v>
      </c>
      <c r="D23" t="str">
        <f>CONCATENATE(611123,",",ROW(CCTTCR_06609!D23),"|",COLUMN(CCTTCR_06609!D23),",0",",0")</f>
        <v>611123,23|4,0,0</v>
      </c>
      <c r="E23" t="str">
        <f>CONCATENATE(611284,",",ROW(CCTTCR_06609!E23),"|",COLUMN(CCTTCR_06609!E23),",0",",0")</f>
        <v>611284,23|5,0,0</v>
      </c>
    </row>
    <row r="24" spans="1:5" x14ac:dyDescent="0.25">
      <c r="A24" t="str">
        <f>CONCATENATE(611225,",",ROW(CCTTCR_06609!A24),"|",COLUMN(CCTTCR_06609!A24),",0",",0")</f>
        <v>611225,24|1,0,0</v>
      </c>
      <c r="B24" t="str">
        <f>CONCATENATE(611171,",",ROW(CCTTCR_06609!B24),"|",COLUMN(CCTTCR_06609!B24),",0",",0")</f>
        <v>611171,24|2,0,0</v>
      </c>
      <c r="C24" t="str">
        <f>CONCATENATE(611162,",",ROW(CCTTCR_06609!C24),"|",COLUMN(CCTTCR_06609!C24),",0",",0")</f>
        <v>611162,24|3,0,0</v>
      </c>
      <c r="D24" t="str">
        <f>CONCATENATE(611198,",",ROW(CCTTCR_06609!D24),"|",COLUMN(CCTTCR_06609!D24),",0",",0")</f>
        <v>611198,24|4,0,0</v>
      </c>
      <c r="E24" t="str">
        <f>CONCATENATE(611242,",",ROW(CCTTCR_06609!E24),"|",COLUMN(CCTTCR_06609!E24),",0",",0")</f>
        <v>611242,24|5,0,0</v>
      </c>
    </row>
    <row r="25" spans="1:5" x14ac:dyDescent="0.25">
      <c r="A25" t="str">
        <f>CONCATENATE(611299,",",ROW(CCTTCR_06609!A25),"|",COLUMN(CCTTCR_06609!A25),",0",",0")</f>
        <v>611299,25|1,0,0</v>
      </c>
      <c r="B25" t="str">
        <f>CONCATENATE(611172,",",ROW(CCTTCR_06609!B25),"|",COLUMN(CCTTCR_06609!B25),",0",",0")</f>
        <v>611172,25|2,0,0</v>
      </c>
      <c r="C25" t="str">
        <f>CONCATENATE(611116,",",ROW(CCTTCR_06609!C25),"|",COLUMN(CCTTCR_06609!C25),",0",",0")</f>
        <v>611116,25|3,0,0</v>
      </c>
      <c r="D25" t="str">
        <f>CONCATENATE(611199,",",ROW(CCTTCR_06609!D25),"|",COLUMN(CCTTCR_06609!D25),",0",",0")</f>
        <v>611199,25|4,0,0</v>
      </c>
      <c r="E25" t="str">
        <f>CONCATENATE(611243,",",ROW(CCTTCR_06609!E25),"|",COLUMN(CCTTCR_06609!E25),",0",",0")</f>
        <v>611243,25|5,0,0</v>
      </c>
    </row>
    <row r="26" spans="1:5" x14ac:dyDescent="0.25">
      <c r="A26" t="str">
        <f>CONCATENATE(611234,",",ROW(CCTTCR_06609!A26),"|",COLUMN(CCTTCR_06609!A26),",0",",0")</f>
        <v>611234,26|1,0,0</v>
      </c>
      <c r="B26" t="str">
        <f>CONCATENATE(611164,",",ROW(CCTTCR_06609!B26),"|",COLUMN(CCTTCR_06609!B26),",0",",0")</f>
        <v>611164,26|2,0,0</v>
      </c>
      <c r="C26" t="str">
        <f>CONCATENATE(611142,",",ROW(CCTTCR_06609!C26),"|",COLUMN(CCTTCR_06609!C26),",0",",0")</f>
        <v>611142,26|3,0,0</v>
      </c>
      <c r="D26" t="str">
        <f>CONCATENATE(611124,",",ROW(CCTTCR_06609!D26),"|",COLUMN(CCTTCR_06609!D26),",0",",0")</f>
        <v>611124,26|4,0,0</v>
      </c>
      <c r="E26" t="str">
        <f>CONCATENATE(611285,",",ROW(CCTTCR_06609!E26),"|",COLUMN(CCTTCR_06609!E26),",0",",0")</f>
        <v>611285,26|5,0,0</v>
      </c>
    </row>
    <row r="27" spans="1:5" x14ac:dyDescent="0.25">
      <c r="A27" t="str">
        <f>CONCATENATE(611235,",",ROW(CCTTCR_06609!A27),"|",COLUMN(CCTTCR_06609!A27),",0",",0")</f>
        <v>611235,27|1,0,0</v>
      </c>
      <c r="B27" t="str">
        <f>CONCATENATE(611165,",",ROW(CCTTCR_06609!B27),"|",COLUMN(CCTTCR_06609!B27),",0",",0")</f>
        <v>611165,27|2,0,0</v>
      </c>
      <c r="C27" t="str">
        <f>CONCATENATE(611143,",",ROW(CCTTCR_06609!C27),"|",COLUMN(CCTTCR_06609!C27),",0",",0")</f>
        <v>611143,27|3,0,0</v>
      </c>
      <c r="D27" t="str">
        <f>CONCATENATE(611125,",",ROW(CCTTCR_06609!D27),"|",COLUMN(CCTTCR_06609!D27),",0",",0")</f>
        <v>611125,27|4,0,0</v>
      </c>
      <c r="E27" t="str">
        <f>CONCATENATE(611286,",",ROW(CCTTCR_06609!E27),"|",COLUMN(CCTTCR_06609!E27),",0",",0")</f>
        <v>611286,27|5,0,0</v>
      </c>
    </row>
    <row r="28" spans="1:5" x14ac:dyDescent="0.25">
      <c r="A28" t="str">
        <f>CONCATENATE(611265,",",ROW(CCTTCR_06609!A28),"|",COLUMN(CCTTCR_06609!A28),",0",",0")</f>
        <v>611265,28|1,0,0</v>
      </c>
      <c r="B28" t="str">
        <f>CONCATENATE(611173,",",ROW(CCTTCR_06609!B28),"|",COLUMN(CCTTCR_06609!B28),",0",",0")</f>
        <v>611173,28|2,0,0</v>
      </c>
      <c r="C28" t="str">
        <f>CONCATENATE(611332,",",ROW(CCTTCR_06609!C28),"|",COLUMN(CCTTCR_06609!C28),",0",",0")</f>
        <v>611332,28|3,0,0</v>
      </c>
      <c r="D28" t="str">
        <f>CONCATENATE(611200,",",ROW(CCTTCR_06609!D28),"|",COLUMN(CCTTCR_06609!D28),",0",",0")</f>
        <v>611200,28|4,0,0</v>
      </c>
      <c r="E28" t="str">
        <f>CONCATENATE(611266,",",ROW(CCTTCR_06609!E28),"|",COLUMN(CCTTCR_06609!E28),",0",",0")</f>
        <v>611266,28|5,0,0</v>
      </c>
    </row>
    <row r="29" spans="1:5" x14ac:dyDescent="0.25">
      <c r="A29" t="str">
        <f>CONCATENATE(611292,",",ROW(CCTTCR_06609!A29),"|",COLUMN(CCTTCR_06609!A29),",0",",0")</f>
        <v>611292,29|1,0,0</v>
      </c>
      <c r="B29" t="str">
        <f>CONCATENATE(611325,",",ROW(CCTTCR_06609!B29),"|",COLUMN(CCTTCR_06609!B29),",0",",0")</f>
        <v>611325,29|2,0,0</v>
      </c>
      <c r="C29" t="str">
        <f>CONCATENATE(611144,",",ROW(CCTTCR_06609!C29),"|",COLUMN(CCTTCR_06609!C29),",0",",0")</f>
        <v>611144,29|3,0,0</v>
      </c>
      <c r="D29" t="str">
        <f>CONCATENATE(611131,",",ROW(CCTTCR_06609!D29),"|",COLUMN(CCTTCR_06609!D29),",0",",0")</f>
        <v>611131,29|4,0,0</v>
      </c>
      <c r="E29" t="str">
        <f>CONCATENATE(611287,",",ROW(CCTTCR_06609!E29),"|",COLUMN(CCTTCR_06609!E29),",0",",0")</f>
        <v>611287,29|5,0,0</v>
      </c>
    </row>
    <row r="30" spans="1:5" x14ac:dyDescent="0.25">
      <c r="A30" t="str">
        <f>CONCATENATE(611293,",",ROW(CCTTCR_06609!A30),"|",COLUMN(CCTTCR_06609!A30),",0",",0")</f>
        <v>611293,30|1,0,0</v>
      </c>
      <c r="B30" t="str">
        <f>CONCATENATE(611326,",",ROW(CCTTCR_06609!B30),"|",COLUMN(CCTTCR_06609!B30),",0",",0")</f>
        <v>611326,30|2,0,0</v>
      </c>
      <c r="C30" t="str">
        <f>CONCATENATE(611145,",",ROW(CCTTCR_06609!C30),"|",COLUMN(CCTTCR_06609!C30),",0",",0")</f>
        <v>611145,30|3,0,0</v>
      </c>
      <c r="D30" t="str">
        <f>CONCATENATE(611128,",",ROW(CCTTCR_06609!D30),"|",COLUMN(CCTTCR_06609!D30),",0",",0")</f>
        <v>611128,30|4,0,0</v>
      </c>
      <c r="E30" t="str">
        <f>CONCATENATE(611288,",",ROW(CCTTCR_06609!E30),"|",COLUMN(CCTTCR_06609!E30),",0",",0")</f>
        <v>611288,30|5,0,0</v>
      </c>
    </row>
    <row r="31" spans="1:5" x14ac:dyDescent="0.25">
      <c r="A31" t="str">
        <f>CONCATENATE(611294,",",ROW(CCTTCR_06609!A31),"|",COLUMN(CCTTCR_06609!A31),",0",",0")</f>
        <v>611294,31|1,0,0</v>
      </c>
      <c r="B31" t="str">
        <f>CONCATENATE(611174,",",ROW(CCTTCR_06609!B31),"|",COLUMN(CCTTCR_06609!B31),",0",",0")</f>
        <v>611174,31|2,0,0</v>
      </c>
      <c r="C31" t="str">
        <f>CONCATENATE(611333,",",ROW(CCTTCR_06609!C31),"|",COLUMN(CCTTCR_06609!C31),",0",",0")</f>
        <v>611333,31|3,0,0</v>
      </c>
      <c r="D31" t="str">
        <f>CONCATENATE(611201,",",ROW(CCTTCR_06609!D31),"|",COLUMN(CCTTCR_06609!D31),",0",",0")</f>
        <v>611201,31|4,0,0</v>
      </c>
      <c r="E31" t="str">
        <f>CONCATENATE(611267,",",ROW(CCTTCR_06609!E31),"|",COLUMN(CCTTCR_06609!E31),",0",",0")</f>
        <v>611267,31|5,0,0</v>
      </c>
    </row>
    <row r="32" spans="1:5" x14ac:dyDescent="0.25">
      <c r="A32" t="str">
        <f>CONCATENATE(611295,",",ROW(CCTTCR_06609!A32),"|",COLUMN(CCTTCR_06609!A32),",0",",0")</f>
        <v>611295,32|1,0,0</v>
      </c>
      <c r="B32" t="str">
        <f>CONCATENATE(611166,",",ROW(CCTTCR_06609!B32),"|",COLUMN(CCTTCR_06609!B32),",0",",0")</f>
        <v>611166,32|2,0,0</v>
      </c>
      <c r="C32" t="str">
        <f>CONCATENATE(611130,",",ROW(CCTTCR_06609!C32),"|",COLUMN(CCTTCR_06609!C32),",0",",0")</f>
        <v>611130,32|3,0,0</v>
      </c>
      <c r="D32" t="str">
        <f>CONCATENATE(611129,",",ROW(CCTTCR_06609!D32),"|",COLUMN(CCTTCR_06609!D32),",0",",0")</f>
        <v>611129,32|4,0,0</v>
      </c>
      <c r="E32" t="str">
        <f>CONCATENATE(611305,",",ROW(CCTTCR_06609!E32),"|",COLUMN(CCTTCR_06609!E32),",0",",0")</f>
        <v>611305,32|5,0,0</v>
      </c>
    </row>
    <row r="33" spans="1:5" x14ac:dyDescent="0.25">
      <c r="A33" t="str">
        <f>CONCATENATE(611296,",",ROW(CCTTCR_06609!A33),"|",COLUMN(CCTTCR_06609!A33),",0",",0")</f>
        <v>611296,33|1,0,0</v>
      </c>
      <c r="B33" t="str">
        <f>CONCATENATE(611175,",",ROW(CCTTCR_06609!B33),"|",COLUMN(CCTTCR_06609!B33),",0",",0")</f>
        <v>611175,33|2,0,0</v>
      </c>
      <c r="C33" t="str">
        <f>CONCATENATE(611207,",",ROW(CCTTCR_06609!C33),"|",COLUMN(CCTTCR_06609!C33),",0",",0")</f>
        <v>611207,33|3,0,0</v>
      </c>
      <c r="D33" t="str">
        <f>CONCATENATE(611202,",",ROW(CCTTCR_06609!D33),"|",COLUMN(CCTTCR_06609!D33),",0",",0")</f>
        <v>611202,33|4,0,0</v>
      </c>
      <c r="E33" t="str">
        <f>CONCATENATE(611268,",",ROW(CCTTCR_06609!E33),"|",COLUMN(CCTTCR_06609!E33),",0",",0")</f>
        <v>611268,33|5,0,0</v>
      </c>
    </row>
    <row r="34" spans="1:5" x14ac:dyDescent="0.25">
      <c r="A34" t="str">
        <f>CONCATENATE(611109,",",ROW(CCTTCR_06609!A34),"|",COLUMN(CCTTCR_06609!A34),",0",",0")</f>
        <v>611109,34|1,0,0</v>
      </c>
      <c r="B34" t="str">
        <f>CONCATENATE(611134,",",ROW(CCTTCR_06609!B34),"|",COLUMN(CCTTCR_06609!B34),",0",",0")</f>
        <v>611134,34|2,0,0</v>
      </c>
      <c r="C34" t="str">
        <f>CONCATENATE(611303,",",ROW(CCTTCR_06609!C34),"|",COLUMN(CCTTCR_06609!C34),",0",",0")</f>
        <v>611303,34|3,0,0</v>
      </c>
      <c r="D34" t="str">
        <f>CONCATENATE(611247,",",ROW(CCTTCR_06609!D34),"|",COLUMN(CCTTCR_06609!D34),",0",",0")</f>
        <v>611247,34|4,0,0</v>
      </c>
      <c r="E34" t="str">
        <f>CONCATENATE(611306,",",ROW(CCTTCR_06609!E34),"|",COLUMN(CCTTCR_06609!E34),",0",",0")</f>
        <v>611306,34|5,0,0</v>
      </c>
    </row>
    <row r="35" spans="1:5" x14ac:dyDescent="0.25">
      <c r="A35" t="str">
        <f>CONCATENATE(611300,",",ROW(CCTTCR_06609!A35),"|",COLUMN(CCTTCR_06609!A35),",0",",0")</f>
        <v>611300,35|1,0,0</v>
      </c>
      <c r="B35" t="str">
        <f>CONCATENATE(611176,",",ROW(CCTTCR_06609!B35),"|",COLUMN(CCTTCR_06609!B35),",0",",0")</f>
        <v>611176,35|2,0,0</v>
      </c>
      <c r="C35" t="str">
        <f>CONCATENATE(611208,",",ROW(CCTTCR_06609!C35),"|",COLUMN(CCTTCR_06609!C35),",0",",0")</f>
        <v>611208,35|3,0,0</v>
      </c>
      <c r="D35" t="str">
        <f>CONCATENATE(611276,",",ROW(CCTTCR_06609!D35),"|",COLUMN(CCTTCR_06609!D35),",0",",0")</f>
        <v>611276,35|4,0,0</v>
      </c>
      <c r="E35" t="str">
        <f>CONCATENATE(611269,",",ROW(CCTTCR_06609!E35),"|",COLUMN(CCTTCR_06609!E35),",0",",0")</f>
        <v>611269,35|5,0,0</v>
      </c>
    </row>
    <row r="36" spans="1:5" x14ac:dyDescent="0.25">
      <c r="A36" t="str">
        <f>CONCATENATE(611301,",",ROW(CCTTCR_06609!A36),"|",COLUMN(CCTTCR_06609!A36),",0",",0")</f>
        <v>611301,36|1,0,0</v>
      </c>
      <c r="B36" t="str">
        <f>CONCATENATE(611135,",",ROW(CCTTCR_06609!B36),"|",COLUMN(CCTTCR_06609!B36),",0",",0")</f>
        <v>611135,36|2,0,0</v>
      </c>
      <c r="C36" t="str">
        <f>CONCATENATE(611304,",",ROW(CCTTCR_06609!C36),"|",COLUMN(CCTTCR_06609!C36),",0",",0")</f>
        <v>611304,36|3,0,0</v>
      </c>
      <c r="D36" t="str">
        <f>CONCATENATE(611233,",",ROW(CCTTCR_06609!D36),"|",COLUMN(CCTTCR_06609!D36),",0",",0")</f>
        <v>611233,36|4,0,0</v>
      </c>
      <c r="E36" t="str">
        <f>CONCATENATE(611307,",",ROW(CCTTCR_06609!E36),"|",COLUMN(CCTTCR_06609!E36),",0",",0")</f>
        <v>611307,36|5,0,0</v>
      </c>
    </row>
    <row r="37" spans="1:5" x14ac:dyDescent="0.25">
      <c r="A37" t="str">
        <f>CONCATENATE(611302,",",ROW(CCTTCR_06609!A37),"|",COLUMN(CCTTCR_06609!A37),",0",",0")</f>
        <v>611302,37|1,0,0</v>
      </c>
      <c r="B37" t="str">
        <f>CONCATENATE(611136,",",ROW(CCTTCR_06609!B37),"|",COLUMN(CCTTCR_06609!B37),",0",",0")</f>
        <v>611136,37|2,0,0</v>
      </c>
      <c r="C37" t="str">
        <f>CONCATENATE(611114,",",ROW(CCTTCR_06609!C37),"|",COLUMN(CCTTCR_06609!C37),",0",",0")</f>
        <v>611114,37|3,0,0</v>
      </c>
      <c r="D37" t="str">
        <f>CONCATENATE(611248,",",ROW(CCTTCR_06609!D37),"|",COLUMN(CCTTCR_06609!D37),",0",",0")</f>
        <v>611248,37|4,0,0</v>
      </c>
      <c r="E37" t="str">
        <f>CONCATENATE(611308,",",ROW(CCTTCR_06609!E37),"|",COLUMN(CCTTCR_06609!E37),",0",",0")</f>
        <v>611308,37|5,0,0</v>
      </c>
    </row>
    <row r="38" spans="1:5" x14ac:dyDescent="0.25">
      <c r="A38" t="str">
        <f>CONCATENATE(611311,",",ROW(CCTTCR_06609!A38),"|",COLUMN(CCTTCR_06609!A38),",0",",0")</f>
        <v>611311,38|1,0,0</v>
      </c>
      <c r="B38" t="str">
        <f>CONCATENATE(611169,",",ROW(CCTTCR_06609!B38),"|",COLUMN(CCTTCR_06609!B38),",0",",0")</f>
        <v>611169,38|2,0,0</v>
      </c>
      <c r="C38" t="str">
        <f>CONCATENATE(611148,",",ROW(CCTTCR_06609!C38),"|",COLUMN(CCTTCR_06609!C38),",0",",0")</f>
        <v>611148,38|3,0,0</v>
      </c>
      <c r="D38" t="str">
        <f>CONCATENATE(611184,",",ROW(CCTTCR_06609!D38),"|",COLUMN(CCTTCR_06609!D38),",0",",0")</f>
        <v>611184,38|4,0,0</v>
      </c>
      <c r="E38" t="str">
        <f>CONCATENATE(611209,",",ROW(CCTTCR_06609!E38),"|",COLUMN(CCTTCR_06609!E38),",0",",0")</f>
        <v>611209,38|5,0,0</v>
      </c>
    </row>
    <row r="39" spans="1:5" x14ac:dyDescent="0.25">
      <c r="A39" t="str">
        <f>CONCATENATE(611251,",",ROW(CCTTCR_06609!A39),"|",COLUMN(CCTTCR_06609!A39),",0",",0")</f>
        <v>611251,39|1,0,0</v>
      </c>
      <c r="B39" t="str">
        <f>CONCATENATE(611226,",",ROW(CCTTCR_06609!B39),"|",COLUMN(CCTTCR_06609!B39),",0",",0")</f>
        <v>611226,39|2,0,0</v>
      </c>
      <c r="C39" t="str">
        <f>CONCATENATE(611108,",",ROW(CCTTCR_06609!C39),"|",COLUMN(CCTTCR_06609!C39),",0",",0")</f>
        <v>611108,39|3,0,0</v>
      </c>
      <c r="D39" t="str">
        <f>CONCATENATE(611249,",",ROW(CCTTCR_06609!D39),"|",COLUMN(CCTTCR_06609!D39),",0",",0")</f>
        <v>611249,39|4,0,0</v>
      </c>
      <c r="E39" t="str">
        <f>CONCATENATE(611309,",",ROW(CCTTCR_06609!E39),"|",COLUMN(CCTTCR_06609!E39),",0",",0")</f>
        <v>611309,39|5,0,0</v>
      </c>
    </row>
    <row r="40" spans="1:5" x14ac:dyDescent="0.25">
      <c r="A40" t="str">
        <f>CONCATENATE(611312,",",ROW(CCTTCR_06609!A40),"|",COLUMN(CCTTCR_06609!A40),",0",",0")</f>
        <v>611312,40|1,0,0</v>
      </c>
      <c r="B40" t="str">
        <f>CONCATENATE(611327,",",ROW(CCTTCR_06609!B40),"|",COLUMN(CCTTCR_06609!B40),",0",",0")</f>
        <v>611327,40|2,0,0</v>
      </c>
      <c r="C40" t="str">
        <f>CONCATENATE(611149,",",ROW(CCTTCR_06609!C40),"|",COLUMN(CCTTCR_06609!C40),",0",",0")</f>
        <v>611149,40|3,0,0</v>
      </c>
      <c r="D40" t="str">
        <f>CONCATENATE(611185,",",ROW(CCTTCR_06609!D40),"|",COLUMN(CCTTCR_06609!D40),",0",",0")</f>
        <v>611185,40|4,0,0</v>
      </c>
      <c r="E40" t="str">
        <f>CONCATENATE(611210,",",ROW(CCTTCR_06609!E40),"|",COLUMN(CCTTCR_06609!E40),",0",",0")</f>
        <v>611210,40|5,0,0</v>
      </c>
    </row>
    <row r="41" spans="1:5" x14ac:dyDescent="0.25">
      <c r="A41" t="str">
        <f>CONCATENATE(611313,",",ROW(CCTTCR_06609!A41),"|",COLUMN(CCTTCR_06609!A41),",0",",0")</f>
        <v>611313,41|1,0,0</v>
      </c>
      <c r="B41" t="str">
        <f>CONCATENATE(611329,",",ROW(CCTTCR_06609!B41),"|",COLUMN(CCTTCR_06609!B41),",0",",0")</f>
        <v>611329,41|2,0,0</v>
      </c>
      <c r="C41" t="str">
        <f>CONCATENATE(611150,",",ROW(CCTTCR_06609!C41),"|",COLUMN(CCTTCR_06609!C41),",0",",0")</f>
        <v>611150,41|3,0,0</v>
      </c>
      <c r="D41" t="str">
        <f>CONCATENATE(611186,",",ROW(CCTTCR_06609!D41),"|",COLUMN(CCTTCR_06609!D41),",0",",0")</f>
        <v>611186,41|4,0,0</v>
      </c>
      <c r="E41" t="str">
        <f>CONCATENATE(611211,",",ROW(CCTTCR_06609!E41),"|",COLUMN(CCTTCR_06609!E41),",0",",0")</f>
        <v>611211,41|5,0,0</v>
      </c>
    </row>
    <row r="42" spans="1:5" x14ac:dyDescent="0.25">
      <c r="A42" t="str">
        <f>CONCATENATE(611126,",",ROW(CCTTCR_06609!A42),"|",COLUMN(CCTTCR_06609!A42),",0",",0")</f>
        <v>611126,42|1,0,0</v>
      </c>
      <c r="B42" t="str">
        <f>CONCATENATE(611177,",",ROW(CCTTCR_06609!B42),"|",COLUMN(CCTTCR_06609!B42),",0",",0")</f>
        <v>611177,42|2,0,0</v>
      </c>
      <c r="C42" t="str">
        <f>CONCATENATE(611334,",",ROW(CCTTCR_06609!C42),"|",COLUMN(CCTTCR_06609!C42),",0",",0")</f>
        <v>611334,42|3,0,0</v>
      </c>
      <c r="D42" t="str">
        <f>CONCATENATE(611203,",",ROW(CCTTCR_06609!D42),"|",COLUMN(CCTTCR_06609!D42),",0",",0")</f>
        <v>611203,42|4,0,0</v>
      </c>
      <c r="E42" t="str">
        <f>CONCATENATE(611270,",",ROW(CCTTCR_06609!E42),"|",COLUMN(CCTTCR_06609!E42),",0",",0")</f>
        <v>611270,42|5,0,0</v>
      </c>
    </row>
    <row r="43" spans="1:5" x14ac:dyDescent="0.25">
      <c r="A43" t="str">
        <f>CONCATENATE(611314,",",ROW(CCTTCR_06609!A43),"|",COLUMN(CCTTCR_06609!A43),",0",",0")</f>
        <v>611314,43|1,0,0</v>
      </c>
      <c r="B43" t="str">
        <f>CONCATENATE(611330,",",ROW(CCTTCR_06609!B43),"|",COLUMN(CCTTCR_06609!B43),",0",",0")</f>
        <v>611330,43|2,0,0</v>
      </c>
      <c r="C43" t="str">
        <f>CONCATENATE(611151,",",ROW(CCTTCR_06609!C43),"|",COLUMN(CCTTCR_06609!C43),",0",",0")</f>
        <v>611151,43|3,0,0</v>
      </c>
      <c r="D43" t="str">
        <f>CONCATENATE(611187,",",ROW(CCTTCR_06609!D43),"|",COLUMN(CCTTCR_06609!D43),",0",",0")</f>
        <v>611187,43|4,0,0</v>
      </c>
      <c r="E43" t="str">
        <f>CONCATENATE(611212,",",ROW(CCTTCR_06609!E43),"|",COLUMN(CCTTCR_06609!E43),",0",",0")</f>
        <v>611212,43|5,0,0</v>
      </c>
    </row>
    <row r="44" spans="1:5" x14ac:dyDescent="0.25">
      <c r="A44" t="str">
        <f>CONCATENATE(611315,",",ROW(CCTTCR_06609!A44),"|",COLUMN(CCTTCR_06609!A44),",0",",0")</f>
        <v>611315,44|1,0,0</v>
      </c>
      <c r="B44" t="str">
        <f>CONCATENATE(611259,",",ROW(CCTTCR_06609!B44),"|",COLUMN(CCTTCR_06609!B44),",0",",0")</f>
        <v>611259,44|2,0,0</v>
      </c>
      <c r="C44" t="str">
        <f>CONCATENATE(611152,",",ROW(CCTTCR_06609!C44),"|",COLUMN(CCTTCR_06609!C44),",0",",0")</f>
        <v>611152,44|3,0,0</v>
      </c>
      <c r="D44" t="str">
        <f>CONCATENATE(611188,",",ROW(CCTTCR_06609!D44),"|",COLUMN(CCTTCR_06609!D44),",0",",0")</f>
        <v>611188,44|4,0,0</v>
      </c>
      <c r="E44" t="str">
        <f>CONCATENATE(611213,",",ROW(CCTTCR_06609!E44),"|",COLUMN(CCTTCR_06609!E44),",0",",0")</f>
        <v>611213,44|5,0,0</v>
      </c>
    </row>
    <row r="45" spans="1:5" x14ac:dyDescent="0.25">
      <c r="A45" t="str">
        <f>CONCATENATE(611147,",",ROW(CCTTCR_06609!A45),"|",COLUMN(CCTTCR_06609!A45),",0",",0")</f>
        <v>611147,45|1,0,0</v>
      </c>
      <c r="B45" t="str">
        <f>CONCATENATE(611261,",",ROW(CCTTCR_06609!B45),"|",COLUMN(CCTTCR_06609!B45),",0",",0")</f>
        <v>611261,45|2,0,0</v>
      </c>
      <c r="C45" t="str">
        <f>CONCATENATE(611115,",",ROW(CCTTCR_06609!C45),"|",COLUMN(CCTTCR_06609!C45),",0",",0")</f>
        <v>611115,45|3,0,0</v>
      </c>
      <c r="D45" t="str">
        <f>CONCATENATE(611250,",",ROW(CCTTCR_06609!D45),"|",COLUMN(CCTTCR_06609!D45),",0",",0")</f>
        <v>611250,45|4,0,0</v>
      </c>
      <c r="E45" t="str">
        <f>CONCATENATE(611310,",",ROW(CCTTCR_06609!E45),"|",COLUMN(CCTTCR_06609!E45),",0",",0")</f>
        <v>611310,45|5,0,0</v>
      </c>
    </row>
    <row r="46" spans="1:5" x14ac:dyDescent="0.25">
      <c r="A46" t="str">
        <f>CONCATENATE(611316,",",ROW(CCTTCR_06609!A46),"|",COLUMN(CCTTCR_06609!A46),",0",",0")</f>
        <v>611316,46|1,0,0</v>
      </c>
      <c r="B46" t="str">
        <f>CONCATENATE(611258,",",ROW(CCTTCR_06609!B46),"|",COLUMN(CCTTCR_06609!B46),",0",",0")</f>
        <v>611258,46|2,0,0</v>
      </c>
      <c r="C46" t="str">
        <f>CONCATENATE(611153,",",ROW(CCTTCR_06609!C46),"|",COLUMN(CCTTCR_06609!C46),",0",",0")</f>
        <v>611153,46|3,0,0</v>
      </c>
      <c r="D46" t="str">
        <f>CONCATENATE(611189,",",ROW(CCTTCR_06609!D46),"|",COLUMN(CCTTCR_06609!D46),",0",",0")</f>
        <v>611189,46|4,0,0</v>
      </c>
      <c r="E46" t="str">
        <f>CONCATENATE(611214,",",ROW(CCTTCR_06609!E46),"|",COLUMN(CCTTCR_06609!E46),",0",",0")</f>
        <v>611214,46|5,0,0</v>
      </c>
    </row>
    <row r="47" spans="1:5" x14ac:dyDescent="0.25">
      <c r="A47" t="str">
        <f>CONCATENATE(611328,",",ROW(CCTTCR_06609!A47),"|",COLUMN(CCTTCR_06609!A47),",0",",0")</f>
        <v>611328,47|1,0,0</v>
      </c>
      <c r="B47" t="str">
        <f>CONCATENATE(611178,",",ROW(CCTTCR_06609!B47),"|",COLUMN(CCTTCR_06609!B47),",0",",0")</f>
        <v>611178,47|2,0,0</v>
      </c>
      <c r="C47" t="str">
        <f>CONCATENATE(611335,",",ROW(CCTTCR_06609!C47),"|",COLUMN(CCTTCR_06609!C47),",0",",0")</f>
        <v>611335,47|3,0,0</v>
      </c>
      <c r="D47" t="str">
        <f>CONCATENATE(611204,",",ROW(CCTTCR_06609!D47),"|",COLUMN(CCTTCR_06609!D47),",0",",0")</f>
        <v>611204,47|4,0,0</v>
      </c>
      <c r="E47" t="str">
        <f>CONCATENATE(611271,",",ROW(CCTTCR_06609!E47),"|",COLUMN(CCTTCR_06609!E47),",0",",0")</f>
        <v>611271,47|5,0,0</v>
      </c>
    </row>
    <row r="48" spans="1:5" x14ac:dyDescent="0.25">
      <c r="A48" t="str">
        <f>CONCATENATE(611317,",",ROW(CCTTCR_06609!A48),"|",COLUMN(CCTTCR_06609!A48),",0",",0")</f>
        <v>611317,48|1,0,0</v>
      </c>
      <c r="B48" t="str">
        <f>CONCATENATE(611223,",",ROW(CCTTCR_06609!B48),"|",COLUMN(CCTTCR_06609!B48),",0",",0")</f>
        <v>611223,48|2,0,0</v>
      </c>
      <c r="C48" t="str">
        <f>CONCATENATE(611154,",",ROW(CCTTCR_06609!C48),"|",COLUMN(CCTTCR_06609!C48),",0",",0")</f>
        <v>611154,48|3,0,0</v>
      </c>
      <c r="D48" t="str">
        <f>CONCATENATE(611190,",",ROW(CCTTCR_06609!D48),"|",COLUMN(CCTTCR_06609!D48),",0",",0")</f>
        <v>611190,48|4,0,0</v>
      </c>
      <c r="E48" t="str">
        <f>CONCATENATE(611215,",",ROW(CCTTCR_06609!E48),"|",COLUMN(CCTTCR_06609!E48),",0",",0")</f>
        <v>611215,48|5,0,0</v>
      </c>
    </row>
  </sheetData>
  <sheetProtection password="CB7D"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workbookViewId="0">
      <selection activeCell="D7" sqref="D7:E74"/>
    </sheetView>
  </sheetViews>
  <sheetFormatPr defaultRowHeight="15" x14ac:dyDescent="0.25"/>
  <cols>
    <col min="1" max="1" width="31.28515625" bestFit="1" customWidth="1"/>
    <col min="2" max="2" width="12.7109375" bestFit="1" customWidth="1"/>
    <col min="3" max="3" width="16.7109375" bestFit="1" customWidth="1"/>
    <col min="4" max="4" width="12.7109375" bestFit="1" customWidth="1"/>
    <col min="5" max="5" width="14.42578125" bestFit="1" customWidth="1"/>
  </cols>
  <sheetData>
    <row r="1" spans="1:5" ht="20.25" x14ac:dyDescent="0.3">
      <c r="A1" s="2530" t="s">
        <v>14</v>
      </c>
      <c r="B1" s="2530" t="s">
        <v>5</v>
      </c>
      <c r="C1" s="2530" t="s">
        <v>5</v>
      </c>
      <c r="D1" s="2530" t="s">
        <v>5</v>
      </c>
      <c r="E1" s="2530" t="s">
        <v>5</v>
      </c>
    </row>
    <row r="2" spans="1:5" ht="18.75" x14ac:dyDescent="0.3">
      <c r="A2" s="2531" t="s">
        <v>400</v>
      </c>
      <c r="B2" s="2531" t="s">
        <v>5</v>
      </c>
      <c r="C2" s="2531" t="s">
        <v>5</v>
      </c>
      <c r="D2" s="2531" t="s">
        <v>5</v>
      </c>
      <c r="E2" s="2531" t="s">
        <v>5</v>
      </c>
    </row>
    <row r="3" spans="1:5" ht="18.75" x14ac:dyDescent="0.3">
      <c r="A3" s="2531" t="s">
        <v>401</v>
      </c>
      <c r="B3" s="2531" t="s">
        <v>5</v>
      </c>
      <c r="C3" s="2531" t="s">
        <v>5</v>
      </c>
      <c r="D3" s="2531" t="s">
        <v>5</v>
      </c>
      <c r="E3" s="2531" t="s">
        <v>5</v>
      </c>
    </row>
    <row r="4" spans="1:5" ht="18.75" x14ac:dyDescent="0.25">
      <c r="A4" s="944" t="s">
        <v>397</v>
      </c>
      <c r="B4" s="944" t="s">
        <v>41</v>
      </c>
      <c r="C4" s="944" t="s">
        <v>42</v>
      </c>
      <c r="D4" s="944" t="s">
        <v>398</v>
      </c>
      <c r="E4" s="944" t="s">
        <v>399</v>
      </c>
    </row>
    <row r="5" spans="1:5" ht="16.5" x14ac:dyDescent="0.25">
      <c r="A5" s="945" t="s">
        <v>288</v>
      </c>
      <c r="B5" s="1009" t="s">
        <v>74</v>
      </c>
      <c r="C5" s="973" t="s">
        <v>283</v>
      </c>
      <c r="D5" s="1010" t="s">
        <v>147</v>
      </c>
      <c r="E5" s="974" t="s">
        <v>284</v>
      </c>
    </row>
    <row r="6" spans="1:5" ht="33" x14ac:dyDescent="0.25">
      <c r="A6" s="1135" t="s">
        <v>465</v>
      </c>
      <c r="B6" s="979"/>
      <c r="C6" s="1151"/>
      <c r="D6" s="1129" t="s">
        <v>5</v>
      </c>
      <c r="E6" s="1166" t="s">
        <v>5</v>
      </c>
    </row>
    <row r="7" spans="1:5" ht="66" x14ac:dyDescent="0.25">
      <c r="A7" s="975" t="s">
        <v>415</v>
      </c>
      <c r="B7" s="1088" t="s">
        <v>147</v>
      </c>
      <c r="C7" s="1269"/>
      <c r="D7" s="1038">
        <v>348805715</v>
      </c>
      <c r="E7" s="1076">
        <v>952793273</v>
      </c>
    </row>
    <row r="8" spans="1:5" ht="49.5" x14ac:dyDescent="0.25">
      <c r="A8" s="1252" t="s">
        <v>508</v>
      </c>
      <c r="B8" s="1089" t="s">
        <v>448</v>
      </c>
      <c r="C8" s="1244"/>
      <c r="D8" s="1039">
        <v>288039525</v>
      </c>
      <c r="E8" s="1077">
        <v>803167140</v>
      </c>
    </row>
    <row r="9" spans="1:5" ht="33" x14ac:dyDescent="0.25">
      <c r="A9" s="1136" t="s">
        <v>466</v>
      </c>
      <c r="B9" s="1198" t="s">
        <v>479</v>
      </c>
      <c r="C9" s="1245"/>
      <c r="D9" s="1040">
        <v>58857521</v>
      </c>
      <c r="E9" s="1078">
        <v>148139158</v>
      </c>
    </row>
    <row r="10" spans="1:5" ht="49.5" x14ac:dyDescent="0.25">
      <c r="A10" s="946" t="s">
        <v>402</v>
      </c>
      <c r="B10" s="1061" t="s">
        <v>440</v>
      </c>
      <c r="C10" s="949"/>
      <c r="D10" s="1041">
        <v>1908669</v>
      </c>
      <c r="E10" s="1079">
        <v>1486975</v>
      </c>
    </row>
    <row r="11" spans="1:5" ht="66" x14ac:dyDescent="0.25">
      <c r="A11" s="1253" t="s">
        <v>509</v>
      </c>
      <c r="B11" s="1236" t="s">
        <v>344</v>
      </c>
      <c r="C11" s="950"/>
      <c r="D11" s="1042">
        <v>22100630133</v>
      </c>
      <c r="E11" s="1080">
        <v>12040279455</v>
      </c>
    </row>
    <row r="12" spans="1:5" ht="66" x14ac:dyDescent="0.25">
      <c r="A12" s="1106" t="s">
        <v>459</v>
      </c>
      <c r="B12" s="1090" t="s">
        <v>449</v>
      </c>
      <c r="C12" s="951"/>
      <c r="D12" s="1043">
        <v>357009558970</v>
      </c>
      <c r="E12" s="1081">
        <v>285451870134</v>
      </c>
    </row>
    <row r="13" spans="1:5" ht="49.5" x14ac:dyDescent="0.25">
      <c r="A13" s="976" t="s">
        <v>416</v>
      </c>
      <c r="B13" s="1091" t="s">
        <v>386</v>
      </c>
      <c r="C13" s="952"/>
      <c r="D13" s="1044" t="s">
        <v>5</v>
      </c>
      <c r="E13" s="1171" t="s">
        <v>5</v>
      </c>
    </row>
    <row r="14" spans="1:5" ht="49.5" x14ac:dyDescent="0.25">
      <c r="A14" s="977" t="s">
        <v>417</v>
      </c>
      <c r="B14" s="1062" t="s">
        <v>352</v>
      </c>
      <c r="C14" s="953"/>
      <c r="D14" s="1045" t="s">
        <v>5</v>
      </c>
      <c r="E14" s="1172" t="s">
        <v>5</v>
      </c>
    </row>
    <row r="15" spans="1:5" ht="49.5" x14ac:dyDescent="0.25">
      <c r="A15" s="1137" t="s">
        <v>467</v>
      </c>
      <c r="B15" s="980" t="s">
        <v>419</v>
      </c>
      <c r="C15" s="954"/>
      <c r="D15" s="1046">
        <v>218623638971</v>
      </c>
      <c r="E15" s="1173">
        <v>276827356947</v>
      </c>
    </row>
    <row r="16" spans="1:5" ht="66" x14ac:dyDescent="0.25">
      <c r="A16" s="1224" t="s">
        <v>491</v>
      </c>
      <c r="B16" s="1199" t="s">
        <v>480</v>
      </c>
      <c r="C16" s="955"/>
      <c r="D16" s="1047">
        <v>0</v>
      </c>
      <c r="E16" s="1174">
        <v>19767500000</v>
      </c>
    </row>
    <row r="17" spans="1:5" ht="49.5" x14ac:dyDescent="0.25">
      <c r="A17" s="1138" t="s">
        <v>468</v>
      </c>
      <c r="B17" s="982" t="s">
        <v>420</v>
      </c>
      <c r="C17" s="956"/>
      <c r="D17" s="1048">
        <v>307235329</v>
      </c>
      <c r="E17" s="1175">
        <v>564553676</v>
      </c>
    </row>
    <row r="18" spans="1:5" ht="49.5" x14ac:dyDescent="0.25">
      <c r="A18" s="1011" t="s">
        <v>433</v>
      </c>
      <c r="B18" s="983" t="s">
        <v>421</v>
      </c>
      <c r="C18" s="958"/>
      <c r="D18" s="1049">
        <v>3472475490</v>
      </c>
      <c r="E18" s="1176">
        <v>3587002351</v>
      </c>
    </row>
    <row r="19" spans="1:5" ht="49.5" x14ac:dyDescent="0.25">
      <c r="A19" s="1012" t="s">
        <v>434</v>
      </c>
      <c r="B19" s="1237" t="s">
        <v>499</v>
      </c>
      <c r="C19" s="957"/>
      <c r="D19" s="1050">
        <v>6083544545</v>
      </c>
      <c r="E19" s="1177">
        <v>7131238569</v>
      </c>
    </row>
    <row r="20" spans="1:5" ht="33" x14ac:dyDescent="0.25">
      <c r="A20" s="1254" t="s">
        <v>510</v>
      </c>
      <c r="B20" s="1092" t="s">
        <v>450</v>
      </c>
      <c r="C20" s="1275"/>
      <c r="D20" s="1051">
        <v>228128254</v>
      </c>
      <c r="E20" s="1178">
        <v>4581471376</v>
      </c>
    </row>
    <row r="21" spans="1:5" ht="49.5" x14ac:dyDescent="0.25">
      <c r="A21" s="1229" t="s">
        <v>492</v>
      </c>
      <c r="B21" s="1238" t="s">
        <v>500</v>
      </c>
      <c r="C21" s="1276"/>
      <c r="D21" s="1052">
        <v>608174017407</v>
      </c>
      <c r="E21" s="1179">
        <v>610904065781</v>
      </c>
    </row>
    <row r="22" spans="1:5" ht="16.5" x14ac:dyDescent="0.25">
      <c r="A22" s="1013" t="s">
        <v>435</v>
      </c>
      <c r="B22" s="943" t="s">
        <v>5</v>
      </c>
      <c r="C22" s="1277"/>
      <c r="D22" s="1053" t="s">
        <v>5</v>
      </c>
      <c r="E22" s="1180" t="s">
        <v>5</v>
      </c>
    </row>
    <row r="23" spans="1:5" ht="66" x14ac:dyDescent="0.25">
      <c r="A23" s="1086" t="s">
        <v>446</v>
      </c>
      <c r="B23" s="1093" t="s">
        <v>387</v>
      </c>
      <c r="C23" s="1278"/>
      <c r="D23" s="1054">
        <v>142647948</v>
      </c>
      <c r="E23" s="1181">
        <v>185932092</v>
      </c>
    </row>
    <row r="24" spans="1:5" ht="49.5" x14ac:dyDescent="0.25">
      <c r="A24" s="1230" t="s">
        <v>493</v>
      </c>
      <c r="B24" s="1094" t="s">
        <v>317</v>
      </c>
      <c r="C24" s="1279"/>
      <c r="D24" s="1055">
        <v>10424372</v>
      </c>
      <c r="E24" s="1182">
        <v>108011090</v>
      </c>
    </row>
    <row r="25" spans="1:5" ht="49.5" x14ac:dyDescent="0.25">
      <c r="A25" s="1107" t="s">
        <v>460</v>
      </c>
      <c r="B25" s="984" t="s">
        <v>422</v>
      </c>
      <c r="C25" s="1280"/>
      <c r="D25" s="981">
        <v>132223576</v>
      </c>
      <c r="E25" s="1183">
        <v>77921002</v>
      </c>
    </row>
    <row r="26" spans="1:5" ht="49.5" x14ac:dyDescent="0.25">
      <c r="A26" s="1082" t="s">
        <v>443</v>
      </c>
      <c r="B26" s="985" t="s">
        <v>324</v>
      </c>
      <c r="C26" s="1281"/>
      <c r="D26" s="1056" t="s">
        <v>5</v>
      </c>
      <c r="E26" s="1184" t="s">
        <v>5</v>
      </c>
    </row>
    <row r="27" spans="1:5" ht="49.5" x14ac:dyDescent="0.25">
      <c r="A27" s="1231" t="s">
        <v>494</v>
      </c>
      <c r="B27" s="986" t="s">
        <v>318</v>
      </c>
      <c r="C27" s="1282"/>
      <c r="D27" s="1057" t="s">
        <v>5</v>
      </c>
      <c r="E27" s="1185" t="s">
        <v>5</v>
      </c>
    </row>
    <row r="28" spans="1:5" ht="82.5" x14ac:dyDescent="0.25">
      <c r="A28" s="1083" t="s">
        <v>444</v>
      </c>
      <c r="B28" s="1239" t="s">
        <v>328</v>
      </c>
      <c r="C28" s="1283"/>
      <c r="D28" s="1109" t="s">
        <v>5</v>
      </c>
      <c r="E28" s="1014" t="s">
        <v>5</v>
      </c>
    </row>
    <row r="29" spans="1:5" ht="115.5" x14ac:dyDescent="0.25">
      <c r="A29" s="1108" t="s">
        <v>461</v>
      </c>
      <c r="B29" s="1241" t="s">
        <v>502</v>
      </c>
      <c r="C29" s="1284"/>
      <c r="D29" s="1289">
        <v>103726408944</v>
      </c>
      <c r="E29" s="1015">
        <v>45569652084</v>
      </c>
    </row>
    <row r="30" spans="1:5" ht="66" x14ac:dyDescent="0.25">
      <c r="A30" s="1103" t="s">
        <v>456</v>
      </c>
      <c r="B30" s="1242" t="s">
        <v>313</v>
      </c>
      <c r="C30" s="1285"/>
      <c r="D30" s="1110" t="s">
        <v>5</v>
      </c>
      <c r="E30" s="1187" t="s">
        <v>5</v>
      </c>
    </row>
    <row r="31" spans="1:5" ht="49.5" x14ac:dyDescent="0.25">
      <c r="A31" s="1104" t="s">
        <v>457</v>
      </c>
      <c r="B31" s="1200" t="s">
        <v>481</v>
      </c>
      <c r="C31" s="1286"/>
      <c r="D31" s="1111">
        <v>718262</v>
      </c>
      <c r="E31" s="1190">
        <v>5347826</v>
      </c>
    </row>
    <row r="32" spans="1:5" ht="49.5" x14ac:dyDescent="0.25">
      <c r="A32" s="1232" t="s">
        <v>495</v>
      </c>
      <c r="B32" s="1095" t="s">
        <v>314</v>
      </c>
      <c r="C32" s="1287"/>
      <c r="D32" s="1112">
        <v>210110041726</v>
      </c>
      <c r="E32" s="1191">
        <v>255966091145</v>
      </c>
    </row>
    <row r="33" spans="1:5" ht="66" x14ac:dyDescent="0.25">
      <c r="A33" s="1192" t="s">
        <v>473</v>
      </c>
      <c r="B33" s="987" t="s">
        <v>315</v>
      </c>
      <c r="C33" s="1288"/>
      <c r="D33" s="1113">
        <v>0</v>
      </c>
      <c r="E33" s="959">
        <v>9591000000</v>
      </c>
    </row>
    <row r="34" spans="1:5" ht="49.5" x14ac:dyDescent="0.25">
      <c r="A34" s="1214" t="s">
        <v>486</v>
      </c>
      <c r="B34" s="1117" t="s">
        <v>323</v>
      </c>
      <c r="C34" s="1290"/>
      <c r="D34" s="1114">
        <v>0</v>
      </c>
      <c r="E34" s="960">
        <v>0</v>
      </c>
    </row>
    <row r="35" spans="1:5" ht="49.5" x14ac:dyDescent="0.25">
      <c r="A35" s="947" t="s">
        <v>403</v>
      </c>
      <c r="B35" s="1063" t="s">
        <v>395</v>
      </c>
      <c r="C35" s="1130"/>
      <c r="D35" s="1115">
        <v>8237142780</v>
      </c>
      <c r="E35" s="996">
        <v>8744520837</v>
      </c>
    </row>
    <row r="36" spans="1:5" ht="49.5" x14ac:dyDescent="0.25">
      <c r="A36" s="948" t="s">
        <v>404</v>
      </c>
      <c r="B36" s="988" t="s">
        <v>331</v>
      </c>
      <c r="C36" s="1131"/>
      <c r="D36" s="1116">
        <v>4923767586</v>
      </c>
      <c r="E36" s="993">
        <v>4494551461</v>
      </c>
    </row>
    <row r="37" spans="1:5" ht="33" x14ac:dyDescent="0.25">
      <c r="A37" s="1084" t="s">
        <v>445</v>
      </c>
      <c r="B37" s="989" t="s">
        <v>359</v>
      </c>
      <c r="C37" s="1139"/>
      <c r="D37" s="1118"/>
      <c r="E37" s="994"/>
    </row>
    <row r="38" spans="1:5" ht="49.5" x14ac:dyDescent="0.25">
      <c r="A38" s="1270" t="s">
        <v>511</v>
      </c>
      <c r="B38" s="1065" t="s">
        <v>441</v>
      </c>
      <c r="C38" s="1140"/>
      <c r="D38" s="1119">
        <v>327140727246</v>
      </c>
      <c r="E38" s="995">
        <v>324557095445</v>
      </c>
    </row>
    <row r="39" spans="1:5" ht="49.5" x14ac:dyDescent="0.25">
      <c r="A39" s="1233" t="s">
        <v>496</v>
      </c>
      <c r="B39" s="943" t="s">
        <v>5</v>
      </c>
      <c r="C39" s="1141"/>
      <c r="D39" s="1120" t="s">
        <v>5</v>
      </c>
      <c r="E39" s="997" t="s">
        <v>5</v>
      </c>
    </row>
    <row r="40" spans="1:5" ht="49.5" x14ac:dyDescent="0.25">
      <c r="A40" s="1271" t="s">
        <v>512</v>
      </c>
      <c r="B40" s="963" t="s">
        <v>407</v>
      </c>
      <c r="C40" s="1142"/>
      <c r="D40" s="1121">
        <v>1507373</v>
      </c>
      <c r="E40" s="998">
        <v>1171493</v>
      </c>
    </row>
    <row r="41" spans="1:5" ht="49.5" x14ac:dyDescent="0.25">
      <c r="A41" s="1272" t="s">
        <v>513</v>
      </c>
      <c r="B41" s="1201" t="s">
        <v>482</v>
      </c>
      <c r="C41" s="1144"/>
      <c r="D41" s="1122">
        <v>1550248748</v>
      </c>
      <c r="E41" s="999">
        <v>1167141120</v>
      </c>
    </row>
    <row r="42" spans="1:5" ht="66" x14ac:dyDescent="0.25">
      <c r="A42" s="1234" t="s">
        <v>497</v>
      </c>
      <c r="B42" s="1243" t="s">
        <v>503</v>
      </c>
      <c r="C42" s="1145"/>
      <c r="D42" s="1123" t="s">
        <v>5</v>
      </c>
      <c r="E42" s="1000" t="s">
        <v>5</v>
      </c>
    </row>
    <row r="43" spans="1:5" ht="33" x14ac:dyDescent="0.25">
      <c r="A43" s="1246" t="s">
        <v>504</v>
      </c>
      <c r="B43" s="1096" t="s">
        <v>451</v>
      </c>
      <c r="C43" s="1146"/>
      <c r="D43" s="1124" t="s">
        <v>5</v>
      </c>
      <c r="E43" s="1001" t="s">
        <v>5</v>
      </c>
    </row>
    <row r="44" spans="1:5" ht="49.5" x14ac:dyDescent="0.25">
      <c r="A44" s="1273" t="s">
        <v>514</v>
      </c>
      <c r="B44" s="964" t="s">
        <v>408</v>
      </c>
      <c r="C44" s="1147"/>
      <c r="D44" s="1125">
        <v>1551756121</v>
      </c>
      <c r="E44" s="1162">
        <v>1168312613</v>
      </c>
    </row>
    <row r="45" spans="1:5" ht="16.5" x14ac:dyDescent="0.25">
      <c r="A45" s="1247" t="s">
        <v>505</v>
      </c>
      <c r="B45" s="943" t="s">
        <v>5</v>
      </c>
      <c r="C45" s="1148"/>
      <c r="D45" s="1126" t="s">
        <v>5</v>
      </c>
      <c r="E45" s="1163" t="s">
        <v>5</v>
      </c>
    </row>
    <row r="46" spans="1:5" ht="49.5" x14ac:dyDescent="0.25">
      <c r="A46" s="1002" t="s">
        <v>426</v>
      </c>
      <c r="B46" s="1097" t="s">
        <v>452</v>
      </c>
      <c r="C46" s="1149"/>
      <c r="D46" s="1127">
        <v>930800</v>
      </c>
      <c r="E46" s="1164">
        <v>47241828</v>
      </c>
    </row>
    <row r="47" spans="1:5" ht="33" x14ac:dyDescent="0.25">
      <c r="A47" s="1003" t="s">
        <v>427</v>
      </c>
      <c r="B47" s="965" t="s">
        <v>409</v>
      </c>
      <c r="C47" s="1150"/>
      <c r="D47" s="1128" t="s">
        <v>5</v>
      </c>
      <c r="E47" s="1165" t="s">
        <v>5</v>
      </c>
    </row>
    <row r="48" spans="1:5" ht="66" x14ac:dyDescent="0.25">
      <c r="A48" s="1193" t="s">
        <v>474</v>
      </c>
      <c r="B48" s="966" t="s">
        <v>410</v>
      </c>
      <c r="C48" s="1143"/>
      <c r="D48" s="1167" t="s">
        <v>5</v>
      </c>
      <c r="E48" s="1152" t="s">
        <v>5</v>
      </c>
    </row>
    <row r="49" spans="1:5" ht="66" x14ac:dyDescent="0.25">
      <c r="A49" s="1157" t="s">
        <v>469</v>
      </c>
      <c r="B49" s="1204" t="s">
        <v>485</v>
      </c>
      <c r="C49" s="1205"/>
      <c r="D49" s="1188" t="s">
        <v>5</v>
      </c>
      <c r="E49" s="1153" t="s">
        <v>5</v>
      </c>
    </row>
    <row r="50" spans="1:5" ht="33" x14ac:dyDescent="0.25">
      <c r="A50" s="1004" t="s">
        <v>428</v>
      </c>
      <c r="B50" s="1202" t="s">
        <v>483</v>
      </c>
      <c r="C50" s="1206"/>
      <c r="D50" s="1168" t="s">
        <v>5</v>
      </c>
      <c r="E50" s="1154" t="s">
        <v>5</v>
      </c>
    </row>
    <row r="51" spans="1:5" ht="49.5" x14ac:dyDescent="0.25">
      <c r="A51" s="1194" t="s">
        <v>475</v>
      </c>
      <c r="B51" s="1203" t="s">
        <v>484</v>
      </c>
      <c r="C51" s="1207"/>
      <c r="D51" s="1169">
        <v>930800</v>
      </c>
      <c r="E51" s="1155">
        <v>47241828</v>
      </c>
    </row>
    <row r="52" spans="1:5" ht="33" x14ac:dyDescent="0.25">
      <c r="A52" s="1005" t="s">
        <v>429</v>
      </c>
      <c r="B52" s="990" t="s">
        <v>423</v>
      </c>
      <c r="C52" s="1208"/>
      <c r="D52" s="1170" t="s">
        <v>5</v>
      </c>
      <c r="E52" s="1101" t="s">
        <v>5</v>
      </c>
    </row>
    <row r="53" spans="1:5" ht="66" x14ac:dyDescent="0.25">
      <c r="A53" s="1220" t="s">
        <v>487</v>
      </c>
      <c r="B53" s="1098" t="s">
        <v>453</v>
      </c>
      <c r="C53" s="1209"/>
      <c r="D53" s="1016">
        <v>122466100795</v>
      </c>
      <c r="E53" s="1225">
        <v>115478785198</v>
      </c>
    </row>
    <row r="54" spans="1:5" ht="66" x14ac:dyDescent="0.25">
      <c r="A54" s="1019" t="s">
        <v>436</v>
      </c>
      <c r="B54" s="1132" t="s">
        <v>462</v>
      </c>
      <c r="C54" s="1210"/>
      <c r="D54" s="1017">
        <v>160118014687</v>
      </c>
      <c r="E54" s="1226">
        <v>171989255923</v>
      </c>
    </row>
    <row r="55" spans="1:5" ht="33" x14ac:dyDescent="0.25">
      <c r="A55" s="1221" t="s">
        <v>488</v>
      </c>
      <c r="B55" s="943" t="s">
        <v>5</v>
      </c>
      <c r="C55" s="1211"/>
      <c r="D55" s="1018" t="s">
        <v>5</v>
      </c>
      <c r="E55" s="1227" t="s">
        <v>5</v>
      </c>
    </row>
    <row r="56" spans="1:5" ht="33" x14ac:dyDescent="0.25">
      <c r="A56" s="1274" t="s">
        <v>515</v>
      </c>
      <c r="B56" s="1133" t="s">
        <v>463</v>
      </c>
      <c r="C56" s="1212"/>
      <c r="D56" s="1064">
        <v>590320646</v>
      </c>
      <c r="E56" s="1228">
        <v>516667811</v>
      </c>
    </row>
    <row r="57" spans="1:5" ht="33" x14ac:dyDescent="0.25">
      <c r="A57" s="1222" t="s">
        <v>489</v>
      </c>
      <c r="B57" s="967" t="s">
        <v>411</v>
      </c>
      <c r="C57" s="1213"/>
      <c r="D57" s="1020">
        <v>634063125</v>
      </c>
      <c r="E57" s="1158">
        <v>20000000</v>
      </c>
    </row>
    <row r="58" spans="1:5" ht="49.5" x14ac:dyDescent="0.25">
      <c r="A58" s="1066" t="s">
        <v>442</v>
      </c>
      <c r="B58" s="968" t="s">
        <v>412</v>
      </c>
      <c r="C58" s="1156"/>
      <c r="D58" s="1021">
        <v>-43742479</v>
      </c>
      <c r="E58" s="1159">
        <v>496667811</v>
      </c>
    </row>
    <row r="59" spans="1:5" ht="66" x14ac:dyDescent="0.25">
      <c r="A59" s="1058" t="s">
        <v>437</v>
      </c>
      <c r="B59" s="969" t="s">
        <v>413</v>
      </c>
      <c r="C59" s="1248"/>
      <c r="D59" s="1022">
        <v>160074272208</v>
      </c>
      <c r="E59" s="1067">
        <v>172485923734</v>
      </c>
    </row>
    <row r="60" spans="1:5" ht="33" x14ac:dyDescent="0.25">
      <c r="A60" s="1059" t="s">
        <v>438</v>
      </c>
      <c r="B60" s="991" t="s">
        <v>424</v>
      </c>
      <c r="C60" s="1249"/>
      <c r="D60" s="1023">
        <v>160147638263</v>
      </c>
      <c r="E60" s="1068">
        <v>172415705578</v>
      </c>
    </row>
    <row r="61" spans="1:5" ht="33" x14ac:dyDescent="0.25">
      <c r="A61" s="1195" t="s">
        <v>476</v>
      </c>
      <c r="B61" s="1189" t="s">
        <v>472</v>
      </c>
      <c r="C61" s="1255"/>
      <c r="D61" s="1024">
        <v>-73366055</v>
      </c>
      <c r="E61" s="1069">
        <v>70218156</v>
      </c>
    </row>
    <row r="62" spans="1:5" ht="33" x14ac:dyDescent="0.25">
      <c r="A62" s="1060" t="s">
        <v>439</v>
      </c>
      <c r="B62" s="1099" t="s">
        <v>454</v>
      </c>
      <c r="C62" s="1256"/>
      <c r="D62" s="1025">
        <v>32594905948</v>
      </c>
      <c r="E62" s="1070">
        <v>34972985826</v>
      </c>
    </row>
    <row r="63" spans="1:5" ht="49.5" x14ac:dyDescent="0.25">
      <c r="A63" s="1006" t="s">
        <v>430</v>
      </c>
      <c r="B63" s="992" t="s">
        <v>425</v>
      </c>
      <c r="C63" s="1257"/>
      <c r="D63" s="1026">
        <v>32609579159</v>
      </c>
      <c r="E63" s="1215">
        <v>34958942195</v>
      </c>
    </row>
    <row r="64" spans="1:5" ht="49.5" x14ac:dyDescent="0.25">
      <c r="A64" s="1223" t="s">
        <v>490</v>
      </c>
      <c r="B64" s="1134" t="s">
        <v>464</v>
      </c>
      <c r="C64" s="1258"/>
      <c r="D64" s="1027">
        <v>-14673211</v>
      </c>
      <c r="E64" s="1216">
        <v>14043631</v>
      </c>
    </row>
    <row r="65" spans="1:5" ht="66" x14ac:dyDescent="0.25">
      <c r="A65" s="1250" t="s">
        <v>506</v>
      </c>
      <c r="B65" s="1100" t="s">
        <v>144</v>
      </c>
      <c r="C65" s="1259"/>
      <c r="D65" s="1028">
        <v>127479366260</v>
      </c>
      <c r="E65" s="1217">
        <v>137512937908</v>
      </c>
    </row>
    <row r="66" spans="1:5" ht="66" x14ac:dyDescent="0.25">
      <c r="A66" s="1007" t="s">
        <v>431</v>
      </c>
      <c r="B66" s="970" t="s">
        <v>196</v>
      </c>
      <c r="C66" s="1260"/>
      <c r="D66" s="1029" t="s">
        <v>5</v>
      </c>
      <c r="E66" s="1218" t="s">
        <v>5</v>
      </c>
    </row>
    <row r="67" spans="1:5" ht="66" x14ac:dyDescent="0.25">
      <c r="A67" s="1251" t="s">
        <v>507</v>
      </c>
      <c r="B67" s="961" t="s">
        <v>405</v>
      </c>
      <c r="C67" s="1261"/>
      <c r="D67" s="1030" t="s">
        <v>5</v>
      </c>
      <c r="E67" s="1219" t="s">
        <v>5</v>
      </c>
    </row>
    <row r="68" spans="1:5" ht="49.5" x14ac:dyDescent="0.25">
      <c r="A68" s="1105" t="s">
        <v>458</v>
      </c>
      <c r="B68" s="1160" t="s">
        <v>470</v>
      </c>
      <c r="C68" s="1262"/>
      <c r="D68" s="1031" t="s">
        <v>5</v>
      </c>
      <c r="E68" s="1186" t="s">
        <v>5</v>
      </c>
    </row>
    <row r="69" spans="1:5" ht="66" x14ac:dyDescent="0.25">
      <c r="A69" s="1196" t="s">
        <v>477</v>
      </c>
      <c r="B69" s="1102" t="s">
        <v>455</v>
      </c>
      <c r="C69" s="1263"/>
      <c r="D69" s="1032" t="s">
        <v>5</v>
      </c>
      <c r="E69" s="1071" t="s">
        <v>5</v>
      </c>
    </row>
    <row r="70" spans="1:5" ht="33" x14ac:dyDescent="0.25">
      <c r="A70" s="1008" t="s">
        <v>432</v>
      </c>
      <c r="B70" s="1240" t="s">
        <v>501</v>
      </c>
      <c r="C70" s="1264"/>
      <c r="D70" s="1033" t="s">
        <v>5</v>
      </c>
      <c r="E70" s="1072" t="s">
        <v>5</v>
      </c>
    </row>
    <row r="71" spans="1:5" ht="49.5" x14ac:dyDescent="0.25">
      <c r="A71" s="1087" t="s">
        <v>447</v>
      </c>
      <c r="B71" s="971" t="s">
        <v>227</v>
      </c>
      <c r="C71" s="1265"/>
      <c r="D71" s="1034" t="s">
        <v>5</v>
      </c>
      <c r="E71" s="1073" t="s">
        <v>5</v>
      </c>
    </row>
    <row r="72" spans="1:5" ht="82.5" x14ac:dyDescent="0.25">
      <c r="A72" s="1197" t="s">
        <v>478</v>
      </c>
      <c r="B72" s="962" t="s">
        <v>406</v>
      </c>
      <c r="C72" s="1266"/>
      <c r="D72" s="1035" t="s">
        <v>5</v>
      </c>
      <c r="E72" s="1074" t="s">
        <v>5</v>
      </c>
    </row>
    <row r="73" spans="1:5" ht="66" x14ac:dyDescent="0.25">
      <c r="A73" s="1235" t="s">
        <v>498</v>
      </c>
      <c r="B73" s="972" t="s">
        <v>414</v>
      </c>
      <c r="C73" s="1267"/>
      <c r="D73" s="1036" t="s">
        <v>5</v>
      </c>
      <c r="E73" s="1075" t="s">
        <v>5</v>
      </c>
    </row>
    <row r="74" spans="1:5" ht="49.5" x14ac:dyDescent="0.25">
      <c r="A74" s="978" t="s">
        <v>418</v>
      </c>
      <c r="B74" s="1161" t="s">
        <v>471</v>
      </c>
      <c r="C74" s="1268"/>
      <c r="D74" s="1037" t="s">
        <v>5</v>
      </c>
      <c r="E74" s="1085" t="s">
        <v>5</v>
      </c>
    </row>
  </sheetData>
  <mergeCells count="3">
    <mergeCell ref="A1:E1"/>
    <mergeCell ref="A2:E2"/>
    <mergeCell ref="A3:E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Trang bìa</vt:lpstr>
      <vt:lpstr>Setting</vt:lpstr>
      <vt:lpstr>KT_06618</vt:lpstr>
      <vt:lpstr>7661_hidden</vt:lpstr>
      <vt:lpstr>BCTCR_06608</vt:lpstr>
      <vt:lpstr>7663_hidden</vt:lpstr>
      <vt:lpstr>CCTTCR_06609</vt:lpstr>
      <vt:lpstr>7658_hidden</vt:lpstr>
      <vt:lpstr>BCKQHDR_06610</vt:lpstr>
      <vt:lpstr>7654_hidden</vt:lpstr>
      <vt:lpstr>BCLCTTRTT_06611</vt:lpstr>
      <vt:lpstr>7659_hidden</vt:lpstr>
      <vt:lpstr>PLCTTHDMGUTCKHTT_06612</vt:lpstr>
      <vt:lpstr>7656_hidden</vt:lpstr>
      <vt:lpstr>BCLCTTRGT_06613</vt:lpstr>
      <vt:lpstr>7662_hidden</vt:lpstr>
      <vt:lpstr>PLCTTHDMGUTCKHGT_06614</vt:lpstr>
      <vt:lpstr>7657_hidden</vt:lpstr>
      <vt:lpstr>BCTHBDVCSH_06615</vt:lpstr>
      <vt:lpstr>7660_hidden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Ngô Thị Quỳnh Liên</dc:creator>
  <cp:lastModifiedBy>Bui Dinh Vinh</cp:lastModifiedBy>
  <dcterms:created xsi:type="dcterms:W3CDTF">2020-06-04T03:29:47Z</dcterms:created>
  <dcterms:modified xsi:type="dcterms:W3CDTF">2023-03-02T09:37:56Z</dcterms:modified>
</cp:coreProperties>
</file>