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8" activeTab="9"/>
  </bookViews>
  <sheets>
    <sheet name="ban co ca nam 2010" sheetId="1" r:id="rId1"/>
    <sheet name="BCDPS - 2010" sheetId="2" r:id="rId2"/>
    <sheet name="BCDKT - 2010" sheetId="3" r:id="rId3"/>
    <sheet name="KQKD-2010" sheetId="4" r:id="rId4"/>
    <sheet name="dc ban co 18-5-11" sheetId="5" r:id="rId5"/>
    <sheet name="dc BCDPS 18-5-11" sheetId="6" r:id="rId6"/>
    <sheet name="dc-BCDKT 18-5-11" sheetId="7" r:id="rId7"/>
    <sheet name="dc-KQKD 18-5-11" sheetId="8" r:id="rId8"/>
    <sheet name="so lieu kiem toan 2010" sheetId="9" r:id="rId9"/>
    <sheet name="DC ban co 17-6 " sheetId="10" r:id="rId10"/>
    <sheet name="DC BCDPS 17-6" sheetId="11" r:id="rId11"/>
    <sheet name="DC BCDKT 17-6" sheetId="12" r:id="rId12"/>
    <sheet name="DC KQKD 17-6-11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BD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thanh tra thuế 3 năm 2009+2010+2011
</t>
        </r>
      </text>
    </comment>
    <comment ref="AS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cộng 168.058.015 theo biên bản thanh tra thuế 3 năm 2009+2010+2011</t>
        </r>
      </text>
    </comment>
    <comment ref="AS2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 theo biên bản thanh tra thuế 3 năm 2009+2010+2011</t>
        </r>
      </text>
    </comment>
    <comment ref="AS4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thanh tra thuế 3 năm 2009+2010+2011</t>
        </r>
      </text>
    </comment>
    <comment ref="AS4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thanh tra thuế 3 năm 2009+2010+2011</t>
        </r>
      </text>
    </comment>
    <comment ref="AS4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thanh tra thuế 3 năm 2009+2010+2011</t>
        </r>
      </text>
    </comment>
    <comment ref="AS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thanh tra thuế 3 năm 2009+2010+2011</t>
        </r>
      </text>
    </comment>
  </commentList>
</comments>
</file>

<file path=xl/sharedStrings.xml><?xml version="1.0" encoding="utf-8"?>
<sst xmlns="http://schemas.openxmlformats.org/spreadsheetml/2006/main" count="1009" uniqueCount="292">
  <si>
    <t>TK</t>
  </si>
  <si>
    <t>627M</t>
  </si>
  <si>
    <t>627N</t>
  </si>
  <si>
    <t>627Mg</t>
  </si>
  <si>
    <t xml:space="preserve">Céng </t>
  </si>
  <si>
    <t>Céng Nî</t>
  </si>
  <si>
    <t>Céng Cã</t>
  </si>
  <si>
    <t>Céng</t>
  </si>
  <si>
    <t>Sè hiÖu</t>
  </si>
  <si>
    <t>Tªn tµi kho¶n</t>
  </si>
  <si>
    <t>Sè ®Çu kú</t>
  </si>
  <si>
    <t>Ph¸t sinh</t>
  </si>
  <si>
    <t>Sè cuèi kú</t>
  </si>
  <si>
    <t xml:space="preserve">Nî </t>
  </si>
  <si>
    <t>cã</t>
  </si>
  <si>
    <t>TiÒn mÆt t¹i quü</t>
  </si>
  <si>
    <t>TiÒn göi ng©n hµng</t>
  </si>
  <si>
    <t xml:space="preserve">§Çu t­ ng¾n h¹n kh¸c </t>
  </si>
  <si>
    <t>Ph¶i thu cña kh¸ch hµng</t>
  </si>
  <si>
    <t>ThuÕ ®Çu vµo</t>
  </si>
  <si>
    <t>Ph¶i thu kh¸c</t>
  </si>
  <si>
    <t>T¹m øng</t>
  </si>
  <si>
    <t>Chi phÝ tr¶ tr­íc</t>
  </si>
  <si>
    <t>Nguyªn liÖu vËt liÖu</t>
  </si>
  <si>
    <t>C«ng cô dông cô</t>
  </si>
  <si>
    <t>Chi phÝ SXKD dë dang</t>
  </si>
  <si>
    <t>Thµnh phÈm</t>
  </si>
  <si>
    <t>Hµng ho¸</t>
  </si>
  <si>
    <t>TSC§ h÷u h×nh</t>
  </si>
  <si>
    <t>Hao mßn TSC§</t>
  </si>
  <si>
    <t>XDCB dë dang</t>
  </si>
  <si>
    <t>Chi phÝ ph¶i tr¶ dµi h¹n</t>
  </si>
  <si>
    <t>Ph¶i tr¶ cho ng­êi b¸n</t>
  </si>
  <si>
    <t>ThuÕ VAT</t>
  </si>
  <si>
    <t>TiÒn thuª ®Êt</t>
  </si>
  <si>
    <t>Ph¶i tr¶ c«ng nh©n viªn</t>
  </si>
  <si>
    <t>Kinh phÝ c«ng ®oµn</t>
  </si>
  <si>
    <t>BHXH</t>
  </si>
  <si>
    <t>BH y tÕ</t>
  </si>
  <si>
    <t>Doanh thu tr¶ tr­íc</t>
  </si>
  <si>
    <t>Ph¶i tr¶ ph¶i nép kh¸c</t>
  </si>
  <si>
    <t>Nguån vèn kinh doanh</t>
  </si>
  <si>
    <t>Quü ph¸t triÓn kinh doanh</t>
  </si>
  <si>
    <t>L·i ch­a ph©n phèi</t>
  </si>
  <si>
    <t>Quü khen th­ëng phóc lîi</t>
  </si>
  <si>
    <t>Nguån vèn ®Çu t­ XDCB</t>
  </si>
  <si>
    <t>Doanh thu b¸n hµng</t>
  </si>
  <si>
    <t>Hµng b¸n bÞ tr¶ l¹i</t>
  </si>
  <si>
    <t>Chi phÝ s¶n xuÊt chung</t>
  </si>
  <si>
    <t>Chi phÝ b¸n hµng</t>
  </si>
  <si>
    <t>Chi phÝ qu¶n lý doanh nghiÖp</t>
  </si>
  <si>
    <t>Gi¸ vèn hµng b¸n</t>
  </si>
  <si>
    <t>Ng­êi lËp biÓu</t>
  </si>
  <si>
    <t>KÕ to¸n tr­ëng</t>
  </si>
  <si>
    <t>UBND thµnh phè hµ Néi</t>
  </si>
  <si>
    <t>Cty TNHH Nhµ n­íc 1TV 18-4 Hµ Néi</t>
  </si>
  <si>
    <t>Tµi s¶n</t>
  </si>
  <si>
    <t>M· sè</t>
  </si>
  <si>
    <t>ThuyÕt minh</t>
  </si>
  <si>
    <t>Sè cuèi n¨m</t>
  </si>
  <si>
    <t>Sè ®Çu n¨m</t>
  </si>
  <si>
    <t>§VT: ®ång</t>
  </si>
  <si>
    <t>1.TiÒn</t>
  </si>
  <si>
    <t>2.C¸c kho¶n t­¬ng ®­¬ng tiÒn</t>
  </si>
  <si>
    <t>II.C¸c kho¶n ®Çu t­ tµi chÝnh ng¾n h¹n</t>
  </si>
  <si>
    <t xml:space="preserve">1.§Çu t­ ng¾n h¹n </t>
  </si>
  <si>
    <t>2.Dù phßng gi¶m gi¸ ®Çu t­ ng¾n h¹n (*)</t>
  </si>
  <si>
    <t xml:space="preserve">III.C¸c kho¶n ph¶i thu ng¾n h¹n </t>
  </si>
  <si>
    <t>1. Ph¶i thu kh¸ch hµng</t>
  </si>
  <si>
    <t>2.Tr¶ tr­íc cho ng­êi b¸n</t>
  </si>
  <si>
    <t xml:space="preserve">3. Ph¶i thu néi bé ng¾n h¹n </t>
  </si>
  <si>
    <t>4.Ph¶i thu theo tiÕn ®é kÕ ho¹ch hîp ®ång x©y dùng</t>
  </si>
  <si>
    <t>5.C¸c kho¶n ph¶i thu kh¸c</t>
  </si>
  <si>
    <t>6.Dù phßng ph¶i thu ng¾n h¹n khã ®ßi (*)</t>
  </si>
  <si>
    <t>IV.Hµng tån kho</t>
  </si>
  <si>
    <t>1.Hµng tån kho</t>
  </si>
  <si>
    <t>2.Dù phßng gi¶m gi¸ hµng tån kho (*)</t>
  </si>
  <si>
    <t>V.Tµi s¶n ng¾n h¹n kh¸c</t>
  </si>
  <si>
    <t xml:space="preserve">1.Chi phÝ tr¶ tr­íc ng¾n h¹n </t>
  </si>
  <si>
    <t>2.ThuÕ GTGT ®­îc khÊu trõ</t>
  </si>
  <si>
    <t>3.ThuÕ vµ c¸c kho¶n ph¶i thu Nhµ n­íc</t>
  </si>
  <si>
    <t>4.Tµi s¶n ng¾n h¹n kh¸c</t>
  </si>
  <si>
    <t>B.Tµi s¶n dµi h¹n kh¸c</t>
  </si>
  <si>
    <t>(200=210+220+240+250+260)</t>
  </si>
  <si>
    <t>I.C¸c kho¶n ph¶i thu dµi h¹n</t>
  </si>
  <si>
    <t>1.Ph¶i thu dµi h¹n cña kh¸ch hµng</t>
  </si>
  <si>
    <t>2.Vèn kinh doanh ë c¸c ®¬n vÞ trùc thuéc</t>
  </si>
  <si>
    <t>3.Ph¶i thu dµi h¹n néi bé</t>
  </si>
  <si>
    <t>4.Ph¶i thu dµi h¹n kh¸c</t>
  </si>
  <si>
    <t>5.Dù phßng ph¶i thu dµi h¹n khã ®ßi (*)</t>
  </si>
  <si>
    <t>II.Tµi s¶n cè ®Þnh</t>
  </si>
  <si>
    <t>1.Tµi s¶n cè ®Þnh h÷u h×nh</t>
  </si>
  <si>
    <t>-Nguyªn gi¸</t>
  </si>
  <si>
    <t>-Gi¸ trÞ hao mßn luü kÕ (*)</t>
  </si>
  <si>
    <t>2.Tµi s¶n cè ®Þnh thuª tµi chÝnh</t>
  </si>
  <si>
    <t>3.Tµi s¶n cè ®Þnh v« h×nh</t>
  </si>
  <si>
    <t>4.Chi phÝ x©y dùng c¬ b¶n dë dang</t>
  </si>
  <si>
    <t>III.BÊt ®éng s¶n ®Çu t­</t>
  </si>
  <si>
    <t>IV.C¸c kho¶n ®Çu t­ tµi chÝnh ng¾n h¹n</t>
  </si>
  <si>
    <t>1.§Çu t­ vµo c«ng ty con</t>
  </si>
  <si>
    <t>2.§Çu t­ vµo c«ng ty liªn kÕt, liªn doanh</t>
  </si>
  <si>
    <t>3.§Çu t­ dµi h¹n kh¸c</t>
  </si>
  <si>
    <t>4.Dù phßng gi¶m gi¸ ®Çu t­ tµi chÝnh dµi h¹n (*)</t>
  </si>
  <si>
    <t>V.Tµi s¶n dµi h¹n kh¸c</t>
  </si>
  <si>
    <t xml:space="preserve">1.Chi phÝ tr¶ tr­íc dµi h¹n </t>
  </si>
  <si>
    <t>2.Tµi s¶n thuÕ thu nhËp ho·n l¹i</t>
  </si>
  <si>
    <t>3.Tµi s¶n dµi h¹n kh¸c</t>
  </si>
  <si>
    <t>I.Nî ng¾n h¹n</t>
  </si>
  <si>
    <t>1.Vay vµ nî ng¾n h¹n</t>
  </si>
  <si>
    <t>2.Ph¶i tr¶ ng­êi b¸n</t>
  </si>
  <si>
    <t>3.Ng­êi mua tr¶ tiÒn tr­íc</t>
  </si>
  <si>
    <t>4.ThuÕ vµ c¸c kho¶n ph¶i nép Nhµ n­íc</t>
  </si>
  <si>
    <t>5.Ph¶i tr¶ ng­êi lao ®éng</t>
  </si>
  <si>
    <t>6.Chi phÝ ph¶i tr¶</t>
  </si>
  <si>
    <t>7.Ph¶i tr¶ néi bé</t>
  </si>
  <si>
    <t>8.Ph¶i tr¶ theo tiÕn ®é hîp ®ång x©y dùng</t>
  </si>
  <si>
    <t>9.C¸c kho¶n ph¶i tr¶, ph¶i nép ng¾n h¹n kh¸c</t>
  </si>
  <si>
    <t>10.Dù phßng ph¶i tr¶ ng¾n h¹n</t>
  </si>
  <si>
    <t>II.Nî dµi h¹n</t>
  </si>
  <si>
    <t>1.Ph¶i tr¶ dµi h¹n ng­êi b¸n</t>
  </si>
  <si>
    <t>2.Ph¶i tr¶ dµi h¹n néi bé</t>
  </si>
  <si>
    <t>3.Ph¶i tr¶ dµi h¹n kh¸c</t>
  </si>
  <si>
    <t>4.Vay vµ nî dµi h¹n</t>
  </si>
  <si>
    <t>5.ThuÕ thu nhËp ho·n l¹i ph¶i tr¶</t>
  </si>
  <si>
    <t>7.Dù phßng ph¶i tr¶ dµi h¹n</t>
  </si>
  <si>
    <t>I.Vèn chñ së h÷u</t>
  </si>
  <si>
    <t>1.Vèn ®Çu t­ cña chñ së h÷u</t>
  </si>
  <si>
    <t>2.ThÆng d­ cña vèn cæ phÇn</t>
  </si>
  <si>
    <t>3.Vèn kh¸c cña chñ së h÷u</t>
  </si>
  <si>
    <t>4.Cæ phiÕu quü (*)</t>
  </si>
  <si>
    <t>5.Chªnh lÖch ®¸nh gi¸ l¹i tµi s¶n</t>
  </si>
  <si>
    <t>6.Chªnh lÖch tû gi¸ hèi ®o¸i</t>
  </si>
  <si>
    <t>7.Quü ®Çu t­ ph¸t triÓn</t>
  </si>
  <si>
    <t>8.Quü dù phßng tµi chÝnh</t>
  </si>
  <si>
    <t>9.Quü kh¸c thuéc vèn chñ së h÷u</t>
  </si>
  <si>
    <t>11.Nguån vèn ®Çu t­ x©y dùng c¬ b¶n</t>
  </si>
  <si>
    <t>II.Nguån kinh phÝ vµ quü kh¸c</t>
  </si>
  <si>
    <t>1.Quü khen th­ëng, phóc lîi</t>
  </si>
  <si>
    <t>2.Nguån kinh phÝ</t>
  </si>
  <si>
    <t>3.Nguån kinh phÝ ®· h×nh thµnh TSC§</t>
  </si>
  <si>
    <t>C¸c chØ tiªu ngoµi b¶ng c©n ®èi kÕ to¸n</t>
  </si>
  <si>
    <t>ChØ tiªu</t>
  </si>
  <si>
    <t>1.Tµi s¶n thuª ngoµi</t>
  </si>
  <si>
    <t>2.VËt t­, hµng ho¸ nhËn gi÷ hé, nhËn gia c«ng</t>
  </si>
  <si>
    <t>3.Hµng ho¸ nhËn b¸n hé, nhËn ký göi, ký c­îc</t>
  </si>
  <si>
    <t>4.Nî khã ®ßi ®· xö lý</t>
  </si>
  <si>
    <t>5.Ngo¹i tÖ c¸c lo¹i</t>
  </si>
  <si>
    <t>6.Dù to¸n chi sù nghiÖp, dù ¸n</t>
  </si>
  <si>
    <t>(100=110+120+130+140+150)</t>
  </si>
  <si>
    <t xml:space="preserve">A.Tµi s¶n ng¾n h¹n </t>
  </si>
  <si>
    <t>I.TiÒn vµ c¸c kho¶n t­¬ng ®­¬ng tiÒn</t>
  </si>
  <si>
    <t>nguån vèn</t>
  </si>
  <si>
    <t>V.24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</si>
  <si>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</si>
  <si>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</si>
  <si>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</si>
  <si>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</si>
  <si>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</si>
  <si>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</si>
  <si>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</si>
  <si>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</si>
  <si>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</si>
  <si>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</si>
  <si>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</si>
  <si>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</si>
  <si>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</si>
  <si>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</si>
  <si>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</si>
  <si>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</si>
  <si>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</si>
  <si>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</si>
  <si>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</si>
  <si>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</si>
  <si>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</si>
  <si>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</si>
  <si>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</si>
  <si>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Gi¸m ®èc</t>
  </si>
  <si>
    <t xml:space="preserve">        Ng­êi lËp biÓu                                       KÕ to¸n tr­ëng</t>
  </si>
  <si>
    <t>1.Doanh thu b¸n hµng vµ cung cÊp dÞch vô</t>
  </si>
  <si>
    <t>2.C¸c kho¶n trõ doanh thu</t>
  </si>
  <si>
    <t>3.Doanh thu thuÇn vÒ b¸n hµng vµ cung cÊp dÞch vô (10=01-02)</t>
  </si>
  <si>
    <t>4.Gi¸ vèn hµng b¸n</t>
  </si>
  <si>
    <t>5.Lîi nhuËn gép vÒ b¸n hµng vµ cung cÊp dÞch vô (20=10-11)</t>
  </si>
  <si>
    <t>6.Doanh thu ho¹t ®éng tµi chÝnh</t>
  </si>
  <si>
    <t>7.Chi phÝ tµi chÝnh</t>
  </si>
  <si>
    <t>-Trong ®ã: Chi phÝ l·i vay</t>
  </si>
  <si>
    <t>8.Chi phÝ b¸n hµng</t>
  </si>
  <si>
    <t>9.Chi phÝ qu¶n lý doanh nghiÖp</t>
  </si>
  <si>
    <r>
      <t xml:space="preserve">10.Lîi nhuËn thuÇn tõ ho¹t ®éng kinh doanh </t>
    </r>
    <r>
      <rPr>
        <sz val="12"/>
        <rFont val="Symbol"/>
        <family val="1"/>
      </rPr>
      <t>[</t>
    </r>
    <r>
      <rPr>
        <sz val="12"/>
        <rFont val=".VnTime"/>
        <family val="2"/>
      </rPr>
      <t>30=20+(21-22)-(24+25)</t>
    </r>
    <r>
      <rPr>
        <sz val="12"/>
        <rFont val="Symbol"/>
        <family val="1"/>
      </rPr>
      <t>]</t>
    </r>
  </si>
  <si>
    <t>11.Thu nhËp kh¸c</t>
  </si>
  <si>
    <t>12.Chi phÝ kh¸c</t>
  </si>
  <si>
    <t>13.Lîi nhuËn kh¸c (40=31-32)</t>
  </si>
  <si>
    <t>14.Tæng lîi nhuËn kÕ to¸n tr­íc thuÕ (50=30+40)</t>
  </si>
  <si>
    <t>15.Chi phÝ thuÕ TNDN hiÖn hµnh</t>
  </si>
  <si>
    <t>16.Chi phÝ thuÕ TNDN ho·n l¹i</t>
  </si>
  <si>
    <t>17.Lîi nhuËn sau thuÕ TNDN (60=50-51-52)</t>
  </si>
  <si>
    <t>18.L·i c¬ b¶n trªn cæ phÕu (*)</t>
  </si>
  <si>
    <t>01</t>
  </si>
  <si>
    <t>02</t>
  </si>
  <si>
    <t>VI.25</t>
  </si>
  <si>
    <t>VI.27</t>
  </si>
  <si>
    <t>VI.28</t>
  </si>
  <si>
    <t>VI.26</t>
  </si>
  <si>
    <t>VI.30</t>
  </si>
  <si>
    <t>STT</t>
  </si>
  <si>
    <t>Néi dung</t>
  </si>
  <si>
    <t>+</t>
  </si>
  <si>
    <r>
      <t xml:space="preserve">Tæng céng tµi s¶n </t>
    </r>
    <r>
      <rPr>
        <sz val="10"/>
        <rFont val=".VnTimeH"/>
        <family val="2"/>
      </rPr>
      <t>(270=100+200)</t>
    </r>
  </si>
  <si>
    <r>
      <t xml:space="preserve">A.Nî ph¶i tr¶ </t>
    </r>
    <r>
      <rPr>
        <sz val="10"/>
        <rFont val=".VnTimeH"/>
        <family val="2"/>
      </rPr>
      <t>(300=310+330)</t>
    </r>
  </si>
  <si>
    <r>
      <t xml:space="preserve">B.Vèn chñ së h÷u </t>
    </r>
    <r>
      <rPr>
        <sz val="10"/>
        <rFont val=".VnTimeH"/>
        <family val="2"/>
      </rPr>
      <t>(400=410+430)</t>
    </r>
  </si>
  <si>
    <r>
      <t xml:space="preserve">Tæng céng nguån vèn </t>
    </r>
    <r>
      <rPr>
        <sz val="10"/>
        <rFont val=".VnTimeH"/>
        <family val="2"/>
      </rPr>
      <t>(440=300+400)</t>
    </r>
  </si>
  <si>
    <t>Gãp vèn liªn doanh</t>
  </si>
  <si>
    <t>Vay ng¾n h¹n</t>
  </si>
  <si>
    <t>LËp, ngµy 30 th¸ng 06 n¨m 2008</t>
  </si>
  <si>
    <t>B¸o c¸o kÕt qu¶ ho¹t ®éng kinh doanh QI+II n¨m 2008</t>
  </si>
  <si>
    <t>627n</t>
  </si>
  <si>
    <t>ThuÕ thu nhËp c¸ nh©n</t>
  </si>
  <si>
    <t>Tµi s¶n chê xö lý</t>
  </si>
  <si>
    <t>A</t>
  </si>
  <si>
    <t>Chªnh lÖch tû gi¸</t>
  </si>
  <si>
    <t>Quü dù phßng tµi chÝnh</t>
  </si>
  <si>
    <t>B¶o hiÓm thÊt nghiÖp</t>
  </si>
  <si>
    <t>Quü th­ëng ban ®iÒu hµnh</t>
  </si>
  <si>
    <t>gi¶m gi¸ hµng b¸n</t>
  </si>
  <si>
    <t>§Çu t­ vµo c«ng ty con</t>
  </si>
  <si>
    <t>ThÕ chÊp ký quü  ng¾n h¹n</t>
  </si>
  <si>
    <t>Quü dù phßng trî cÊp MVL</t>
  </si>
  <si>
    <t xml:space="preserve">          tæng Céng</t>
  </si>
  <si>
    <t>may</t>
  </si>
  <si>
    <t>mg</t>
  </si>
  <si>
    <t>4t tt</t>
  </si>
  <si>
    <t>xdcb</t>
  </si>
  <si>
    <t>kiÓm tra DT 09</t>
  </si>
  <si>
    <t>tæng</t>
  </si>
  <si>
    <t>11 tt</t>
  </si>
  <si>
    <t>tk 5112</t>
  </si>
  <si>
    <t>*</t>
  </si>
  <si>
    <t>nhùa                *</t>
  </si>
  <si>
    <t>6.Dù phßng trî cÊp mÊt viÖc lµm</t>
  </si>
  <si>
    <t xml:space="preserve">        Ng­êi lËp biÓu                          KÕ to¸n tr­ëng                 tæng gi¸m ®èc</t>
  </si>
  <si>
    <t xml:space="preserve">             ng­êi lËp biÓu                    KÕ to¸n tr­ëng                       tæng gi¸m ®èc                            </t>
  </si>
  <si>
    <t xml:space="preserve">             ®inh thuý hoa                        bïi thÞ thuý nga                    nguyÔn thÞ ph­¬ng lan</t>
  </si>
  <si>
    <t>B¸o c¸o kÕt qu¶ ho¹t ®éng kinh doanh n¨m 2010</t>
  </si>
  <si>
    <t>B¶ng c©n ®èi kÕ to¸n  n¨m 2010</t>
  </si>
  <si>
    <t>B¶ng c©n ®èi sè ph¸t sinh  c¶ n¨m 2010</t>
  </si>
  <si>
    <t>Doanh thu ho¹t ®éng TC</t>
  </si>
  <si>
    <t>Thu nhËp ho¹t ®éng TC</t>
  </si>
  <si>
    <t>Chi phÝ ho¹t ®éng TC</t>
  </si>
  <si>
    <t>X§ kÕt qu¶ kinh doanh</t>
  </si>
  <si>
    <t>ThuÕ TNDN</t>
  </si>
  <si>
    <t>DP gi¶m gi¸ hµng tån kho</t>
  </si>
  <si>
    <t>LËp, ngµy 31 th¸ng 12 n¨m 2010</t>
  </si>
  <si>
    <t xml:space="preserve"> </t>
  </si>
  <si>
    <t>10.Lîi nhu©n  ch­a ph©n phèi</t>
  </si>
  <si>
    <t>LËp, ngµy 30 th¸ng 12 n¨m 2010</t>
  </si>
  <si>
    <t>ghi chó</t>
  </si>
  <si>
    <t xml:space="preserve">x©y th« </t>
  </si>
  <si>
    <t>®Êt</t>
  </si>
  <si>
    <t>11 tang</t>
  </si>
  <si>
    <t>BK11</t>
  </si>
  <si>
    <t>ThuÕ TNDN 2010</t>
  </si>
  <si>
    <t>B¶ng c©n ®èi ph¸t sinh c¶  n¨m 2010</t>
  </si>
  <si>
    <t>B¶ng c©n ®èi ph¸t sinh c¶  n¨m 2010- ®iÒu chØnh</t>
  </si>
  <si>
    <t>Chi phÝ QL doanh nghiÖp</t>
  </si>
  <si>
    <t>§iÒu chØnh, ngµy….. th¸ng 4 n¨m 2011</t>
  </si>
  <si>
    <t>§iÒu chØnh, ngµy .. th¸ng 4 n¨m 2011</t>
  </si>
  <si>
    <t>®/c do :gi¶m doanh thu hãa ®¬n tÇng 1+ löng, ®ång thêi gi¶m gi¸ trÞ tiÒn vèn gãp liªn doanh, sè ph¸t sinh 222/131 trªn b¶ng kª 11</t>
  </si>
  <si>
    <t>t¨ng cp,gi¶m LN</t>
  </si>
  <si>
    <t>gi¶m cp,t¨ng LN</t>
  </si>
  <si>
    <t xml:space="preserve">lîi nhuËn </t>
  </si>
  <si>
    <t>Lîi nhuËn doanh nghiÖp b¸o c¸o</t>
  </si>
  <si>
    <t>gi¶m doanh thu thuª nhµ cña NH§T</t>
  </si>
  <si>
    <t>gi¶m doanh thu thuª nhµ cña §SQ Mü</t>
  </si>
  <si>
    <t>gi¶m doanh thu thuª nhµ cña taesan</t>
  </si>
  <si>
    <t>chi tiÕt sè liÖu kiÓm to¸n 2010</t>
  </si>
  <si>
    <t>gi¶m cpi kho¶n chªnh lÖch tû gi¸</t>
  </si>
  <si>
    <t>K/chuyÓn  d­ nî TK3387/511</t>
  </si>
  <si>
    <t>trÝch bxung chi phÝ quü MVL</t>
  </si>
  <si>
    <t>gi¶m thu nhËp 711</t>
  </si>
  <si>
    <t>bæ xung gi¸ vèn theo CV sè 5042ngµy 17/6</t>
  </si>
  <si>
    <t>30% quü nhµ 25 TT thiÕu</t>
  </si>
  <si>
    <t>gi¶m sè ph©n bæ tiÒn thuª VP cty thanh xu©n</t>
  </si>
  <si>
    <t>B</t>
  </si>
  <si>
    <t>Lîi nhuËn sau kiÓm to¸n</t>
  </si>
  <si>
    <t>B¶ng c©n ®èi sè ph¸t sinh  c¶ n¨m 2010- ®iÒu chØnh l1</t>
  </si>
  <si>
    <t>9.Quü ban ®iÒu hµnh</t>
  </si>
  <si>
    <t>( §iÒu chØnh theo biªn b¶n thanh tra thuÕ + tµi chÝnh)</t>
  </si>
  <si>
    <t>B¶ng c©n ®èi sè ph¸t sinh  c¶ n¨m 2010- (®iÒu chØnh theo biªn b¶n thuÕ + tµi chÝnh)</t>
  </si>
  <si>
    <t>§iÒu chØnh, ngµy      th¸ng 10  n¨m 2012</t>
  </si>
  <si>
    <t>§iÒu chØnh, ngµy .. th¸ng 10 n¨m 2012</t>
  </si>
  <si>
    <t>so phải nop TNDN</t>
  </si>
  <si>
    <t>chenh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</si>
</sst>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5">
    <font>
      <sz val="10"/>
      <name val=".VnArial"/>
      <family val="0"/>
    </font>
    <font>
      <sz val="8"/>
      <name val=".VnArial"/>
      <family val="0"/>
    </font>
    <font>
      <sz val="13"/>
      <name val=".VnTime"/>
      <family val="2"/>
    </font>
    <font>
      <b/>
      <sz val="12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sz val="12"/>
      <name val=".VnTime"/>
      <family val="2"/>
    </font>
    <font>
      <sz val="11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H"/>
      <family val="2"/>
    </font>
    <font>
      <b/>
      <sz val="10"/>
      <name val=".VnTime"/>
      <family val="2"/>
    </font>
    <font>
      <sz val="12"/>
      <name val="Symbol"/>
      <family val="1"/>
    </font>
    <font>
      <sz val="12"/>
      <color indexed="8"/>
      <name val=".VnTime"/>
      <family val="2"/>
    </font>
    <font>
      <sz val="12"/>
      <color indexed="10"/>
      <name val=".VnTime"/>
      <family val="2"/>
    </font>
    <font>
      <sz val="14"/>
      <name val=".VnTimeH"/>
      <family val="2"/>
    </font>
    <font>
      <sz val="16"/>
      <name val=".VnTimeH"/>
      <family val="2"/>
    </font>
    <font>
      <sz val="10"/>
      <name val=".VnTimeH"/>
      <family val="2"/>
    </font>
    <font>
      <b/>
      <sz val="12"/>
      <color indexed="8"/>
      <name val=".VnTime"/>
      <family val="2"/>
    </font>
    <font>
      <sz val="9"/>
      <name val=".VnTime"/>
      <family val="2"/>
    </font>
    <font>
      <sz val="10"/>
      <name val=".VnTime"/>
      <family val="2"/>
    </font>
    <font>
      <b/>
      <sz val="10"/>
      <name val=".VnTimeH"/>
      <family val="2"/>
    </font>
    <font>
      <sz val="10"/>
      <color indexed="10"/>
      <name val=".VnTimeH"/>
      <family val="2"/>
    </font>
    <font>
      <i/>
      <sz val="13"/>
      <name val=".VnTime"/>
      <family val="2"/>
    </font>
    <font>
      <sz val="13"/>
      <name val=".VnArial"/>
      <family val="0"/>
    </font>
    <font>
      <i/>
      <sz val="12"/>
      <name val=".VnTimeH"/>
      <family val="2"/>
    </font>
    <font>
      <b/>
      <sz val="13"/>
      <name val=".VnTime"/>
      <family val="2"/>
    </font>
    <font>
      <b/>
      <u val="singleAccounting"/>
      <sz val="13"/>
      <name val=".VnTime"/>
      <family val="2"/>
    </font>
    <font>
      <b/>
      <sz val="14"/>
      <name val=".VnTime"/>
      <family val="2"/>
    </font>
    <font>
      <b/>
      <sz val="10"/>
      <color indexed="10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.VnTime"/>
      <family val="2"/>
    </font>
    <font>
      <b/>
      <sz val="8"/>
      <name val=".Vn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64" fontId="5" fillId="0" borderId="1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4" fillId="0" borderId="4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4" fontId="6" fillId="0" borderId="4" xfId="15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6" fillId="0" borderId="5" xfId="15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/>
    </xf>
    <xf numFmtId="0" fontId="7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7" fillId="0" borderId="6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 quotePrefix="1">
      <alignment horizontal="center"/>
    </xf>
    <xf numFmtId="3" fontId="14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5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14" fillId="2" borderId="2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/>
    </xf>
    <xf numFmtId="3" fontId="19" fillId="2" borderId="2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3" fontId="14" fillId="2" borderId="6" xfId="0" applyNumberFormat="1" applyFont="1" applyFill="1" applyBorder="1" applyAlignment="1">
      <alignment/>
    </xf>
    <xf numFmtId="3" fontId="19" fillId="2" borderId="4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64" fontId="5" fillId="2" borderId="2" xfId="15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15" applyNumberFormat="1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164" fontId="9" fillId="0" borderId="0" xfId="15" applyNumberFormat="1" applyFont="1" applyAlignment="1">
      <alignment/>
    </xf>
    <xf numFmtId="164" fontId="21" fillId="0" borderId="0" xfId="15" applyNumberFormat="1" applyFont="1" applyAlignment="1">
      <alignment/>
    </xf>
    <xf numFmtId="0" fontId="5" fillId="0" borderId="1" xfId="0" applyFont="1" applyBorder="1" applyAlignment="1">
      <alignment/>
    </xf>
    <xf numFmtId="164" fontId="18" fillId="2" borderId="0" xfId="15" applyNumberFormat="1" applyFont="1" applyFill="1" applyAlignment="1">
      <alignment/>
    </xf>
    <xf numFmtId="164" fontId="22" fillId="2" borderId="0" xfId="15" applyNumberFormat="1" applyFont="1" applyFill="1" applyAlignment="1">
      <alignment/>
    </xf>
    <xf numFmtId="164" fontId="22" fillId="2" borderId="0" xfId="15" applyNumberFormat="1" applyFont="1" applyFill="1" applyAlignment="1">
      <alignment horizontal="center"/>
    </xf>
    <xf numFmtId="164" fontId="18" fillId="2" borderId="5" xfId="15" applyNumberFormat="1" applyFont="1" applyFill="1" applyBorder="1" applyAlignment="1">
      <alignment/>
    </xf>
    <xf numFmtId="164" fontId="22" fillId="2" borderId="4" xfId="15" applyNumberFormat="1" applyFont="1" applyFill="1" applyBorder="1" applyAlignment="1">
      <alignment horizontal="center"/>
    </xf>
    <xf numFmtId="164" fontId="22" fillId="2" borderId="5" xfId="15" applyNumberFormat="1" applyFont="1" applyFill="1" applyBorder="1" applyAlignment="1">
      <alignment horizontal="center"/>
    </xf>
    <xf numFmtId="164" fontId="18" fillId="2" borderId="7" xfId="15" applyNumberFormat="1" applyFont="1" applyFill="1" applyBorder="1" applyAlignment="1">
      <alignment/>
    </xf>
    <xf numFmtId="164" fontId="22" fillId="2" borderId="7" xfId="15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164" fontId="18" fillId="2" borderId="2" xfId="15" applyNumberFormat="1" applyFont="1" applyFill="1" applyBorder="1" applyAlignment="1">
      <alignment/>
    </xf>
    <xf numFmtId="164" fontId="22" fillId="2" borderId="2" xfId="15" applyNumberFormat="1" applyFont="1" applyFill="1" applyBorder="1" applyAlignment="1">
      <alignment/>
    </xf>
    <xf numFmtId="164" fontId="18" fillId="2" borderId="6" xfId="15" applyNumberFormat="1" applyFont="1" applyFill="1" applyBorder="1" applyAlignment="1">
      <alignment/>
    </xf>
    <xf numFmtId="164" fontId="18" fillId="2" borderId="8" xfId="15" applyNumberFormat="1" applyFont="1" applyFill="1" applyBorder="1" applyAlignment="1">
      <alignment/>
    </xf>
    <xf numFmtId="164" fontId="22" fillId="2" borderId="6" xfId="15" applyNumberFormat="1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164" fontId="12" fillId="2" borderId="2" xfId="15" applyNumberFormat="1" applyFont="1" applyFill="1" applyBorder="1" applyAlignment="1">
      <alignment horizontal="center"/>
    </xf>
    <xf numFmtId="164" fontId="12" fillId="2" borderId="4" xfId="15" applyNumberFormat="1" applyFont="1" applyFill="1" applyBorder="1" applyAlignment="1">
      <alignment horizontal="center"/>
    </xf>
    <xf numFmtId="164" fontId="22" fillId="2" borderId="4" xfId="15" applyNumberFormat="1" applyFont="1" applyFill="1" applyBorder="1" applyAlignment="1">
      <alignment/>
    </xf>
    <xf numFmtId="164" fontId="22" fillId="2" borderId="9" xfId="15" applyNumberFormat="1" applyFont="1" applyFill="1" applyBorder="1" applyAlignment="1">
      <alignment/>
    </xf>
    <xf numFmtId="164" fontId="12" fillId="2" borderId="10" xfId="15" applyNumberFormat="1" applyFont="1" applyFill="1" applyBorder="1" applyAlignment="1">
      <alignment horizontal="center"/>
    </xf>
    <xf numFmtId="164" fontId="18" fillId="2" borderId="0" xfId="15" applyNumberFormat="1" applyFont="1" applyFill="1" applyBorder="1" applyAlignment="1">
      <alignment/>
    </xf>
    <xf numFmtId="164" fontId="6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 horizontal="center"/>
    </xf>
    <xf numFmtId="164" fontId="22" fillId="2" borderId="9" xfId="15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8" fillId="2" borderId="1" xfId="15" applyNumberFormat="1" applyFont="1" applyFill="1" applyBorder="1" applyAlignment="1">
      <alignment/>
    </xf>
    <xf numFmtId="164" fontId="18" fillId="2" borderId="2" xfId="15" applyNumberFormat="1" applyFont="1" applyFill="1" applyBorder="1" applyAlignment="1">
      <alignment horizontal="center"/>
    </xf>
    <xf numFmtId="164" fontId="18" fillId="2" borderId="11" xfId="15" applyNumberFormat="1" applyFont="1" applyFill="1" applyBorder="1" applyAlignment="1">
      <alignment/>
    </xf>
    <xf numFmtId="164" fontId="18" fillId="2" borderId="12" xfId="15" applyNumberFormat="1" applyFont="1" applyFill="1" applyBorder="1" applyAlignment="1">
      <alignment/>
    </xf>
    <xf numFmtId="164" fontId="18" fillId="2" borderId="3" xfId="15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164" fontId="18" fillId="2" borderId="4" xfId="15" applyNumberFormat="1" applyFont="1" applyFill="1" applyBorder="1" applyAlignment="1">
      <alignment/>
    </xf>
    <xf numFmtId="164" fontId="23" fillId="2" borderId="4" xfId="15" applyNumberFormat="1" applyFont="1" applyFill="1" applyBorder="1" applyAlignment="1">
      <alignment/>
    </xf>
    <xf numFmtId="164" fontId="23" fillId="2" borderId="2" xfId="15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3" fontId="14" fillId="0" borderId="7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2" borderId="14" xfId="15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3" fontId="14" fillId="2" borderId="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64" fontId="0" fillId="0" borderId="0" xfId="15" applyNumberFormat="1" applyAlignment="1">
      <alignment/>
    </xf>
    <xf numFmtId="164" fontId="14" fillId="0" borderId="2" xfId="15" applyNumberFormat="1" applyFont="1" applyBorder="1" applyAlignment="1">
      <alignment/>
    </xf>
    <xf numFmtId="164" fontId="25" fillId="0" borderId="0" xfId="15" applyNumberFormat="1" applyFont="1" applyAlignment="1">
      <alignment/>
    </xf>
    <xf numFmtId="164" fontId="18" fillId="0" borderId="0" xfId="15" applyNumberFormat="1" applyFont="1" applyAlignment="1">
      <alignment/>
    </xf>
    <xf numFmtId="0" fontId="26" fillId="0" borderId="0" xfId="0" applyFont="1" applyAlignment="1">
      <alignment/>
    </xf>
    <xf numFmtId="164" fontId="18" fillId="2" borderId="15" xfId="15" applyNumberFormat="1" applyFont="1" applyFill="1" applyBorder="1" applyAlignment="1">
      <alignment/>
    </xf>
    <xf numFmtId="164" fontId="18" fillId="2" borderId="16" xfId="15" applyNumberFormat="1" applyFont="1" applyFill="1" applyBorder="1" applyAlignment="1">
      <alignment/>
    </xf>
    <xf numFmtId="0" fontId="2" fillId="2" borderId="0" xfId="0" applyFont="1" applyFill="1" applyAlignment="1">
      <alignment/>
    </xf>
    <xf numFmtId="164" fontId="5" fillId="3" borderId="2" xfId="15" applyNumberFormat="1" applyFont="1" applyFill="1" applyBorder="1" applyAlignment="1">
      <alignment/>
    </xf>
    <xf numFmtId="164" fontId="8" fillId="0" borderId="0" xfId="15" applyNumberFormat="1" applyFont="1" applyAlignment="1">
      <alignment/>
    </xf>
    <xf numFmtId="164" fontId="2" fillId="2" borderId="0" xfId="15" applyNumberFormat="1" applyFont="1" applyFill="1" applyAlignment="1">
      <alignment/>
    </xf>
    <xf numFmtId="164" fontId="4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164" fontId="27" fillId="0" borderId="0" xfId="15" applyNumberFormat="1" applyFont="1" applyAlignment="1">
      <alignment/>
    </xf>
    <xf numFmtId="164" fontId="14" fillId="2" borderId="2" xfId="15" applyNumberFormat="1" applyFont="1" applyFill="1" applyBorder="1" applyAlignment="1">
      <alignment horizontal="center"/>
    </xf>
    <xf numFmtId="164" fontId="27" fillId="0" borderId="0" xfId="0" applyNumberFormat="1" applyFont="1" applyAlignment="1">
      <alignment/>
    </xf>
    <xf numFmtId="164" fontId="28" fillId="0" borderId="0" xfId="15" applyNumberFormat="1" applyFont="1" applyAlignment="1">
      <alignment horizontal="center"/>
    </xf>
    <xf numFmtId="164" fontId="2" fillId="3" borderId="0" xfId="15" applyNumberFormat="1" applyFont="1" applyFill="1" applyAlignment="1">
      <alignment/>
    </xf>
    <xf numFmtId="0" fontId="18" fillId="0" borderId="4" xfId="0" applyFont="1" applyBorder="1" applyAlignment="1">
      <alignment/>
    </xf>
    <xf numFmtId="164" fontId="18" fillId="0" borderId="4" xfId="15" applyNumberFormat="1" applyFont="1" applyBorder="1" applyAlignment="1">
      <alignment/>
    </xf>
    <xf numFmtId="0" fontId="12" fillId="0" borderId="2" xfId="0" applyFont="1" applyBorder="1" applyAlignment="1">
      <alignment/>
    </xf>
    <xf numFmtId="0" fontId="21" fillId="0" borderId="2" xfId="0" applyFont="1" applyBorder="1" applyAlignment="1">
      <alignment/>
    </xf>
    <xf numFmtId="164" fontId="21" fillId="0" borderId="2" xfId="15" applyNumberFormat="1" applyFont="1" applyBorder="1" applyAlignment="1">
      <alignment/>
    </xf>
    <xf numFmtId="0" fontId="21" fillId="0" borderId="3" xfId="0" applyFont="1" applyBorder="1" applyAlignment="1">
      <alignment/>
    </xf>
    <xf numFmtId="164" fontId="21" fillId="0" borderId="3" xfId="15" applyNumberFormat="1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8" fillId="3" borderId="2" xfId="15" applyNumberFormat="1" applyFont="1" applyFill="1" applyBorder="1" applyAlignment="1">
      <alignment/>
    </xf>
    <xf numFmtId="164" fontId="18" fillId="3" borderId="6" xfId="15" applyNumberFormat="1" applyFont="1" applyFill="1" applyBorder="1" applyAlignment="1">
      <alignment/>
    </xf>
    <xf numFmtId="164" fontId="30" fillId="2" borderId="2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3" fontId="14" fillId="2" borderId="15" xfId="0" applyNumberFormat="1" applyFont="1" applyFill="1" applyBorder="1" applyAlignment="1">
      <alignment/>
    </xf>
    <xf numFmtId="3" fontId="14" fillId="2" borderId="3" xfId="0" applyNumberFormat="1" applyFont="1" applyFill="1" applyBorder="1" applyAlignment="1">
      <alignment/>
    </xf>
    <xf numFmtId="164" fontId="18" fillId="2" borderId="10" xfId="15" applyNumberFormat="1" applyFont="1" applyFill="1" applyBorder="1" applyAlignment="1">
      <alignment horizontal="center"/>
    </xf>
    <xf numFmtId="164" fontId="22" fillId="2" borderId="0" xfId="15" applyNumberFormat="1" applyFont="1" applyFill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164" fontId="6" fillId="0" borderId="13" xfId="15" applyNumberFormat="1" applyFont="1" applyBorder="1" applyAlignment="1">
      <alignment horizontal="center"/>
    </xf>
    <xf numFmtId="164" fontId="6" fillId="0" borderId="9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6" fillId="0" borderId="0" xfId="0" applyFont="1" applyAlignment="1">
      <alignment horizontal="left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9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164" fontId="7" fillId="0" borderId="0" xfId="15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11" fillId="0" borderId="17" xfId="0" applyFont="1" applyBorder="1" applyAlignment="1">
      <alignment horizontal="right"/>
    </xf>
    <xf numFmtId="0" fontId="3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8"/>
  <sheetViews>
    <sheetView zoomScale="120" zoomScaleNormal="120" workbookViewId="0" topLeftCell="K1">
      <selection activeCell="C9" sqref="C9"/>
    </sheetView>
  </sheetViews>
  <sheetFormatPr defaultColWidth="9.00390625" defaultRowHeight="17.25" customHeight="1"/>
  <cols>
    <col min="1" max="1" width="10.875" style="75" customWidth="1"/>
    <col min="2" max="2" width="7.625" style="75" bestFit="1" customWidth="1"/>
    <col min="3" max="3" width="14.00390625" style="75" customWidth="1"/>
    <col min="4" max="5" width="16.875" style="75" customWidth="1"/>
    <col min="6" max="6" width="15.375" style="75" customWidth="1"/>
    <col min="7" max="7" width="16.625" style="75" customWidth="1"/>
    <col min="8" max="8" width="13.875" style="75" customWidth="1"/>
    <col min="9" max="10" width="14.125" style="75" customWidth="1"/>
    <col min="11" max="11" width="12.875" style="75" customWidth="1"/>
    <col min="12" max="12" width="12.00390625" style="75" bestFit="1" customWidth="1"/>
    <col min="13" max="13" width="14.375" style="75" bestFit="1" customWidth="1"/>
    <col min="14" max="14" width="12.00390625" style="75" bestFit="1" customWidth="1"/>
    <col min="15" max="15" width="17.375" style="75" customWidth="1"/>
    <col min="16" max="16" width="14.375" style="75" bestFit="1" customWidth="1"/>
    <col min="17" max="17" width="13.375" style="75" bestFit="1" customWidth="1"/>
    <col min="18" max="18" width="4.75390625" style="75" bestFit="1" customWidth="1"/>
    <col min="19" max="19" width="14.375" style="75" bestFit="1" customWidth="1"/>
    <col min="20" max="20" width="12.00390625" style="75" bestFit="1" customWidth="1"/>
    <col min="21" max="21" width="12.00390625" style="75" customWidth="1"/>
    <col min="22" max="22" width="16.00390625" style="75" customWidth="1"/>
    <col min="23" max="23" width="15.75390625" style="75" customWidth="1"/>
    <col min="24" max="24" width="4.75390625" style="75" bestFit="1" customWidth="1"/>
    <col min="25" max="25" width="14.00390625" style="75" customWidth="1"/>
    <col min="26" max="27" width="15.25390625" style="75" customWidth="1"/>
    <col min="28" max="28" width="14.25390625" style="75" customWidth="1"/>
    <col min="29" max="29" width="11.875" style="75" customWidth="1"/>
    <col min="30" max="30" width="16.25390625" style="75" customWidth="1"/>
    <col min="31" max="31" width="15.25390625" style="75" customWidth="1"/>
    <col min="32" max="32" width="13.75390625" style="75" customWidth="1"/>
    <col min="33" max="33" width="12.375" style="75" customWidth="1"/>
    <col min="34" max="34" width="15.625" style="75" customWidth="1"/>
    <col min="35" max="35" width="13.125" style="75" customWidth="1"/>
    <col min="36" max="36" width="13.375" style="75" bestFit="1" customWidth="1"/>
    <col min="37" max="38" width="15.625" style="75" customWidth="1"/>
    <col min="39" max="39" width="12.875" style="75" customWidth="1"/>
    <col min="40" max="40" width="4.75390625" style="75" bestFit="1" customWidth="1"/>
    <col min="41" max="41" width="11.00390625" style="75" bestFit="1" customWidth="1"/>
    <col min="42" max="43" width="4.75390625" style="75" bestFit="1" customWidth="1"/>
    <col min="44" max="44" width="5.125" style="75" bestFit="1" customWidth="1"/>
    <col min="45" max="45" width="13.375" style="75" bestFit="1" customWidth="1"/>
    <col min="46" max="46" width="13.75390625" style="75" customWidth="1"/>
    <col min="47" max="47" width="4.75390625" style="75" bestFit="1" customWidth="1"/>
    <col min="48" max="48" width="15.375" style="75" bestFit="1" customWidth="1"/>
    <col min="49" max="49" width="15.25390625" style="75" customWidth="1"/>
    <col min="50" max="50" width="10.75390625" style="75" bestFit="1" customWidth="1"/>
    <col min="51" max="51" width="13.375" style="75" bestFit="1" customWidth="1"/>
    <col min="52" max="52" width="15.00390625" style="75" customWidth="1"/>
    <col min="53" max="53" width="14.125" style="75" customWidth="1"/>
    <col min="54" max="54" width="16.375" style="75" customWidth="1"/>
    <col min="55" max="55" width="17.75390625" style="75" customWidth="1"/>
    <col min="56" max="56" width="18.625" style="75" customWidth="1"/>
    <col min="57" max="57" width="15.375" style="75" customWidth="1"/>
    <col min="58" max="58" width="13.875" style="75" customWidth="1"/>
    <col min="59" max="59" width="14.75390625" style="75" customWidth="1"/>
    <col min="60" max="60" width="15.375" style="75" bestFit="1" customWidth="1"/>
    <col min="61" max="61" width="5.375" style="75" customWidth="1"/>
    <col min="62" max="62" width="17.25390625" style="76" customWidth="1"/>
    <col min="63" max="63" width="17.375" style="75" customWidth="1"/>
    <col min="64" max="64" width="17.00390625" style="75" customWidth="1"/>
    <col min="65" max="65" width="16.375" style="75" customWidth="1"/>
    <col min="66" max="66" width="14.625" style="75" customWidth="1"/>
    <col min="67" max="67" width="10.375" style="75" bestFit="1" customWidth="1"/>
    <col min="68" max="68" width="8.875" style="75" customWidth="1"/>
    <col min="69" max="69" width="13.625" style="75" customWidth="1"/>
    <col min="70" max="70" width="16.375" style="75" customWidth="1"/>
    <col min="71" max="71" width="15.25390625" style="75" customWidth="1"/>
    <col min="72" max="16384" width="8.875" style="75" customWidth="1"/>
  </cols>
  <sheetData>
    <row r="1" spans="1:14" ht="17.25" customHeight="1">
      <c r="A1" s="171" t="s">
        <v>261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ht="17.25" customHeight="1">
      <c r="O2" s="75" t="s">
        <v>206</v>
      </c>
    </row>
    <row r="3" spans="1:64" s="77" customFormat="1" ht="17.25" customHeight="1">
      <c r="A3" s="78"/>
      <c r="B3" s="79" t="s">
        <v>0</v>
      </c>
      <c r="C3" s="79">
        <v>111</v>
      </c>
      <c r="D3" s="101">
        <v>1121</v>
      </c>
      <c r="E3" s="101">
        <v>1122</v>
      </c>
      <c r="F3" s="79">
        <v>128</v>
      </c>
      <c r="G3" s="79">
        <v>131</v>
      </c>
      <c r="H3" s="79">
        <v>133</v>
      </c>
      <c r="I3" s="79">
        <v>1388</v>
      </c>
      <c r="J3" s="79">
        <v>141</v>
      </c>
      <c r="K3" s="79">
        <v>142</v>
      </c>
      <c r="L3" s="79">
        <v>144</v>
      </c>
      <c r="M3" s="79">
        <v>152</v>
      </c>
      <c r="N3" s="79">
        <v>153</v>
      </c>
      <c r="O3" s="79">
        <v>154</v>
      </c>
      <c r="P3" s="79">
        <v>155</v>
      </c>
      <c r="Q3" s="79">
        <v>156</v>
      </c>
      <c r="R3" s="79">
        <v>159</v>
      </c>
      <c r="S3" s="79">
        <v>211</v>
      </c>
      <c r="T3" s="79">
        <v>214</v>
      </c>
      <c r="U3" s="79">
        <v>221</v>
      </c>
      <c r="V3" s="79">
        <v>222</v>
      </c>
      <c r="W3" s="79">
        <v>241</v>
      </c>
      <c r="X3" s="79">
        <v>242</v>
      </c>
      <c r="Y3" s="79">
        <v>311</v>
      </c>
      <c r="Z3" s="79">
        <v>331</v>
      </c>
      <c r="AA3" s="79">
        <v>3331</v>
      </c>
      <c r="AB3" s="79">
        <v>3334</v>
      </c>
      <c r="AC3" s="79">
        <v>3335</v>
      </c>
      <c r="AD3" s="79">
        <v>3337</v>
      </c>
      <c r="AE3" s="79">
        <v>334</v>
      </c>
      <c r="AF3" s="79">
        <v>3381</v>
      </c>
      <c r="AG3" s="79">
        <v>3382</v>
      </c>
      <c r="AH3" s="79">
        <v>3383</v>
      </c>
      <c r="AI3" s="79">
        <v>3384</v>
      </c>
      <c r="AJ3" s="79">
        <v>3387</v>
      </c>
      <c r="AK3" s="79">
        <v>3388</v>
      </c>
      <c r="AL3" s="79">
        <v>3389</v>
      </c>
      <c r="AM3" s="79">
        <v>351</v>
      </c>
      <c r="AN3" s="79">
        <v>411</v>
      </c>
      <c r="AO3" s="79">
        <v>413</v>
      </c>
      <c r="AP3" s="79">
        <v>414</v>
      </c>
      <c r="AQ3" s="79">
        <v>415</v>
      </c>
      <c r="AR3" s="79">
        <v>418</v>
      </c>
      <c r="AS3" s="79">
        <v>421</v>
      </c>
      <c r="AT3" s="79">
        <v>353</v>
      </c>
      <c r="AU3" s="79">
        <v>441</v>
      </c>
      <c r="AV3" s="79">
        <v>511</v>
      </c>
      <c r="AW3" s="79">
        <v>531</v>
      </c>
      <c r="AX3" s="79">
        <v>532</v>
      </c>
      <c r="AY3" s="79">
        <v>515</v>
      </c>
      <c r="AZ3" s="79" t="s">
        <v>1</v>
      </c>
      <c r="BA3" s="79" t="s">
        <v>215</v>
      </c>
      <c r="BB3" s="79" t="s">
        <v>3</v>
      </c>
      <c r="BC3" s="79">
        <v>641</v>
      </c>
      <c r="BD3" s="79">
        <v>642</v>
      </c>
      <c r="BE3" s="79">
        <v>632</v>
      </c>
      <c r="BF3" s="79">
        <v>711</v>
      </c>
      <c r="BG3" s="79">
        <v>811</v>
      </c>
      <c r="BH3" s="79">
        <v>911</v>
      </c>
      <c r="BI3" s="79"/>
      <c r="BJ3" s="79" t="s">
        <v>4</v>
      </c>
      <c r="BK3" s="79" t="s">
        <v>5</v>
      </c>
      <c r="BL3" s="80" t="s">
        <v>6</v>
      </c>
    </row>
    <row r="4" spans="1:65" ht="17.25" customHeight="1">
      <c r="A4" s="102">
        <v>1111</v>
      </c>
      <c r="B4" s="79">
        <v>1111</v>
      </c>
      <c r="C4" s="103"/>
      <c r="D4" s="103">
        <v>20017500000</v>
      </c>
      <c r="E4" s="81"/>
      <c r="F4" s="81">
        <v>1000000000</v>
      </c>
      <c r="G4" s="81">
        <v>5865147500</v>
      </c>
      <c r="H4" s="81">
        <v>305759458</v>
      </c>
      <c r="I4" s="81"/>
      <c r="J4" s="81">
        <v>563000000</v>
      </c>
      <c r="K4" s="81">
        <v>74750000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>
        <v>3100000000</v>
      </c>
      <c r="W4" s="81"/>
      <c r="X4" s="81"/>
      <c r="Y4" s="81">
        <v>10000000000</v>
      </c>
      <c r="Z4" s="81">
        <v>14083905498</v>
      </c>
      <c r="AA4" s="81"/>
      <c r="AB4" s="81"/>
      <c r="AC4" s="81"/>
      <c r="AD4" s="81"/>
      <c r="AE4" s="81">
        <v>8948785090</v>
      </c>
      <c r="AF4" s="81"/>
      <c r="AG4" s="81">
        <v>102883600</v>
      </c>
      <c r="AH4" s="81">
        <v>49044275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>
        <v>298590000</v>
      </c>
      <c r="AU4" s="81"/>
      <c r="AV4" s="81"/>
      <c r="AW4" s="81"/>
      <c r="AX4" s="81"/>
      <c r="AY4" s="81"/>
      <c r="AZ4" s="81">
        <v>241403300</v>
      </c>
      <c r="BA4" s="81">
        <v>134240400</v>
      </c>
      <c r="BB4" s="81">
        <v>47681792</v>
      </c>
      <c r="BC4" s="81">
        <v>234566730</v>
      </c>
      <c r="BD4" s="81">
        <v>4130765239</v>
      </c>
      <c r="BE4" s="81"/>
      <c r="BF4" s="81"/>
      <c r="BG4" s="81"/>
      <c r="BH4" s="81"/>
      <c r="BI4" s="81"/>
      <c r="BJ4" s="82">
        <f aca="true" t="shared" si="0" ref="BJ4:BJ35">SUM(C4:BI4)</f>
        <v>69198022882</v>
      </c>
      <c r="BK4" s="82">
        <f>C65</f>
        <v>69639855320</v>
      </c>
      <c r="BL4" s="103">
        <f>BJ4</f>
        <v>69198022882</v>
      </c>
      <c r="BM4" s="75">
        <f>BK4-BL4</f>
        <v>441832438</v>
      </c>
    </row>
    <row r="5" spans="1:65" ht="17.25" customHeight="1">
      <c r="A5" s="83">
        <v>1121</v>
      </c>
      <c r="B5" s="79">
        <v>1121</v>
      </c>
      <c r="C5" s="104"/>
      <c r="D5" s="84"/>
      <c r="E5" s="84"/>
      <c r="F5" s="84">
        <v>146000000000</v>
      </c>
      <c r="G5" s="84"/>
      <c r="H5" s="84">
        <v>3936336300</v>
      </c>
      <c r="I5" s="84">
        <v>10000000000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>
        <v>41270544933</v>
      </c>
      <c r="AA5" s="84">
        <v>7612233700</v>
      </c>
      <c r="AB5" s="84">
        <v>1440361925</v>
      </c>
      <c r="AC5" s="84">
        <v>17416186</v>
      </c>
      <c r="AD5" s="84">
        <v>420675600</v>
      </c>
      <c r="AE5" s="84">
        <v>1192242110</v>
      </c>
      <c r="AF5" s="84"/>
      <c r="AG5" s="84"/>
      <c r="AH5" s="84">
        <v>1481793345</v>
      </c>
      <c r="AI5" s="84">
        <v>237027779</v>
      </c>
      <c r="AJ5" s="84"/>
      <c r="AK5" s="84">
        <v>22024625000</v>
      </c>
      <c r="AL5" s="84">
        <v>103644415</v>
      </c>
      <c r="AM5" s="84"/>
      <c r="AN5" s="84"/>
      <c r="AO5" s="84"/>
      <c r="AP5" s="84"/>
      <c r="AQ5" s="84"/>
      <c r="AR5" s="84"/>
      <c r="AS5" s="84">
        <v>823045</v>
      </c>
      <c r="AT5" s="84">
        <v>110000000</v>
      </c>
      <c r="AU5" s="84"/>
      <c r="AV5" s="84"/>
      <c r="AW5" s="84"/>
      <c r="AX5" s="84"/>
      <c r="AY5" s="84"/>
      <c r="AZ5" s="84">
        <v>8042130</v>
      </c>
      <c r="BA5" s="84">
        <v>100592045</v>
      </c>
      <c r="BB5" s="84"/>
      <c r="BC5" s="84">
        <v>12757431</v>
      </c>
      <c r="BD5" s="84">
        <v>5340718027</v>
      </c>
      <c r="BE5" s="84"/>
      <c r="BF5" s="84"/>
      <c r="BG5" s="84">
        <v>11509136</v>
      </c>
      <c r="BH5" s="84"/>
      <c r="BI5" s="81"/>
      <c r="BJ5" s="82">
        <f t="shared" si="0"/>
        <v>241321343107</v>
      </c>
      <c r="BK5" s="85">
        <f>D65</f>
        <v>257235970924</v>
      </c>
      <c r="BL5" s="84">
        <f>BJ5</f>
        <v>241321343107</v>
      </c>
      <c r="BM5" s="75">
        <f aca="true" t="shared" si="1" ref="BM5:BM62">BK5-BL5</f>
        <v>15914627817</v>
      </c>
    </row>
    <row r="6" spans="1:64" ht="17.25" customHeight="1">
      <c r="A6" s="83">
        <v>1122</v>
      </c>
      <c r="B6" s="79">
        <v>1122</v>
      </c>
      <c r="C6" s="104"/>
      <c r="D6" s="105"/>
      <c r="E6" s="105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1"/>
      <c r="BJ6" s="82">
        <f t="shared" si="0"/>
        <v>0</v>
      </c>
      <c r="BK6" s="85">
        <f>E65</f>
        <v>286059</v>
      </c>
      <c r="BL6" s="84">
        <f>BJ6</f>
        <v>0</v>
      </c>
    </row>
    <row r="7" spans="1:65" ht="17.25" customHeight="1">
      <c r="A7" s="83">
        <v>128</v>
      </c>
      <c r="B7" s="79">
        <v>128</v>
      </c>
      <c r="C7" s="104"/>
      <c r="D7" s="105">
        <v>123000000000</v>
      </c>
      <c r="E7" s="105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1"/>
      <c r="BJ7" s="82">
        <f t="shared" si="0"/>
        <v>123000000000</v>
      </c>
      <c r="BK7" s="85">
        <f>F65</f>
        <v>147000000000</v>
      </c>
      <c r="BL7" s="84">
        <f aca="true" t="shared" si="2" ref="BL7:BL64">BJ7</f>
        <v>123000000000</v>
      </c>
      <c r="BM7" s="75">
        <f t="shared" si="1"/>
        <v>24000000000</v>
      </c>
    </row>
    <row r="8" spans="1:65" ht="17.25" customHeight="1">
      <c r="A8" s="83">
        <v>131</v>
      </c>
      <c r="B8" s="79">
        <v>131</v>
      </c>
      <c r="C8" s="104">
        <f>65393778530+3100000000</f>
        <v>68493778530</v>
      </c>
      <c r="D8" s="105">
        <v>69334344571</v>
      </c>
      <c r="E8" s="105"/>
      <c r="F8" s="84"/>
      <c r="G8" s="84"/>
      <c r="H8" s="84">
        <v>16928956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>
        <f>11500000000-3100000000</f>
        <v>8400000000</v>
      </c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>
        <v>553183044</v>
      </c>
      <c r="AX8" s="84"/>
      <c r="AY8" s="84"/>
      <c r="AZ8" s="84"/>
      <c r="BA8" s="84"/>
      <c r="BB8" s="84"/>
      <c r="BC8" s="84"/>
      <c r="BD8" s="84"/>
      <c r="BE8" s="84"/>
      <c r="BF8" s="84"/>
      <c r="BG8" s="84">
        <v>200</v>
      </c>
      <c r="BH8" s="84"/>
      <c r="BI8" s="81"/>
      <c r="BJ8" s="82">
        <f t="shared" si="0"/>
        <v>146798235301</v>
      </c>
      <c r="BK8" s="85">
        <f>G65</f>
        <v>179238974278</v>
      </c>
      <c r="BL8" s="84">
        <f t="shared" si="2"/>
        <v>146798235301</v>
      </c>
      <c r="BM8" s="75">
        <f t="shared" si="1"/>
        <v>32440738977</v>
      </c>
    </row>
    <row r="9" spans="1:65" ht="17.25" customHeight="1">
      <c r="A9" s="83">
        <v>133</v>
      </c>
      <c r="B9" s="79">
        <v>133</v>
      </c>
      <c r="C9" s="104"/>
      <c r="D9" s="105"/>
      <c r="E9" s="105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>
        <f>H65</f>
        <v>4315519784</v>
      </c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1"/>
      <c r="BJ9" s="82">
        <f t="shared" si="0"/>
        <v>4315519784</v>
      </c>
      <c r="BK9" s="85">
        <f>H65</f>
        <v>4315519784</v>
      </c>
      <c r="BL9" s="84">
        <f t="shared" si="2"/>
        <v>4315519784</v>
      </c>
      <c r="BM9" s="75">
        <f t="shared" si="1"/>
        <v>0</v>
      </c>
    </row>
    <row r="10" spans="1:65" ht="17.25" customHeight="1">
      <c r="A10" s="83">
        <v>1388</v>
      </c>
      <c r="B10" s="79">
        <v>1388</v>
      </c>
      <c r="C10" s="104"/>
      <c r="D10" s="105">
        <v>10000000000</v>
      </c>
      <c r="E10" s="105"/>
      <c r="F10" s="84"/>
      <c r="G10" s="84"/>
      <c r="H10" s="84"/>
      <c r="I10" s="84"/>
      <c r="J10" s="84"/>
      <c r="K10" s="84"/>
      <c r="L10" s="84"/>
      <c r="M10" s="84"/>
      <c r="N10" s="84"/>
      <c r="O10" s="84">
        <v>38321021190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1"/>
      <c r="BJ10" s="82">
        <f t="shared" si="0"/>
        <v>48321021190</v>
      </c>
      <c r="BK10" s="85">
        <f>I65</f>
        <v>10000000000</v>
      </c>
      <c r="BL10" s="84">
        <f t="shared" si="2"/>
        <v>48321021190</v>
      </c>
      <c r="BM10" s="75">
        <f t="shared" si="1"/>
        <v>-38321021190</v>
      </c>
    </row>
    <row r="11" spans="1:65" ht="17.25" customHeight="1">
      <c r="A11" s="83">
        <v>141</v>
      </c>
      <c r="B11" s="79">
        <v>141</v>
      </c>
      <c r="C11" s="104">
        <v>671864500</v>
      </c>
      <c r="D11" s="105"/>
      <c r="E11" s="105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1"/>
      <c r="BJ11" s="82">
        <f t="shared" si="0"/>
        <v>671864500</v>
      </c>
      <c r="BK11" s="85">
        <f>J65</f>
        <v>563000000</v>
      </c>
      <c r="BL11" s="84">
        <f t="shared" si="2"/>
        <v>671864500</v>
      </c>
      <c r="BM11" s="75">
        <f t="shared" si="1"/>
        <v>-108864500</v>
      </c>
    </row>
    <row r="12" spans="1:65" ht="17.25" customHeight="1">
      <c r="A12" s="83">
        <v>142</v>
      </c>
      <c r="B12" s="79">
        <v>142</v>
      </c>
      <c r="C12" s="104"/>
      <c r="D12" s="105"/>
      <c r="E12" s="105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>
        <v>16785000</v>
      </c>
      <c r="BA12" s="84"/>
      <c r="BB12" s="84"/>
      <c r="BC12" s="84">
        <v>31454547</v>
      </c>
      <c r="BD12" s="84">
        <v>74750000</v>
      </c>
      <c r="BE12" s="84"/>
      <c r="BF12" s="84"/>
      <c r="BG12" s="84"/>
      <c r="BH12" s="84"/>
      <c r="BI12" s="81"/>
      <c r="BJ12" s="82">
        <f t="shared" si="0"/>
        <v>122989547</v>
      </c>
      <c r="BK12" s="85">
        <f>K65</f>
        <v>74750000</v>
      </c>
      <c r="BL12" s="84">
        <f t="shared" si="2"/>
        <v>122989547</v>
      </c>
      <c r="BM12" s="75">
        <f t="shared" si="1"/>
        <v>-48239547</v>
      </c>
    </row>
    <row r="13" spans="1:65" ht="17.25" customHeight="1">
      <c r="A13" s="83">
        <v>144</v>
      </c>
      <c r="B13" s="79">
        <v>144</v>
      </c>
      <c r="C13" s="104"/>
      <c r="D13" s="105"/>
      <c r="E13" s="10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1"/>
      <c r="BJ13" s="82">
        <f t="shared" si="0"/>
        <v>0</v>
      </c>
      <c r="BK13" s="85">
        <f>L65</f>
        <v>0</v>
      </c>
      <c r="BL13" s="84">
        <f t="shared" si="2"/>
        <v>0</v>
      </c>
      <c r="BM13" s="75">
        <f t="shared" si="1"/>
        <v>0</v>
      </c>
    </row>
    <row r="14" spans="1:65" ht="17.25" customHeight="1">
      <c r="A14" s="83">
        <v>152</v>
      </c>
      <c r="B14" s="79">
        <v>152</v>
      </c>
      <c r="C14" s="104"/>
      <c r="D14" s="105"/>
      <c r="E14" s="10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>
        <v>3642004288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>
        <v>7008092594</v>
      </c>
      <c r="BA14" s="84">
        <v>1838175879</v>
      </c>
      <c r="BB14" s="84">
        <v>951048318</v>
      </c>
      <c r="BC14" s="84"/>
      <c r="BD14" s="84"/>
      <c r="BE14" s="84"/>
      <c r="BF14" s="84"/>
      <c r="BG14" s="84"/>
      <c r="BH14" s="84"/>
      <c r="BI14" s="81"/>
      <c r="BJ14" s="82">
        <f t="shared" si="0"/>
        <v>13439321079</v>
      </c>
      <c r="BK14" s="85">
        <f>M65</f>
        <v>12131496739</v>
      </c>
      <c r="BL14" s="84">
        <f t="shared" si="2"/>
        <v>13439321079</v>
      </c>
      <c r="BM14" s="75">
        <f t="shared" si="1"/>
        <v>-1307824340</v>
      </c>
    </row>
    <row r="15" spans="1:65" ht="17.25" customHeight="1">
      <c r="A15" s="83">
        <v>153</v>
      </c>
      <c r="B15" s="79">
        <v>153</v>
      </c>
      <c r="C15" s="104"/>
      <c r="D15" s="105"/>
      <c r="E15" s="10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>
        <v>343846775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>
        <v>50000000</v>
      </c>
      <c r="BA15" s="84">
        <v>30792000</v>
      </c>
      <c r="BB15" s="84">
        <v>3500000</v>
      </c>
      <c r="BC15" s="84">
        <v>25000000</v>
      </c>
      <c r="BD15" s="84">
        <v>50000000</v>
      </c>
      <c r="BE15" s="84"/>
      <c r="BF15" s="84"/>
      <c r="BG15" s="84"/>
      <c r="BH15" s="84"/>
      <c r="BI15" s="81"/>
      <c r="BJ15" s="82">
        <f t="shared" si="0"/>
        <v>503138775</v>
      </c>
      <c r="BK15" s="85">
        <f>N65</f>
        <v>225137988</v>
      </c>
      <c r="BL15" s="84">
        <f t="shared" si="2"/>
        <v>503138775</v>
      </c>
      <c r="BM15" s="75">
        <f t="shared" si="1"/>
        <v>-278000787</v>
      </c>
    </row>
    <row r="16" spans="1:65" ht="17.25" customHeight="1">
      <c r="A16" s="83">
        <v>154</v>
      </c>
      <c r="B16" s="79">
        <v>154</v>
      </c>
      <c r="C16" s="104"/>
      <c r="D16" s="105"/>
      <c r="E16" s="10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>
        <v>15989737023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>
        <f>21962646780+449037257+2040450140+6974170058+76795744+36733529172+1060133545+1881622346+2223793454</f>
        <v>73402178496</v>
      </c>
      <c r="BF16" s="84"/>
      <c r="BG16" s="84"/>
      <c r="BH16" s="84"/>
      <c r="BI16" s="81"/>
      <c r="BJ16" s="82">
        <f t="shared" si="0"/>
        <v>89391915519</v>
      </c>
      <c r="BK16" s="85">
        <f>O65</f>
        <v>129067171456</v>
      </c>
      <c r="BL16" s="84">
        <f>BJ16</f>
        <v>89391915519</v>
      </c>
      <c r="BM16" s="75">
        <f t="shared" si="1"/>
        <v>39675255937</v>
      </c>
    </row>
    <row r="17" spans="1:65" ht="17.25" customHeight="1">
      <c r="A17" s="83">
        <v>155</v>
      </c>
      <c r="B17" s="79">
        <v>155</v>
      </c>
      <c r="C17" s="104"/>
      <c r="D17" s="105"/>
      <c r="E17" s="105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>
        <v>15513802400</v>
      </c>
      <c r="BF17" s="84"/>
      <c r="BG17" s="84"/>
      <c r="BH17" s="84"/>
      <c r="BI17" s="81"/>
      <c r="BJ17" s="82">
        <f t="shared" si="0"/>
        <v>15513802400</v>
      </c>
      <c r="BK17" s="85">
        <f>P65</f>
        <v>15989737023</v>
      </c>
      <c r="BL17" s="84">
        <f t="shared" si="2"/>
        <v>15513802400</v>
      </c>
      <c r="BM17" s="75">
        <f t="shared" si="1"/>
        <v>475934623</v>
      </c>
    </row>
    <row r="18" spans="1:65" ht="17.25" customHeight="1">
      <c r="A18" s="83">
        <v>156</v>
      </c>
      <c r="B18" s="79">
        <v>156</v>
      </c>
      <c r="C18" s="104"/>
      <c r="D18" s="105"/>
      <c r="E18" s="105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>
        <v>2896153569</v>
      </c>
      <c r="BF18" s="84"/>
      <c r="BG18" s="84"/>
      <c r="BH18" s="84"/>
      <c r="BI18" s="81"/>
      <c r="BJ18" s="82">
        <f t="shared" si="0"/>
        <v>2896153569</v>
      </c>
      <c r="BK18" s="85">
        <f>Q65</f>
        <v>3429810236</v>
      </c>
      <c r="BL18" s="84">
        <f t="shared" si="2"/>
        <v>2896153569</v>
      </c>
      <c r="BM18" s="75">
        <f t="shared" si="1"/>
        <v>533656667</v>
      </c>
    </row>
    <row r="19" spans="1:65" ht="17.25" customHeight="1">
      <c r="A19" s="83">
        <v>159</v>
      </c>
      <c r="B19" s="79">
        <v>159</v>
      </c>
      <c r="C19" s="104"/>
      <c r="D19" s="105"/>
      <c r="E19" s="105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1"/>
      <c r="BJ19" s="82">
        <f t="shared" si="0"/>
        <v>0</v>
      </c>
      <c r="BK19" s="85">
        <f>R65</f>
        <v>0</v>
      </c>
      <c r="BL19" s="84">
        <f t="shared" si="2"/>
        <v>0</v>
      </c>
      <c r="BM19" s="75">
        <f t="shared" si="1"/>
        <v>0</v>
      </c>
    </row>
    <row r="20" spans="1:65" ht="17.25" customHeight="1">
      <c r="A20" s="83">
        <v>211</v>
      </c>
      <c r="B20" s="79">
        <v>211</v>
      </c>
      <c r="C20" s="104"/>
      <c r="D20" s="105"/>
      <c r="E20" s="105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>
        <v>533656667</v>
      </c>
      <c r="R20" s="84"/>
      <c r="S20" s="84"/>
      <c r="T20" s="84">
        <f>598887974+289914913+75110731</f>
        <v>963913618</v>
      </c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>
        <f>129692192+253617285+42726125</f>
        <v>426035602</v>
      </c>
      <c r="BH20" s="84"/>
      <c r="BI20" s="81"/>
      <c r="BJ20" s="82">
        <f t="shared" si="0"/>
        <v>1923605887</v>
      </c>
      <c r="BK20" s="85">
        <f>S65</f>
        <v>1930014909</v>
      </c>
      <c r="BL20" s="84">
        <f t="shared" si="2"/>
        <v>1923605887</v>
      </c>
      <c r="BM20" s="75">
        <f t="shared" si="1"/>
        <v>6409022</v>
      </c>
    </row>
    <row r="21" spans="1:71" ht="17.25" customHeight="1">
      <c r="A21" s="83">
        <v>214</v>
      </c>
      <c r="B21" s="79">
        <v>214</v>
      </c>
      <c r="C21" s="104"/>
      <c r="D21" s="105"/>
      <c r="E21" s="105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>
        <v>293474821</v>
      </c>
      <c r="BA21" s="84">
        <v>92871240</v>
      </c>
      <c r="BB21" s="84">
        <v>7000000</v>
      </c>
      <c r="BC21" s="84">
        <v>234313998</v>
      </c>
      <c r="BD21" s="84">
        <v>537332300</v>
      </c>
      <c r="BE21" s="84"/>
      <c r="BF21" s="84"/>
      <c r="BG21" s="84"/>
      <c r="BH21" s="84"/>
      <c r="BI21" s="81"/>
      <c r="BJ21" s="82">
        <f t="shared" si="0"/>
        <v>1164992359</v>
      </c>
      <c r="BK21" s="85">
        <f>T65</f>
        <v>963913618</v>
      </c>
      <c r="BL21" s="84">
        <f t="shared" si="2"/>
        <v>1164992359</v>
      </c>
      <c r="BM21" s="75">
        <f t="shared" si="1"/>
        <v>-201078741</v>
      </c>
      <c r="BS21" s="75">
        <f>BQ21+BR21</f>
        <v>0</v>
      </c>
    </row>
    <row r="22" spans="1:64" ht="17.25" customHeight="1">
      <c r="A22" s="83">
        <v>221</v>
      </c>
      <c r="B22" s="79">
        <v>221</v>
      </c>
      <c r="C22" s="104"/>
      <c r="D22" s="105"/>
      <c r="E22" s="105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1"/>
      <c r="BJ22" s="82">
        <f t="shared" si="0"/>
        <v>0</v>
      </c>
      <c r="BK22" s="85">
        <f>U65</f>
        <v>0</v>
      </c>
      <c r="BL22" s="84">
        <f>BJ22</f>
        <v>0</v>
      </c>
    </row>
    <row r="23" spans="1:65" ht="17.25" customHeight="1">
      <c r="A23" s="83">
        <v>222</v>
      </c>
      <c r="B23" s="79">
        <v>222</v>
      </c>
      <c r="C23" s="104"/>
      <c r="D23" s="105">
        <v>2000000000</v>
      </c>
      <c r="E23" s="105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1"/>
      <c r="BJ23" s="82">
        <f t="shared" si="0"/>
        <v>2000000000</v>
      </c>
      <c r="BK23" s="85">
        <f>V65</f>
        <v>11500000000</v>
      </c>
      <c r="BL23" s="84">
        <f t="shared" si="2"/>
        <v>2000000000</v>
      </c>
      <c r="BM23" s="75">
        <f t="shared" si="1"/>
        <v>9500000000</v>
      </c>
    </row>
    <row r="24" spans="1:65" ht="17.25" customHeight="1">
      <c r="A24" s="83">
        <v>241</v>
      </c>
      <c r="B24" s="79">
        <v>241</v>
      </c>
      <c r="C24" s="104"/>
      <c r="D24" s="105"/>
      <c r="E24" s="10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1"/>
      <c r="BJ24" s="82">
        <f t="shared" si="0"/>
        <v>0</v>
      </c>
      <c r="BK24" s="85">
        <f>W65</f>
        <v>0</v>
      </c>
      <c r="BL24" s="84">
        <f t="shared" si="2"/>
        <v>0</v>
      </c>
      <c r="BM24" s="75">
        <f t="shared" si="1"/>
        <v>0</v>
      </c>
    </row>
    <row r="25" spans="1:65" ht="17.25" customHeight="1">
      <c r="A25" s="83">
        <v>242</v>
      </c>
      <c r="B25" s="79">
        <v>242</v>
      </c>
      <c r="C25" s="104"/>
      <c r="D25" s="105"/>
      <c r="E25" s="10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1"/>
      <c r="BJ25" s="82">
        <f t="shared" si="0"/>
        <v>0</v>
      </c>
      <c r="BK25" s="85">
        <f>X65</f>
        <v>0</v>
      </c>
      <c r="BL25" s="84">
        <f>BJ25</f>
        <v>0</v>
      </c>
      <c r="BM25" s="75">
        <f t="shared" si="1"/>
        <v>0</v>
      </c>
    </row>
    <row r="26" spans="1:65" ht="17.25" customHeight="1">
      <c r="A26" s="83">
        <v>311</v>
      </c>
      <c r="B26" s="79">
        <v>311</v>
      </c>
      <c r="C26" s="104"/>
      <c r="D26" s="105"/>
      <c r="E26" s="10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1"/>
      <c r="BJ26" s="82">
        <f t="shared" si="0"/>
        <v>0</v>
      </c>
      <c r="BK26" s="85">
        <f>Y65</f>
        <v>10000000000</v>
      </c>
      <c r="BL26" s="84">
        <f t="shared" si="2"/>
        <v>0</v>
      </c>
      <c r="BM26" s="75">
        <f t="shared" si="1"/>
        <v>10000000000</v>
      </c>
    </row>
    <row r="27" spans="1:65" ht="17.25" customHeight="1">
      <c r="A27" s="83">
        <v>331</v>
      </c>
      <c r="B27" s="79">
        <v>331</v>
      </c>
      <c r="C27" s="104"/>
      <c r="D27" s="105">
        <v>132560000</v>
      </c>
      <c r="E27" s="105"/>
      <c r="F27" s="84"/>
      <c r="G27" s="84"/>
      <c r="H27" s="84">
        <v>56495070</v>
      </c>
      <c r="I27" s="84"/>
      <c r="J27" s="84"/>
      <c r="K27" s="84"/>
      <c r="L27" s="84"/>
      <c r="M27" s="84">
        <f>11810227503+321269236</f>
        <v>12131496739</v>
      </c>
      <c r="N27" s="84">
        <v>225137988</v>
      </c>
      <c r="O27" s="84">
        <v>74756413243</v>
      </c>
      <c r="P27" s="84"/>
      <c r="Q27" s="84">
        <v>2896153569</v>
      </c>
      <c r="R27" s="84"/>
      <c r="S27" s="84">
        <v>1930014909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1"/>
      <c r="BJ27" s="82">
        <f t="shared" si="0"/>
        <v>92128271518</v>
      </c>
      <c r="BK27" s="85">
        <f>Z65</f>
        <v>59364341494</v>
      </c>
      <c r="BL27" s="84">
        <f t="shared" si="2"/>
        <v>92128271518</v>
      </c>
      <c r="BM27" s="75">
        <f t="shared" si="1"/>
        <v>-32763930024</v>
      </c>
    </row>
    <row r="28" spans="1:65" ht="17.25" customHeight="1">
      <c r="A28" s="83">
        <v>3331</v>
      </c>
      <c r="B28" s="79">
        <v>3331</v>
      </c>
      <c r="C28" s="104"/>
      <c r="D28" s="105"/>
      <c r="E28" s="105"/>
      <c r="F28" s="84"/>
      <c r="G28" s="84">
        <v>14440819801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1"/>
      <c r="BJ28" s="82">
        <f t="shared" si="0"/>
        <v>14440819801</v>
      </c>
      <c r="BK28" s="85">
        <f>AA65</f>
        <v>11927753484</v>
      </c>
      <c r="BL28" s="84">
        <f t="shared" si="2"/>
        <v>14440819801</v>
      </c>
      <c r="BM28" s="75">
        <f t="shared" si="1"/>
        <v>-2513066317</v>
      </c>
    </row>
    <row r="29" spans="1:65" ht="17.25" customHeight="1">
      <c r="A29" s="83">
        <v>3334</v>
      </c>
      <c r="B29" s="79">
        <v>3334</v>
      </c>
      <c r="C29" s="104"/>
      <c r="D29" s="105"/>
      <c r="E29" s="105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>
        <v>1333958325</v>
      </c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1"/>
      <c r="BJ29" s="82">
        <f t="shared" si="0"/>
        <v>1333958325</v>
      </c>
      <c r="BK29" s="85">
        <f>AB65</f>
        <v>1440361925</v>
      </c>
      <c r="BL29" s="84">
        <f>BJ29</f>
        <v>1333958325</v>
      </c>
      <c r="BM29" s="75">
        <f t="shared" si="1"/>
        <v>106403600</v>
      </c>
    </row>
    <row r="30" spans="1:65" ht="17.25" customHeight="1">
      <c r="A30" s="83">
        <v>3335</v>
      </c>
      <c r="B30" s="79">
        <v>3335</v>
      </c>
      <c r="C30" s="104">
        <f>4222580+11493106+67389841</f>
        <v>83105527</v>
      </c>
      <c r="D30" s="105"/>
      <c r="E30" s="105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1"/>
      <c r="BJ30" s="82">
        <f t="shared" si="0"/>
        <v>83105527</v>
      </c>
      <c r="BK30" s="85">
        <f>AC65</f>
        <v>17416186</v>
      </c>
      <c r="BL30" s="84">
        <f t="shared" si="2"/>
        <v>83105527</v>
      </c>
      <c r="BM30" s="75">
        <f t="shared" si="1"/>
        <v>-65689341</v>
      </c>
    </row>
    <row r="31" spans="1:65" ht="17.25" customHeight="1">
      <c r="A31" s="83">
        <v>3337</v>
      </c>
      <c r="B31" s="79">
        <v>3337</v>
      </c>
      <c r="C31" s="104"/>
      <c r="D31" s="105">
        <v>111760000</v>
      </c>
      <c r="E31" s="10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>
        <v>24040000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>
        <v>175980800</v>
      </c>
      <c r="BD31" s="84">
        <f>71521000</f>
        <v>71521000</v>
      </c>
      <c r="BE31" s="84"/>
      <c r="BF31" s="84"/>
      <c r="BG31" s="84"/>
      <c r="BH31" s="84"/>
      <c r="BI31" s="81"/>
      <c r="BJ31" s="82">
        <f t="shared" si="0"/>
        <v>383301800</v>
      </c>
      <c r="BK31" s="85">
        <f>AD65</f>
        <v>420675600</v>
      </c>
      <c r="BL31" s="84">
        <f t="shared" si="2"/>
        <v>383301800</v>
      </c>
      <c r="BM31" s="75">
        <f t="shared" si="1"/>
        <v>37373800</v>
      </c>
    </row>
    <row r="32" spans="1:65" ht="17.25" customHeight="1">
      <c r="A32" s="83">
        <v>334</v>
      </c>
      <c r="B32" s="79">
        <v>334</v>
      </c>
      <c r="C32" s="104">
        <v>15960000</v>
      </c>
      <c r="D32" s="105"/>
      <c r="E32" s="105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>
        <f>3325667900</f>
        <v>3325667900</v>
      </c>
      <c r="BA32" s="84">
        <v>921277700</v>
      </c>
      <c r="BB32" s="84">
        <v>517493500</v>
      </c>
      <c r="BC32" s="84">
        <v>890132650</v>
      </c>
      <c r="BD32" s="84">
        <f>4470495450+1759534000+209174000</f>
        <v>6439203450</v>
      </c>
      <c r="BE32" s="84"/>
      <c r="BF32" s="84"/>
      <c r="BG32" s="84"/>
      <c r="BH32" s="84"/>
      <c r="BI32" s="81"/>
      <c r="BJ32" s="82">
        <f t="shared" si="0"/>
        <v>12109735200</v>
      </c>
      <c r="BK32" s="85">
        <f>AE65</f>
        <v>10141027200</v>
      </c>
      <c r="BL32" s="84">
        <f t="shared" si="2"/>
        <v>12109735200</v>
      </c>
      <c r="BM32" s="75">
        <f t="shared" si="1"/>
        <v>-1968708000</v>
      </c>
    </row>
    <row r="33" spans="1:64" ht="17.25" customHeight="1">
      <c r="A33" s="83">
        <v>3381</v>
      </c>
      <c r="B33" s="79">
        <v>3381</v>
      </c>
      <c r="C33" s="104"/>
      <c r="D33" s="129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 t="s">
        <v>252</v>
      </c>
      <c r="BE33" s="84"/>
      <c r="BF33" s="84"/>
      <c r="BG33" s="84"/>
      <c r="BH33" s="84"/>
      <c r="BI33" s="81"/>
      <c r="BJ33" s="82">
        <f t="shared" si="0"/>
        <v>0</v>
      </c>
      <c r="BK33" s="85">
        <f>AF65</f>
        <v>0</v>
      </c>
      <c r="BL33" s="84">
        <f>BJ33</f>
        <v>0</v>
      </c>
    </row>
    <row r="34" spans="1:65" ht="17.25" customHeight="1">
      <c r="A34" s="83">
        <v>3382</v>
      </c>
      <c r="B34" s="79">
        <v>3382</v>
      </c>
      <c r="C34" s="104"/>
      <c r="E34" s="8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>
        <v>29384964</v>
      </c>
      <c r="BA34" s="84">
        <v>3733008</v>
      </c>
      <c r="BB34" s="84">
        <v>3390792</v>
      </c>
      <c r="BC34" s="84">
        <f>7065936+2025066</f>
        <v>9091002</v>
      </c>
      <c r="BD34" s="84">
        <f>57283834</f>
        <v>57283834</v>
      </c>
      <c r="BE34" s="84"/>
      <c r="BF34" s="84"/>
      <c r="BG34" s="84"/>
      <c r="BH34" s="84"/>
      <c r="BI34" s="81"/>
      <c r="BJ34" s="82">
        <f t="shared" si="0"/>
        <v>102883600</v>
      </c>
      <c r="BK34" s="85">
        <f>AG65</f>
        <v>102883600</v>
      </c>
      <c r="BL34" s="84">
        <f t="shared" si="2"/>
        <v>102883600</v>
      </c>
      <c r="BM34" s="75">
        <f t="shared" si="1"/>
        <v>0</v>
      </c>
    </row>
    <row r="35" spans="1:65" ht="17.25" customHeight="1">
      <c r="A35" s="83">
        <v>3383</v>
      </c>
      <c r="B35" s="79">
        <v>3383</v>
      </c>
      <c r="C35" s="104">
        <v>264633882</v>
      </c>
      <c r="D35" s="105">
        <v>415623042</v>
      </c>
      <c r="E35" s="105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>
        <v>235079712</v>
      </c>
      <c r="BA35" s="84">
        <v>29864064</v>
      </c>
      <c r="BB35" s="84">
        <v>27126336</v>
      </c>
      <c r="BC35" s="84">
        <f>56527488</f>
        <v>56527488</v>
      </c>
      <c r="BD35" s="84">
        <v>458270669</v>
      </c>
      <c r="BE35" s="84"/>
      <c r="BF35" s="84"/>
      <c r="BG35" s="84"/>
      <c r="BH35" s="84"/>
      <c r="BI35" s="81"/>
      <c r="BJ35" s="82">
        <f t="shared" si="0"/>
        <v>1487125193</v>
      </c>
      <c r="BK35" s="85">
        <f>AH65</f>
        <v>1530837620</v>
      </c>
      <c r="BL35" s="84">
        <f t="shared" si="2"/>
        <v>1487125193</v>
      </c>
      <c r="BM35" s="75">
        <f t="shared" si="1"/>
        <v>43712427</v>
      </c>
    </row>
    <row r="36" spans="1:65" ht="17.25" customHeight="1">
      <c r="A36" s="83">
        <v>3384</v>
      </c>
      <c r="B36" s="80">
        <v>3384</v>
      </c>
      <c r="C36" s="104">
        <v>66053969</v>
      </c>
      <c r="D36" s="106"/>
      <c r="E36" s="10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4">
        <v>44077446</v>
      </c>
      <c r="BA36" s="84">
        <v>5599512</v>
      </c>
      <c r="BB36" s="84">
        <v>5088188</v>
      </c>
      <c r="BC36" s="84">
        <f>10598904+12769029</f>
        <v>23367933</v>
      </c>
      <c r="BD36" s="84">
        <f>85925750+6914981</f>
        <v>92840731</v>
      </c>
      <c r="BE36" s="84"/>
      <c r="BF36" s="86"/>
      <c r="BG36" s="86"/>
      <c r="BH36" s="86"/>
      <c r="BI36" s="87"/>
      <c r="BJ36" s="82">
        <f aca="true" t="shared" si="3" ref="BJ36:BJ64">SUM(C36:BI36)</f>
        <v>237027779</v>
      </c>
      <c r="BK36" s="85">
        <f>AI65</f>
        <v>237027779</v>
      </c>
      <c r="BL36" s="84">
        <f t="shared" si="2"/>
        <v>237027779</v>
      </c>
      <c r="BM36" s="75">
        <f t="shared" si="1"/>
        <v>0</v>
      </c>
    </row>
    <row r="37" spans="1:65" ht="17.25" customHeight="1">
      <c r="A37" s="83">
        <v>3387</v>
      </c>
      <c r="B37" s="80">
        <v>3387</v>
      </c>
      <c r="C37" s="104"/>
      <c r="D37" s="106"/>
      <c r="E37" s="106"/>
      <c r="F37" s="86"/>
      <c r="G37" s="86">
        <v>47207990107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7"/>
      <c r="BJ37" s="82">
        <f t="shared" si="3"/>
        <v>47207990107</v>
      </c>
      <c r="BK37" s="88">
        <f>AJ65</f>
        <v>2223793454</v>
      </c>
      <c r="BL37" s="84">
        <f>BJ37</f>
        <v>47207990107</v>
      </c>
      <c r="BM37" s="75">
        <f t="shared" si="1"/>
        <v>-44984196653</v>
      </c>
    </row>
    <row r="38" spans="1:64" ht="17.25" customHeight="1">
      <c r="A38" s="83">
        <v>3388</v>
      </c>
      <c r="B38" s="80">
        <v>3388</v>
      </c>
      <c r="C38" s="104"/>
      <c r="D38" s="106">
        <v>22024625000</v>
      </c>
      <c r="E38" s="10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7"/>
      <c r="BJ38" s="82">
        <f t="shared" si="3"/>
        <v>22024625000</v>
      </c>
      <c r="BK38" s="88">
        <f>AK65</f>
        <v>22024625000</v>
      </c>
      <c r="BL38" s="84">
        <f t="shared" si="2"/>
        <v>22024625000</v>
      </c>
    </row>
    <row r="39" spans="1:65" ht="17.25" customHeight="1">
      <c r="A39" s="83">
        <v>3389</v>
      </c>
      <c r="B39" s="79">
        <v>3389</v>
      </c>
      <c r="C39" s="104">
        <v>44458912</v>
      </c>
      <c r="D39" s="105"/>
      <c r="E39" s="10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>
        <v>14692482</v>
      </c>
      <c r="BA39" s="84">
        <v>1866504</v>
      </c>
      <c r="BB39" s="84">
        <v>1695396</v>
      </c>
      <c r="BC39" s="84">
        <v>3532968</v>
      </c>
      <c r="BD39" s="84">
        <f>28641917+8756236</f>
        <v>37398153</v>
      </c>
      <c r="BE39" s="84"/>
      <c r="BF39" s="84"/>
      <c r="BG39" s="84"/>
      <c r="BH39" s="84"/>
      <c r="BI39" s="81"/>
      <c r="BJ39" s="82">
        <f t="shared" si="3"/>
        <v>103644415</v>
      </c>
      <c r="BK39" s="85">
        <f>AL65</f>
        <v>103644415</v>
      </c>
      <c r="BL39" s="84">
        <f t="shared" si="2"/>
        <v>103644415</v>
      </c>
      <c r="BM39" s="75">
        <f t="shared" si="1"/>
        <v>0</v>
      </c>
    </row>
    <row r="40" spans="1:64" ht="17.25" customHeight="1">
      <c r="A40" s="83">
        <v>351</v>
      </c>
      <c r="B40" s="79">
        <v>351</v>
      </c>
      <c r="C40" s="104"/>
      <c r="D40" s="105"/>
      <c r="E40" s="105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1"/>
      <c r="BJ40" s="82">
        <f t="shared" si="3"/>
        <v>0</v>
      </c>
      <c r="BK40" s="85">
        <f>AM65</f>
        <v>0</v>
      </c>
      <c r="BL40" s="84">
        <f t="shared" si="2"/>
        <v>0</v>
      </c>
    </row>
    <row r="41" spans="1:65" ht="17.25" customHeight="1">
      <c r="A41" s="83">
        <v>411</v>
      </c>
      <c r="B41" s="79">
        <v>411</v>
      </c>
      <c r="C41" s="104"/>
      <c r="D41" s="105">
        <v>7022250000</v>
      </c>
      <c r="E41" s="105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>
        <v>2700710052</v>
      </c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1"/>
      <c r="BJ41" s="82">
        <f t="shared" si="3"/>
        <v>9722960052</v>
      </c>
      <c r="BK41" s="85">
        <f>AN65</f>
        <v>0</v>
      </c>
      <c r="BL41" s="84">
        <f t="shared" si="2"/>
        <v>9722960052</v>
      </c>
      <c r="BM41" s="75">
        <f t="shared" si="1"/>
        <v>-9722960052</v>
      </c>
    </row>
    <row r="42" spans="1:65" ht="17.25" customHeight="1">
      <c r="A42" s="83">
        <v>413</v>
      </c>
      <c r="B42" s="79">
        <v>413</v>
      </c>
      <c r="C42" s="104"/>
      <c r="D42" s="105">
        <v>15400081</v>
      </c>
      <c r="E42" s="105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1"/>
      <c r="BJ42" s="82">
        <f t="shared" si="3"/>
        <v>15400081</v>
      </c>
      <c r="BK42" s="85">
        <f>AO65</f>
        <v>15400081</v>
      </c>
      <c r="BL42" s="84">
        <f t="shared" si="2"/>
        <v>15400081</v>
      </c>
      <c r="BM42" s="75">
        <f t="shared" si="1"/>
        <v>0</v>
      </c>
    </row>
    <row r="43" spans="1:65" ht="17.25" customHeight="1">
      <c r="A43" s="83">
        <v>414</v>
      </c>
      <c r="B43" s="79">
        <v>414</v>
      </c>
      <c r="C43" s="104"/>
      <c r="D43" s="105"/>
      <c r="E43" s="105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1"/>
      <c r="BJ43" s="82">
        <f t="shared" si="3"/>
        <v>0</v>
      </c>
      <c r="BK43" s="85">
        <f>AP65</f>
        <v>0</v>
      </c>
      <c r="BL43" s="84">
        <f t="shared" si="2"/>
        <v>0</v>
      </c>
      <c r="BM43" s="75">
        <f t="shared" si="1"/>
        <v>0</v>
      </c>
    </row>
    <row r="44" spans="1:65" ht="17.25" customHeight="1">
      <c r="A44" s="83">
        <v>415</v>
      </c>
      <c r="B44" s="79">
        <v>415</v>
      </c>
      <c r="C44" s="104"/>
      <c r="D44" s="105"/>
      <c r="E44" s="105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>
        <v>400105192</v>
      </c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1"/>
      <c r="BJ44" s="82">
        <f t="shared" si="3"/>
        <v>400105192</v>
      </c>
      <c r="BK44" s="85">
        <f>AQ65</f>
        <v>0</v>
      </c>
      <c r="BL44" s="84">
        <f>BJ44</f>
        <v>400105192</v>
      </c>
      <c r="BM44" s="75">
        <f t="shared" si="1"/>
        <v>-400105192</v>
      </c>
    </row>
    <row r="45" spans="1:65" ht="17.25" customHeight="1">
      <c r="A45" s="83">
        <v>418</v>
      </c>
      <c r="B45" s="79">
        <v>418</v>
      </c>
      <c r="C45" s="104"/>
      <c r="D45" s="105"/>
      <c r="E45" s="10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v>180047336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115"/>
      <c r="BE45" s="84"/>
      <c r="BF45" s="84"/>
      <c r="BG45" s="84"/>
      <c r="BH45" s="84"/>
      <c r="BI45" s="81"/>
      <c r="BJ45" s="82">
        <f t="shared" si="3"/>
        <v>180047336</v>
      </c>
      <c r="BK45" s="85">
        <f>AR65</f>
        <v>0</v>
      </c>
      <c r="BL45" s="84">
        <f t="shared" si="2"/>
        <v>180047336</v>
      </c>
      <c r="BM45" s="75">
        <f t="shared" si="1"/>
        <v>-180047336</v>
      </c>
    </row>
    <row r="46" spans="1:65" ht="17.25" customHeight="1">
      <c r="A46" s="83">
        <v>421</v>
      </c>
      <c r="B46" s="79">
        <v>421</v>
      </c>
      <c r="C46" s="104"/>
      <c r="D46" s="105"/>
      <c r="E46" s="105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>
        <v>5335833297</v>
      </c>
      <c r="BI46" s="81"/>
      <c r="BJ46" s="82">
        <f t="shared" si="3"/>
        <v>5335833297</v>
      </c>
      <c r="BK46" s="85">
        <f>AS65</f>
        <v>5335833297</v>
      </c>
      <c r="BL46" s="84">
        <f t="shared" si="2"/>
        <v>5335833297</v>
      </c>
      <c r="BM46" s="75">
        <f t="shared" si="1"/>
        <v>0</v>
      </c>
    </row>
    <row r="47" spans="1:65" ht="17.25" customHeight="1">
      <c r="A47" s="83">
        <v>431</v>
      </c>
      <c r="B47" s="79">
        <v>353</v>
      </c>
      <c r="C47" s="104"/>
      <c r="D47" s="105">
        <v>900000</v>
      </c>
      <c r="E47" s="105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>
        <v>720189347</v>
      </c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1"/>
      <c r="BJ47" s="82">
        <f t="shared" si="3"/>
        <v>721089347</v>
      </c>
      <c r="BK47" s="85">
        <f>AT65</f>
        <v>408590000</v>
      </c>
      <c r="BL47" s="84">
        <f t="shared" si="2"/>
        <v>721089347</v>
      </c>
      <c r="BM47" s="75">
        <f t="shared" si="1"/>
        <v>-312499347</v>
      </c>
    </row>
    <row r="48" spans="1:65" ht="17.25" customHeight="1">
      <c r="A48" s="83">
        <v>441</v>
      </c>
      <c r="B48" s="79">
        <v>441</v>
      </c>
      <c r="C48" s="104"/>
      <c r="D48" s="105"/>
      <c r="E48" s="10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1"/>
      <c r="BJ48" s="82">
        <f t="shared" si="3"/>
        <v>0</v>
      </c>
      <c r="BK48" s="85">
        <f>AU65</f>
        <v>0</v>
      </c>
      <c r="BL48" s="84">
        <f t="shared" si="2"/>
        <v>0</v>
      </c>
      <c r="BM48" s="75">
        <f t="shared" si="1"/>
        <v>0</v>
      </c>
    </row>
    <row r="49" spans="1:66" ht="17.25" customHeight="1">
      <c r="A49" s="83">
        <v>511</v>
      </c>
      <c r="B49" s="79">
        <v>5111</v>
      </c>
      <c r="C49" s="104"/>
      <c r="D49" s="105"/>
      <c r="E49" s="105"/>
      <c r="F49" s="84"/>
      <c r="G49" s="84">
        <v>3398692379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1"/>
      <c r="BJ49" s="82">
        <f t="shared" si="3"/>
        <v>3398692379</v>
      </c>
      <c r="BK49" s="85"/>
      <c r="BL49" s="84"/>
      <c r="BM49" s="75">
        <f t="shared" si="1"/>
        <v>0</v>
      </c>
      <c r="BN49" s="75">
        <f>SUM(BJ49:BJ51)</f>
        <v>113185237220</v>
      </c>
    </row>
    <row r="50" spans="1:65" ht="17.25" customHeight="1">
      <c r="A50" s="83"/>
      <c r="B50" s="79">
        <v>5112</v>
      </c>
      <c r="C50" s="104"/>
      <c r="D50" s="105"/>
      <c r="E50" s="105"/>
      <c r="F50" s="84"/>
      <c r="G50" s="84">
        <f>111325080129-G49-G51-363636363</f>
        <v>94625793081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>
        <v>2223793454</v>
      </c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1"/>
      <c r="BJ50" s="82">
        <f t="shared" si="3"/>
        <v>96849586535</v>
      </c>
      <c r="BK50" s="85">
        <f>AV65</f>
        <v>113185237220</v>
      </c>
      <c r="BL50" s="84">
        <f>BJ49+BJ50+BJ51</f>
        <v>113185237220</v>
      </c>
      <c r="BM50" s="75">
        <f t="shared" si="1"/>
        <v>0</v>
      </c>
    </row>
    <row r="51" spans="1:65" ht="17.25" customHeight="1">
      <c r="A51" s="83"/>
      <c r="B51" s="79">
        <v>5113</v>
      </c>
      <c r="C51" s="104"/>
      <c r="D51" s="84"/>
      <c r="E51" s="84"/>
      <c r="F51" s="84"/>
      <c r="G51" s="84">
        <v>12936958306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1"/>
      <c r="BJ51" s="82">
        <f t="shared" si="3"/>
        <v>12936958306</v>
      </c>
      <c r="BK51" s="85"/>
      <c r="BL51" s="84"/>
      <c r="BM51" s="75">
        <f t="shared" si="1"/>
        <v>0</v>
      </c>
    </row>
    <row r="52" spans="1:65" ht="17.25" customHeight="1">
      <c r="A52" s="83">
        <v>531</v>
      </c>
      <c r="B52" s="79">
        <v>531</v>
      </c>
      <c r="C52" s="10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>
        <f>AW65</f>
        <v>553183044</v>
      </c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1"/>
      <c r="BJ52" s="82">
        <f t="shared" si="3"/>
        <v>553183044</v>
      </c>
      <c r="BK52" s="85">
        <f>AW65</f>
        <v>553183044</v>
      </c>
      <c r="BL52" s="84">
        <f t="shared" si="2"/>
        <v>553183044</v>
      </c>
      <c r="BM52" s="75">
        <f t="shared" si="1"/>
        <v>0</v>
      </c>
    </row>
    <row r="53" spans="1:65" ht="17.25" customHeight="1">
      <c r="A53" s="83">
        <v>532</v>
      </c>
      <c r="B53" s="79">
        <v>532</v>
      </c>
      <c r="C53" s="104"/>
      <c r="D53" s="105"/>
      <c r="E53" s="105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1"/>
      <c r="BJ53" s="82">
        <f t="shared" si="3"/>
        <v>0</v>
      </c>
      <c r="BK53" s="85">
        <f>AX65</f>
        <v>0</v>
      </c>
      <c r="BL53" s="84">
        <f t="shared" si="2"/>
        <v>0</v>
      </c>
      <c r="BM53" s="75">
        <f t="shared" si="1"/>
        <v>0</v>
      </c>
    </row>
    <row r="54" spans="1:65" ht="17.25" customHeight="1">
      <c r="A54" s="83">
        <v>515</v>
      </c>
      <c r="B54" s="79">
        <v>515</v>
      </c>
      <c r="C54" s="104"/>
      <c r="D54" s="105">
        <f>3155669289-286059</f>
        <v>3155383230</v>
      </c>
      <c r="E54" s="105">
        <v>286059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>
        <v>15400081</v>
      </c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1"/>
      <c r="BJ54" s="82">
        <f t="shared" si="3"/>
        <v>3171069370</v>
      </c>
      <c r="BK54" s="85">
        <f>AY65</f>
        <v>3171069370</v>
      </c>
      <c r="BL54" s="84">
        <f t="shared" si="2"/>
        <v>3171069370</v>
      </c>
      <c r="BM54" s="75">
        <f t="shared" si="1"/>
        <v>0</v>
      </c>
    </row>
    <row r="55" spans="1:65" ht="17.25" customHeight="1">
      <c r="A55" s="83">
        <v>627</v>
      </c>
      <c r="B55" s="79" t="s">
        <v>1</v>
      </c>
      <c r="C55" s="104"/>
      <c r="D55" s="105"/>
      <c r="E55" s="105"/>
      <c r="F55" s="84"/>
      <c r="G55" s="84"/>
      <c r="H55" s="84"/>
      <c r="I55" s="84"/>
      <c r="J55" s="84"/>
      <c r="K55" s="84"/>
      <c r="L55" s="84"/>
      <c r="M55" s="84"/>
      <c r="N55" s="84"/>
      <c r="O55" s="84">
        <f>AZ65</f>
        <v>11266700349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1"/>
      <c r="BJ55" s="82">
        <f t="shared" si="3"/>
        <v>11266700349</v>
      </c>
      <c r="BK55" s="85">
        <f>AZ65</f>
        <v>11266700349</v>
      </c>
      <c r="BL55" s="84">
        <f>BJ55</f>
        <v>11266700349</v>
      </c>
      <c r="BM55" s="75">
        <f t="shared" si="1"/>
        <v>0</v>
      </c>
    </row>
    <row r="56" spans="1:65" ht="17.25" customHeight="1">
      <c r="A56" s="83"/>
      <c r="B56" s="79" t="s">
        <v>2</v>
      </c>
      <c r="C56" s="104"/>
      <c r="D56" s="105"/>
      <c r="E56" s="105"/>
      <c r="F56" s="84"/>
      <c r="G56" s="84"/>
      <c r="H56" s="84"/>
      <c r="I56" s="84"/>
      <c r="J56" s="84"/>
      <c r="K56" s="84"/>
      <c r="L56" s="84"/>
      <c r="M56" s="84"/>
      <c r="N56" s="84"/>
      <c r="O56" s="84">
        <f>BA65</f>
        <v>3159012352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1"/>
      <c r="BJ56" s="82">
        <f t="shared" si="3"/>
        <v>3159012352</v>
      </c>
      <c r="BK56" s="85">
        <f>BA65</f>
        <v>3159012352</v>
      </c>
      <c r="BL56" s="84">
        <f t="shared" si="2"/>
        <v>3159012352</v>
      </c>
      <c r="BM56" s="75">
        <f t="shared" si="1"/>
        <v>0</v>
      </c>
    </row>
    <row r="57" spans="1:65" ht="17.25" customHeight="1">
      <c r="A57" s="83"/>
      <c r="B57" s="79" t="s">
        <v>3</v>
      </c>
      <c r="C57" s="104"/>
      <c r="D57" s="105"/>
      <c r="E57" s="105"/>
      <c r="F57" s="84"/>
      <c r="G57" s="84"/>
      <c r="H57" s="84"/>
      <c r="I57" s="84"/>
      <c r="J57" s="84"/>
      <c r="K57" s="84"/>
      <c r="L57" s="84"/>
      <c r="M57" s="84"/>
      <c r="N57" s="84"/>
      <c r="O57" s="84">
        <f>BB65</f>
        <v>1564024322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1"/>
      <c r="BJ57" s="82">
        <f t="shared" si="3"/>
        <v>1564024322</v>
      </c>
      <c r="BK57" s="85">
        <f>BB65</f>
        <v>1564024322</v>
      </c>
      <c r="BL57" s="84">
        <f t="shared" si="2"/>
        <v>1564024322</v>
      </c>
      <c r="BM57" s="75">
        <f t="shared" si="1"/>
        <v>0</v>
      </c>
    </row>
    <row r="58" spans="1:65" ht="17.25" customHeight="1">
      <c r="A58" s="83">
        <v>641</v>
      </c>
      <c r="B58" s="79">
        <v>641</v>
      </c>
      <c r="C58" s="104"/>
      <c r="D58" s="105"/>
      <c r="E58" s="105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1">
        <f>BC65</f>
        <v>1696725547</v>
      </c>
      <c r="BI58" s="81"/>
      <c r="BJ58" s="82">
        <f t="shared" si="3"/>
        <v>1696725547</v>
      </c>
      <c r="BK58" s="85">
        <f>BC65</f>
        <v>1696725547</v>
      </c>
      <c r="BL58" s="84">
        <f t="shared" si="2"/>
        <v>1696725547</v>
      </c>
      <c r="BM58" s="75">
        <f t="shared" si="1"/>
        <v>0</v>
      </c>
    </row>
    <row r="59" spans="1:65" ht="17.25" customHeight="1">
      <c r="A59" s="83">
        <v>642</v>
      </c>
      <c r="B59" s="79">
        <v>642</v>
      </c>
      <c r="C59" s="104"/>
      <c r="D59" s="105"/>
      <c r="E59" s="105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1">
        <f>BD65</f>
        <v>17290083403</v>
      </c>
      <c r="BI59" s="81"/>
      <c r="BJ59" s="82">
        <f t="shared" si="3"/>
        <v>17290083403</v>
      </c>
      <c r="BK59" s="85">
        <f>BD65</f>
        <v>17290083403</v>
      </c>
      <c r="BL59" s="84">
        <f t="shared" si="2"/>
        <v>17290083403</v>
      </c>
      <c r="BM59" s="75">
        <f t="shared" si="1"/>
        <v>0</v>
      </c>
    </row>
    <row r="60" spans="1:65" ht="17.25" customHeight="1">
      <c r="A60" s="83">
        <v>632</v>
      </c>
      <c r="B60" s="79">
        <v>632</v>
      </c>
      <c r="C60" s="104"/>
      <c r="D60" s="105"/>
      <c r="E60" s="105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>
        <f>BE65</f>
        <v>91812134465</v>
      </c>
      <c r="BI60" s="81"/>
      <c r="BJ60" s="82">
        <f t="shared" si="3"/>
        <v>91812134465</v>
      </c>
      <c r="BK60" s="85">
        <f>BE65</f>
        <v>91812134465</v>
      </c>
      <c r="BL60" s="84">
        <f>BJ60</f>
        <v>91812134465</v>
      </c>
      <c r="BM60" s="75">
        <f t="shared" si="1"/>
        <v>0</v>
      </c>
    </row>
    <row r="61" spans="1:65" ht="17.25" customHeight="1">
      <c r="A61" s="83">
        <v>711</v>
      </c>
      <c r="B61" s="79">
        <v>711</v>
      </c>
      <c r="C61" s="104"/>
      <c r="D61" s="105">
        <v>5625000</v>
      </c>
      <c r="E61" s="105"/>
      <c r="F61" s="84"/>
      <c r="G61" s="84">
        <v>763573104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1"/>
      <c r="BJ61" s="82">
        <f t="shared" si="3"/>
        <v>769198104</v>
      </c>
      <c r="BK61" s="85">
        <f>BF65</f>
        <v>769198104</v>
      </c>
      <c r="BL61" s="84">
        <f t="shared" si="2"/>
        <v>769198104</v>
      </c>
      <c r="BM61" s="75">
        <f t="shared" si="1"/>
        <v>0</v>
      </c>
    </row>
    <row r="62" spans="1:65" ht="17.25" customHeight="1">
      <c r="A62" s="83">
        <v>811</v>
      </c>
      <c r="B62" s="79">
        <v>811</v>
      </c>
      <c r="C62" s="104"/>
      <c r="D62" s="105"/>
      <c r="E62" s="105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>
        <f>BG65</f>
        <v>437544938</v>
      </c>
      <c r="BI62" s="81"/>
      <c r="BJ62" s="82">
        <f t="shared" si="3"/>
        <v>437544938</v>
      </c>
      <c r="BK62" s="85">
        <f>BG65</f>
        <v>437544938</v>
      </c>
      <c r="BL62" s="84">
        <f t="shared" si="2"/>
        <v>437544938</v>
      </c>
      <c r="BM62" s="75">
        <f t="shared" si="1"/>
        <v>0</v>
      </c>
    </row>
    <row r="63" spans="1:65" ht="17.25" customHeight="1">
      <c r="A63" s="89">
        <v>911</v>
      </c>
      <c r="B63" s="79">
        <v>911</v>
      </c>
      <c r="C63" s="107"/>
      <c r="D63" s="105"/>
      <c r="E63" s="105"/>
      <c r="F63" s="105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>
        <f>111325080129-AV52-363636363+2223793454</f>
        <v>112632054176</v>
      </c>
      <c r="AW63" s="84"/>
      <c r="AX63" s="84"/>
      <c r="AY63" s="84">
        <f>BJ54</f>
        <v>3171069370</v>
      </c>
      <c r="AZ63" s="84"/>
      <c r="BA63" s="84"/>
      <c r="BB63" s="84"/>
      <c r="BC63" s="84"/>
      <c r="BD63" s="84"/>
      <c r="BE63" s="84"/>
      <c r="BF63" s="84">
        <f>BJ61</f>
        <v>769198104</v>
      </c>
      <c r="BG63" s="84"/>
      <c r="BH63" s="84"/>
      <c r="BI63" s="81"/>
      <c r="BJ63" s="82">
        <f t="shared" si="3"/>
        <v>116572321650</v>
      </c>
      <c r="BK63" s="88">
        <f>BH65</f>
        <v>116572321650</v>
      </c>
      <c r="BL63" s="84">
        <f t="shared" si="2"/>
        <v>116572321650</v>
      </c>
      <c r="BM63" s="75">
        <f>BK63-BL63</f>
        <v>0</v>
      </c>
    </row>
    <row r="64" spans="1:64" ht="17.25" customHeight="1">
      <c r="A64" s="90"/>
      <c r="B64" s="79"/>
      <c r="C64" s="104"/>
      <c r="D64" s="105"/>
      <c r="E64" s="105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1"/>
      <c r="BJ64" s="82">
        <f t="shared" si="3"/>
        <v>0</v>
      </c>
      <c r="BK64" s="85"/>
      <c r="BL64" s="84">
        <f t="shared" si="2"/>
        <v>0</v>
      </c>
    </row>
    <row r="65" spans="1:65" s="76" customFormat="1" ht="17.25" customHeight="1">
      <c r="A65" s="91" t="s">
        <v>7</v>
      </c>
      <c r="B65" s="92"/>
      <c r="C65" s="93">
        <f aca="true" t="shared" si="4" ref="C65:T65">SUM(C4:C64)</f>
        <v>69639855320</v>
      </c>
      <c r="D65" s="93">
        <f t="shared" si="4"/>
        <v>257235970924</v>
      </c>
      <c r="E65" s="93">
        <f t="shared" si="4"/>
        <v>286059</v>
      </c>
      <c r="F65" s="93">
        <f t="shared" si="4"/>
        <v>147000000000</v>
      </c>
      <c r="G65" s="93">
        <f t="shared" si="4"/>
        <v>179238974278</v>
      </c>
      <c r="H65" s="93">
        <f t="shared" si="4"/>
        <v>4315519784</v>
      </c>
      <c r="I65" s="93">
        <f t="shared" si="4"/>
        <v>10000000000</v>
      </c>
      <c r="J65" s="93">
        <f t="shared" si="4"/>
        <v>563000000</v>
      </c>
      <c r="K65" s="93">
        <f t="shared" si="4"/>
        <v>74750000</v>
      </c>
      <c r="L65" s="93">
        <f t="shared" si="4"/>
        <v>0</v>
      </c>
      <c r="M65" s="93">
        <f t="shared" si="4"/>
        <v>12131496739</v>
      </c>
      <c r="N65" s="93">
        <f t="shared" si="4"/>
        <v>225137988</v>
      </c>
      <c r="O65" s="93">
        <f t="shared" si="4"/>
        <v>129067171456</v>
      </c>
      <c r="P65" s="93">
        <f t="shared" si="4"/>
        <v>15989737023</v>
      </c>
      <c r="Q65" s="93">
        <f t="shared" si="4"/>
        <v>3429810236</v>
      </c>
      <c r="R65" s="93">
        <f t="shared" si="4"/>
        <v>0</v>
      </c>
      <c r="S65" s="93">
        <f t="shared" si="4"/>
        <v>1930014909</v>
      </c>
      <c r="T65" s="93">
        <f t="shared" si="4"/>
        <v>963913618</v>
      </c>
      <c r="U65" s="93"/>
      <c r="V65" s="93">
        <f aca="true" t="shared" si="5" ref="V65:BL65">SUM(V4:V64)</f>
        <v>11500000000</v>
      </c>
      <c r="W65" s="93">
        <f t="shared" si="5"/>
        <v>0</v>
      </c>
      <c r="X65" s="93">
        <f t="shared" si="5"/>
        <v>0</v>
      </c>
      <c r="Y65" s="93">
        <f t="shared" si="5"/>
        <v>10000000000</v>
      </c>
      <c r="Z65" s="93">
        <f t="shared" si="5"/>
        <v>59364341494</v>
      </c>
      <c r="AA65" s="93">
        <f t="shared" si="5"/>
        <v>11927753484</v>
      </c>
      <c r="AB65" s="93">
        <f t="shared" si="5"/>
        <v>1440361925</v>
      </c>
      <c r="AC65" s="93">
        <f t="shared" si="5"/>
        <v>17416186</v>
      </c>
      <c r="AD65" s="93">
        <f t="shared" si="5"/>
        <v>420675600</v>
      </c>
      <c r="AE65" s="93">
        <f t="shared" si="5"/>
        <v>10141027200</v>
      </c>
      <c r="AF65" s="93">
        <f t="shared" si="5"/>
        <v>0</v>
      </c>
      <c r="AG65" s="93">
        <f t="shared" si="5"/>
        <v>102883600</v>
      </c>
      <c r="AH65" s="93">
        <f t="shared" si="5"/>
        <v>1530837620</v>
      </c>
      <c r="AI65" s="93">
        <f t="shared" si="5"/>
        <v>237027779</v>
      </c>
      <c r="AJ65" s="93">
        <f t="shared" si="5"/>
        <v>2223793454</v>
      </c>
      <c r="AK65" s="93">
        <f t="shared" si="5"/>
        <v>22024625000</v>
      </c>
      <c r="AL65" s="93">
        <f t="shared" si="5"/>
        <v>103644415</v>
      </c>
      <c r="AM65" s="93">
        <f t="shared" si="5"/>
        <v>0</v>
      </c>
      <c r="AN65" s="93">
        <f t="shared" si="5"/>
        <v>0</v>
      </c>
      <c r="AO65" s="93">
        <f t="shared" si="5"/>
        <v>15400081</v>
      </c>
      <c r="AP65" s="93">
        <f t="shared" si="5"/>
        <v>0</v>
      </c>
      <c r="AQ65" s="93">
        <f t="shared" si="5"/>
        <v>0</v>
      </c>
      <c r="AR65" s="93">
        <f t="shared" si="5"/>
        <v>0</v>
      </c>
      <c r="AS65" s="93">
        <f t="shared" si="5"/>
        <v>5335833297</v>
      </c>
      <c r="AT65" s="93">
        <f t="shared" si="5"/>
        <v>408590000</v>
      </c>
      <c r="AU65" s="93">
        <f t="shared" si="5"/>
        <v>0</v>
      </c>
      <c r="AV65" s="93">
        <f t="shared" si="5"/>
        <v>113185237220</v>
      </c>
      <c r="AW65" s="93">
        <f t="shared" si="5"/>
        <v>553183044</v>
      </c>
      <c r="AX65" s="93">
        <f t="shared" si="5"/>
        <v>0</v>
      </c>
      <c r="AY65" s="93">
        <f t="shared" si="5"/>
        <v>3171069370</v>
      </c>
      <c r="AZ65" s="93">
        <f t="shared" si="5"/>
        <v>11266700349</v>
      </c>
      <c r="BA65" s="93">
        <f t="shared" si="5"/>
        <v>3159012352</v>
      </c>
      <c r="BB65" s="93">
        <f t="shared" si="5"/>
        <v>1564024322</v>
      </c>
      <c r="BC65" s="93">
        <f t="shared" si="5"/>
        <v>1696725547</v>
      </c>
      <c r="BD65" s="93">
        <f t="shared" si="5"/>
        <v>17290083403</v>
      </c>
      <c r="BE65" s="93">
        <f t="shared" si="5"/>
        <v>91812134465</v>
      </c>
      <c r="BF65" s="93">
        <f t="shared" si="5"/>
        <v>769198104</v>
      </c>
      <c r="BG65" s="93">
        <f t="shared" si="5"/>
        <v>437544938</v>
      </c>
      <c r="BH65" s="93">
        <f t="shared" si="5"/>
        <v>116572321650</v>
      </c>
      <c r="BI65" s="93">
        <f t="shared" si="5"/>
        <v>0</v>
      </c>
      <c r="BJ65" s="93">
        <f t="shared" si="5"/>
        <v>1330077084233</v>
      </c>
      <c r="BK65" s="92">
        <f t="shared" si="5"/>
        <v>1330077084233</v>
      </c>
      <c r="BL65" s="92">
        <f t="shared" si="5"/>
        <v>1330077084233</v>
      </c>
      <c r="BM65" s="76">
        <f>BM64-BM63</f>
        <v>0</v>
      </c>
    </row>
    <row r="66" spans="1:62" ht="17.25" customHeight="1">
      <c r="A66" s="94"/>
      <c r="D66" s="75">
        <f>D65+E65</f>
        <v>257236256983</v>
      </c>
      <c r="AZ66" s="170">
        <f>AZ65+BA65+BB65</f>
        <v>15989737023</v>
      </c>
      <c r="BA66" s="170"/>
      <c r="BB66" s="170"/>
      <c r="BE66" s="75">
        <f>BH60-BE65</f>
        <v>0</v>
      </c>
      <c r="BJ66" s="92">
        <f>SUM(BJ4:BJ64)</f>
        <v>1330077084233</v>
      </c>
    </row>
    <row r="67" spans="6:63" ht="17.25" customHeight="1">
      <c r="F67" s="95"/>
      <c r="G67" s="95"/>
      <c r="H67" s="95"/>
      <c r="I67" s="95"/>
      <c r="O67" s="75">
        <f>SUM(O55:O57)</f>
        <v>15989737023</v>
      </c>
      <c r="BJ67" s="76">
        <f>SUM(C65:BI65)</f>
        <v>1330077084233</v>
      </c>
      <c r="BK67" s="75">
        <f>BL65-BK65</f>
        <v>0</v>
      </c>
    </row>
    <row r="68" spans="6:64" ht="17.25" customHeight="1">
      <c r="F68" s="95"/>
      <c r="G68" s="95"/>
      <c r="H68" s="95"/>
      <c r="I68" s="95"/>
      <c r="BH68" s="75">
        <f>BK60-BH60</f>
        <v>0</v>
      </c>
      <c r="BL68" s="75">
        <f>BJ59-11692420706</f>
        <v>5597662697</v>
      </c>
    </row>
    <row r="69" spans="6:16" ht="17.25" customHeight="1">
      <c r="F69" s="95"/>
      <c r="G69" s="95"/>
      <c r="H69" s="95"/>
      <c r="I69" s="95"/>
      <c r="P69" s="75" t="e">
        <f>#REF!+#REF!</f>
        <v>#REF!</v>
      </c>
    </row>
    <row r="70" spans="6:9" ht="17.25" customHeight="1">
      <c r="F70" s="95"/>
      <c r="G70" s="95"/>
      <c r="H70" s="95"/>
      <c r="I70" s="95"/>
    </row>
    <row r="71" spans="6:9" ht="17.25" customHeight="1" thickBot="1">
      <c r="F71" s="142"/>
      <c r="G71" s="142"/>
      <c r="H71" s="142"/>
      <c r="I71" s="95"/>
    </row>
    <row r="72" spans="6:56" ht="17.25" customHeight="1">
      <c r="F72" s="141" t="s">
        <v>228</v>
      </c>
      <c r="G72" s="141">
        <v>2494837283</v>
      </c>
      <c r="H72" s="141">
        <v>9308554416</v>
      </c>
      <c r="I72" s="75" t="s">
        <v>236</v>
      </c>
      <c r="AZ72" s="108"/>
      <c r="BA72" s="108"/>
      <c r="BB72" s="96"/>
      <c r="BC72" s="96"/>
      <c r="BD72" s="96"/>
    </row>
    <row r="73" spans="5:56" ht="17.25" customHeight="1">
      <c r="E73" s="75" t="s">
        <v>232</v>
      </c>
      <c r="F73" s="113" t="s">
        <v>237</v>
      </c>
      <c r="G73" s="113">
        <v>973082727</v>
      </c>
      <c r="H73" s="113">
        <v>1068310586</v>
      </c>
      <c r="AZ73" s="109"/>
      <c r="BA73" s="109"/>
      <c r="BB73" s="97"/>
      <c r="BC73" s="97"/>
      <c r="BD73" s="97"/>
    </row>
    <row r="74" spans="5:56" ht="17.25" customHeight="1">
      <c r="E74" s="75" t="s">
        <v>235</v>
      </c>
      <c r="F74" s="113" t="s">
        <v>229</v>
      </c>
      <c r="G74" s="113">
        <v>620406328</v>
      </c>
      <c r="H74" s="113">
        <v>684231612</v>
      </c>
      <c r="AZ74" s="109"/>
      <c r="BA74" s="109"/>
      <c r="BB74" s="98"/>
      <c r="BC74" s="98"/>
      <c r="BD74" s="97"/>
    </row>
    <row r="75" spans="6:56" ht="17.25" customHeight="1">
      <c r="F75" s="113" t="s">
        <v>234</v>
      </c>
      <c r="G75" s="113"/>
      <c r="H75" s="113">
        <v>9873636359</v>
      </c>
      <c r="AZ75" s="109"/>
      <c r="BA75" s="109"/>
      <c r="BB75" s="98"/>
      <c r="BC75" s="98"/>
      <c r="BD75" s="97"/>
    </row>
    <row r="76" spans="6:56" ht="17.25" customHeight="1">
      <c r="F76" s="113" t="s">
        <v>230</v>
      </c>
      <c r="G76" s="113">
        <v>1448746218</v>
      </c>
      <c r="H76" s="113">
        <v>582106744</v>
      </c>
      <c r="AZ76" s="109"/>
      <c r="BA76" s="109"/>
      <c r="BB76" s="98"/>
      <c r="BC76" s="98"/>
      <c r="BD76" s="97"/>
    </row>
    <row r="77" spans="6:56" ht="17.25" customHeight="1">
      <c r="F77" s="113" t="s">
        <v>231</v>
      </c>
      <c r="G77" s="113"/>
      <c r="H77" s="113">
        <v>18066593454</v>
      </c>
      <c r="AZ77" s="109"/>
      <c r="BA77" s="109"/>
      <c r="BB77" s="98"/>
      <c r="BC77" s="98"/>
      <c r="BD77" s="97"/>
    </row>
    <row r="78" spans="5:56" ht="17.25" customHeight="1">
      <c r="E78" s="75" t="s">
        <v>233</v>
      </c>
      <c r="F78" s="113">
        <f>G78+H78</f>
        <v>45120505727</v>
      </c>
      <c r="G78" s="114">
        <f>SUM(G72:G77)</f>
        <v>5537072556</v>
      </c>
      <c r="H78" s="114">
        <f>SUM(H72:H77)</f>
        <v>39583433171</v>
      </c>
      <c r="AZ78" s="109"/>
      <c r="BA78" s="109"/>
      <c r="BB78" s="98"/>
      <c r="BC78" s="98"/>
      <c r="BD78" s="97"/>
    </row>
    <row r="79" spans="6:56" ht="17.25" customHeight="1">
      <c r="F79" s="113"/>
      <c r="G79" s="113"/>
      <c r="H79" s="113"/>
      <c r="AZ79" s="109"/>
      <c r="BA79" s="109"/>
      <c r="BB79" s="98"/>
      <c r="BC79" s="98"/>
      <c r="BD79" s="97"/>
    </row>
    <row r="80" spans="52:56" ht="17.25" customHeight="1">
      <c r="AZ80" s="109"/>
      <c r="BA80" s="109"/>
      <c r="BB80" s="98"/>
      <c r="BC80" s="98"/>
      <c r="BD80" s="97"/>
    </row>
    <row r="81" spans="52:56" ht="17.25" customHeight="1">
      <c r="AZ81" s="109"/>
      <c r="BA81" s="109"/>
      <c r="BB81" s="98"/>
      <c r="BC81" s="98"/>
      <c r="BD81" s="97"/>
    </row>
    <row r="82" spans="52:56" ht="17.25" customHeight="1">
      <c r="AZ82" s="109"/>
      <c r="BA82" s="109"/>
      <c r="BB82" s="98"/>
      <c r="BC82" s="98"/>
      <c r="BD82" s="97"/>
    </row>
    <row r="83" spans="52:56" ht="17.25" customHeight="1">
      <c r="AZ83" s="109"/>
      <c r="BA83" s="109"/>
      <c r="BB83" s="98"/>
      <c r="BC83" s="98"/>
      <c r="BD83" s="97"/>
    </row>
    <row r="84" spans="52:56" ht="17.25" customHeight="1">
      <c r="AZ84" s="109"/>
      <c r="BA84" s="109"/>
      <c r="BB84" s="98"/>
      <c r="BC84" s="98"/>
      <c r="BD84" s="97"/>
    </row>
    <row r="85" spans="52:56" ht="17.25" customHeight="1">
      <c r="AZ85" s="109"/>
      <c r="BA85" s="109"/>
      <c r="BB85" s="98"/>
      <c r="BC85" s="98"/>
      <c r="BD85" s="97"/>
    </row>
    <row r="86" spans="52:56" ht="17.25" customHeight="1">
      <c r="AZ86" s="109"/>
      <c r="BA86" s="110"/>
      <c r="BB86" s="98"/>
      <c r="BC86" s="98"/>
      <c r="BD86" s="97"/>
    </row>
    <row r="87" spans="52:56" ht="17.25" customHeight="1">
      <c r="AZ87" s="109"/>
      <c r="BA87" s="111"/>
      <c r="BB87" s="99"/>
      <c r="BC87" s="99"/>
      <c r="BD87" s="100"/>
    </row>
    <row r="88" spans="52:56" ht="17.25" customHeight="1">
      <c r="AZ88" s="95"/>
      <c r="BA88" s="95"/>
      <c r="BB88" s="95"/>
      <c r="BC88" s="95"/>
      <c r="BD88" s="95"/>
    </row>
  </sheetData>
  <mergeCells count="2">
    <mergeCell ref="AZ66:BB66"/>
    <mergeCell ref="A1:N1"/>
  </mergeCells>
  <printOptions/>
  <pageMargins left="0.73" right="0.2" top="0.29" bottom="0.24" header="0.29" footer="0.25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88"/>
  <sheetViews>
    <sheetView tabSelected="1" workbookViewId="0" topLeftCell="A1">
      <pane xSplit="2" ySplit="3" topLeftCell="AZ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29" sqref="BE29"/>
    </sheetView>
  </sheetViews>
  <sheetFormatPr defaultColWidth="9.00390625" defaultRowHeight="17.25" customHeight="1"/>
  <cols>
    <col min="1" max="1" width="8.125" style="75" customWidth="1"/>
    <col min="2" max="2" width="6.75390625" style="75" customWidth="1"/>
    <col min="3" max="3" width="14.75390625" style="75" customWidth="1"/>
    <col min="4" max="4" width="16.375" style="75" customWidth="1"/>
    <col min="5" max="5" width="14.75390625" style="75" customWidth="1"/>
    <col min="6" max="6" width="16.25390625" style="75" customWidth="1"/>
    <col min="7" max="7" width="16.75390625" style="75" customWidth="1"/>
    <col min="8" max="14" width="14.75390625" style="75" customWidth="1"/>
    <col min="15" max="15" width="17.875" style="75" customWidth="1"/>
    <col min="16" max="47" width="14.75390625" style="75" customWidth="1"/>
    <col min="48" max="48" width="17.00390625" style="75" customWidth="1"/>
    <col min="49" max="59" width="14.75390625" style="75" customWidth="1"/>
    <col min="60" max="60" width="17.00390625" style="75" customWidth="1"/>
    <col min="61" max="61" width="14.75390625" style="75" customWidth="1"/>
    <col min="62" max="62" width="17.375" style="76" customWidth="1"/>
    <col min="63" max="63" width="17.125" style="75" customWidth="1"/>
    <col min="64" max="64" width="18.75390625" style="75" customWidth="1"/>
    <col min="65" max="16384" width="14.75390625" style="75" customWidth="1"/>
  </cols>
  <sheetData>
    <row r="1" spans="1:16" ht="17.25" customHeight="1">
      <c r="A1" s="171" t="s">
        <v>262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ht="9.75" customHeight="1">
      <c r="O2" s="75" t="s">
        <v>206</v>
      </c>
    </row>
    <row r="3" spans="1:64" s="77" customFormat="1" ht="19.5" customHeight="1">
      <c r="A3" s="78"/>
      <c r="B3" s="79" t="s">
        <v>0</v>
      </c>
      <c r="C3" s="79">
        <v>111</v>
      </c>
      <c r="D3" s="101">
        <v>1121</v>
      </c>
      <c r="E3" s="101">
        <v>1122</v>
      </c>
      <c r="F3" s="79">
        <v>128</v>
      </c>
      <c r="G3" s="79">
        <v>131</v>
      </c>
      <c r="H3" s="79">
        <v>133</v>
      </c>
      <c r="I3" s="79">
        <v>1388</v>
      </c>
      <c r="J3" s="79">
        <v>141</v>
      </c>
      <c r="K3" s="79">
        <v>142</v>
      </c>
      <c r="L3" s="79">
        <v>144</v>
      </c>
      <c r="M3" s="79">
        <v>152</v>
      </c>
      <c r="N3" s="79">
        <v>153</v>
      </c>
      <c r="O3" s="79">
        <v>154</v>
      </c>
      <c r="P3" s="79">
        <v>155</v>
      </c>
      <c r="Q3" s="79">
        <v>156</v>
      </c>
      <c r="R3" s="79">
        <v>159</v>
      </c>
      <c r="S3" s="79">
        <v>211</v>
      </c>
      <c r="T3" s="79">
        <v>214</v>
      </c>
      <c r="U3" s="79">
        <v>221</v>
      </c>
      <c r="V3" s="79">
        <v>222</v>
      </c>
      <c r="W3" s="79">
        <v>241</v>
      </c>
      <c r="X3" s="79">
        <v>242</v>
      </c>
      <c r="Y3" s="79">
        <v>311</v>
      </c>
      <c r="Z3" s="79">
        <v>331</v>
      </c>
      <c r="AA3" s="79">
        <v>3331</v>
      </c>
      <c r="AB3" s="79">
        <v>3334</v>
      </c>
      <c r="AC3" s="79">
        <v>3335</v>
      </c>
      <c r="AD3" s="79">
        <v>3337</v>
      </c>
      <c r="AE3" s="79">
        <v>334</v>
      </c>
      <c r="AF3" s="79">
        <v>3381</v>
      </c>
      <c r="AG3" s="79">
        <v>3382</v>
      </c>
      <c r="AH3" s="79">
        <v>3383</v>
      </c>
      <c r="AI3" s="79">
        <v>3384</v>
      </c>
      <c r="AJ3" s="79">
        <v>3387</v>
      </c>
      <c r="AK3" s="79">
        <v>3388</v>
      </c>
      <c r="AL3" s="79">
        <v>3389</v>
      </c>
      <c r="AM3" s="79">
        <v>351</v>
      </c>
      <c r="AN3" s="79">
        <v>411</v>
      </c>
      <c r="AO3" s="79">
        <v>413</v>
      </c>
      <c r="AP3" s="79">
        <v>414</v>
      </c>
      <c r="AQ3" s="79">
        <v>415</v>
      </c>
      <c r="AR3" s="79">
        <v>418</v>
      </c>
      <c r="AS3" s="79">
        <v>421</v>
      </c>
      <c r="AT3" s="79">
        <v>353</v>
      </c>
      <c r="AU3" s="79">
        <v>441</v>
      </c>
      <c r="AV3" s="79">
        <v>511</v>
      </c>
      <c r="AW3" s="79">
        <v>531</v>
      </c>
      <c r="AX3" s="79">
        <v>532</v>
      </c>
      <c r="AY3" s="79">
        <v>515</v>
      </c>
      <c r="AZ3" s="79" t="s">
        <v>1</v>
      </c>
      <c r="BA3" s="79" t="s">
        <v>215</v>
      </c>
      <c r="BB3" s="79" t="s">
        <v>3</v>
      </c>
      <c r="BC3" s="79">
        <v>641</v>
      </c>
      <c r="BD3" s="79">
        <v>642</v>
      </c>
      <c r="BE3" s="79">
        <v>632</v>
      </c>
      <c r="BF3" s="79">
        <v>711</v>
      </c>
      <c r="BG3" s="79">
        <v>811</v>
      </c>
      <c r="BH3" s="79">
        <v>911</v>
      </c>
      <c r="BI3" s="79"/>
      <c r="BJ3" s="79" t="s">
        <v>4</v>
      </c>
      <c r="BK3" s="79" t="s">
        <v>5</v>
      </c>
      <c r="BL3" s="80" t="s">
        <v>6</v>
      </c>
    </row>
    <row r="4" spans="1:65" ht="16.5" customHeight="1">
      <c r="A4" s="102">
        <v>1111</v>
      </c>
      <c r="B4" s="79">
        <v>1111</v>
      </c>
      <c r="C4" s="103"/>
      <c r="D4" s="103">
        <v>20017500000</v>
      </c>
      <c r="E4" s="81"/>
      <c r="F4" s="81">
        <v>1000000000</v>
      </c>
      <c r="G4" s="81">
        <v>5865147500</v>
      </c>
      <c r="H4" s="81">
        <v>305759458</v>
      </c>
      <c r="I4" s="81"/>
      <c r="J4" s="81">
        <v>563000000</v>
      </c>
      <c r="K4" s="81">
        <v>74750000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>
        <v>3100000000</v>
      </c>
      <c r="W4" s="81"/>
      <c r="X4" s="81"/>
      <c r="Y4" s="81">
        <v>10000000000</v>
      </c>
      <c r="Z4" s="81">
        <v>14083905498</v>
      </c>
      <c r="AA4" s="81"/>
      <c r="AB4" s="81"/>
      <c r="AC4" s="81"/>
      <c r="AD4" s="81"/>
      <c r="AE4" s="81">
        <v>8948785090</v>
      </c>
      <c r="AF4" s="81"/>
      <c r="AG4" s="81">
        <v>102883600</v>
      </c>
      <c r="AH4" s="81">
        <v>49044275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>
        <v>298590000</v>
      </c>
      <c r="AU4" s="81"/>
      <c r="AV4" s="81"/>
      <c r="AW4" s="81"/>
      <c r="AX4" s="81"/>
      <c r="AY4" s="81"/>
      <c r="AZ4" s="81">
        <v>241403300</v>
      </c>
      <c r="BA4" s="81">
        <v>134240400</v>
      </c>
      <c r="BB4" s="81">
        <v>47681792</v>
      </c>
      <c r="BC4" s="81">
        <v>234566730</v>
      </c>
      <c r="BD4" s="81">
        <v>4130765239</v>
      </c>
      <c r="BE4" s="81"/>
      <c r="BF4" s="81"/>
      <c r="BG4" s="81"/>
      <c r="BH4" s="81"/>
      <c r="BI4" s="81"/>
      <c r="BJ4" s="82">
        <f aca="true" t="shared" si="0" ref="BJ4:BJ64">SUM(C4:BI4)</f>
        <v>69198022882</v>
      </c>
      <c r="BK4" s="82">
        <f>C65</f>
        <v>69639855320</v>
      </c>
      <c r="BL4" s="103">
        <f>BJ4</f>
        <v>69198022882</v>
      </c>
      <c r="BM4" s="75">
        <f>BK4-BL4</f>
        <v>441832438</v>
      </c>
    </row>
    <row r="5" spans="1:65" ht="16.5" customHeight="1">
      <c r="A5" s="83">
        <v>1121</v>
      </c>
      <c r="B5" s="79">
        <v>1121</v>
      </c>
      <c r="C5" s="104"/>
      <c r="D5" s="84"/>
      <c r="E5" s="84"/>
      <c r="F5" s="84">
        <v>146000000000</v>
      </c>
      <c r="G5" s="84"/>
      <c r="H5" s="84">
        <v>3936336300</v>
      </c>
      <c r="I5" s="84">
        <v>10000000000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>
        <v>41270544933</v>
      </c>
      <c r="AA5" s="84">
        <v>7612233700</v>
      </c>
      <c r="AB5" s="84">
        <v>1440361925</v>
      </c>
      <c r="AC5" s="84">
        <v>17416186</v>
      </c>
      <c r="AD5" s="84">
        <v>420675600</v>
      </c>
      <c r="AE5" s="84">
        <v>1192242110</v>
      </c>
      <c r="AF5" s="84"/>
      <c r="AG5" s="84"/>
      <c r="AH5" s="84">
        <v>1481793345</v>
      </c>
      <c r="AI5" s="84">
        <v>237027779</v>
      </c>
      <c r="AJ5" s="84"/>
      <c r="AK5" s="84">
        <v>22024625000</v>
      </c>
      <c r="AL5" s="84">
        <v>103644415</v>
      </c>
      <c r="AM5" s="84"/>
      <c r="AN5" s="84"/>
      <c r="AO5" s="84"/>
      <c r="AP5" s="84"/>
      <c r="AQ5" s="84"/>
      <c r="AR5" s="84"/>
      <c r="AS5" s="84">
        <v>823045</v>
      </c>
      <c r="AT5" s="84">
        <v>110000000</v>
      </c>
      <c r="AU5" s="84"/>
      <c r="AV5" s="84"/>
      <c r="AW5" s="84"/>
      <c r="AX5" s="84"/>
      <c r="AY5" s="84"/>
      <c r="AZ5" s="84">
        <v>8042130</v>
      </c>
      <c r="BA5" s="84">
        <v>100592045</v>
      </c>
      <c r="BB5" s="84"/>
      <c r="BC5" s="84">
        <v>12757431</v>
      </c>
      <c r="BD5" s="84">
        <v>5340718027</v>
      </c>
      <c r="BE5" s="84"/>
      <c r="BF5" s="84"/>
      <c r="BG5" s="84">
        <v>11509136</v>
      </c>
      <c r="BH5" s="84"/>
      <c r="BI5" s="81"/>
      <c r="BJ5" s="82">
        <f t="shared" si="0"/>
        <v>241321343107</v>
      </c>
      <c r="BK5" s="85">
        <f>D65</f>
        <v>257235970924</v>
      </c>
      <c r="BL5" s="84">
        <f>BJ5</f>
        <v>241321343107</v>
      </c>
      <c r="BM5" s="75">
        <f aca="true" t="shared" si="1" ref="BM5:BM62">BK5-BL5</f>
        <v>15914627817</v>
      </c>
    </row>
    <row r="6" spans="1:64" ht="16.5" customHeight="1">
      <c r="A6" s="83">
        <v>1122</v>
      </c>
      <c r="B6" s="79">
        <v>1122</v>
      </c>
      <c r="C6" s="104"/>
      <c r="D6" s="105"/>
      <c r="E6" s="105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1"/>
      <c r="BJ6" s="82">
        <f t="shared" si="0"/>
        <v>0</v>
      </c>
      <c r="BK6" s="85">
        <f>E65</f>
        <v>286059</v>
      </c>
      <c r="BL6" s="84">
        <f>BJ6</f>
        <v>0</v>
      </c>
    </row>
    <row r="7" spans="1:65" ht="16.5" customHeight="1">
      <c r="A7" s="83">
        <v>128</v>
      </c>
      <c r="B7" s="79">
        <v>128</v>
      </c>
      <c r="C7" s="104"/>
      <c r="D7" s="105">
        <v>123000000000</v>
      </c>
      <c r="E7" s="105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1"/>
      <c r="BJ7" s="82">
        <f t="shared" si="0"/>
        <v>123000000000</v>
      </c>
      <c r="BK7" s="85">
        <f>F65</f>
        <v>147000000000</v>
      </c>
      <c r="BL7" s="84">
        <f aca="true" t="shared" si="2" ref="BL7:BL64">BJ7</f>
        <v>123000000000</v>
      </c>
      <c r="BM7" s="75">
        <f t="shared" si="1"/>
        <v>24000000000</v>
      </c>
    </row>
    <row r="8" spans="1:65" ht="16.5" customHeight="1">
      <c r="A8" s="83">
        <v>131</v>
      </c>
      <c r="B8" s="79">
        <v>131</v>
      </c>
      <c r="C8" s="104">
        <f>65393778530+3100000000</f>
        <v>68493778530</v>
      </c>
      <c r="D8" s="105">
        <v>69334344571</v>
      </c>
      <c r="E8" s="105"/>
      <c r="F8" s="84"/>
      <c r="G8" s="84"/>
      <c r="H8" s="162">
        <f>16928956-16928956</f>
        <v>0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162">
        <v>16928956</v>
      </c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>
        <v>553183044</v>
      </c>
      <c r="AX8" s="84"/>
      <c r="AY8" s="84"/>
      <c r="AZ8" s="84"/>
      <c r="BA8" s="84"/>
      <c r="BB8" s="84"/>
      <c r="BC8" s="84"/>
      <c r="BD8" s="84"/>
      <c r="BE8" s="84"/>
      <c r="BF8" s="84"/>
      <c r="BG8" s="84">
        <v>200</v>
      </c>
      <c r="BH8" s="84"/>
      <c r="BI8" s="81"/>
      <c r="BJ8" s="82">
        <f t="shared" si="0"/>
        <v>138398235301</v>
      </c>
      <c r="BK8" s="85">
        <f>G65</f>
        <v>170439037537</v>
      </c>
      <c r="BL8" s="84">
        <f t="shared" si="2"/>
        <v>138398235301</v>
      </c>
      <c r="BM8" s="75">
        <f t="shared" si="1"/>
        <v>32040802236</v>
      </c>
    </row>
    <row r="9" spans="1:65" ht="16.5" customHeight="1">
      <c r="A9" s="83">
        <v>133</v>
      </c>
      <c r="B9" s="79">
        <v>133</v>
      </c>
      <c r="C9" s="104"/>
      <c r="D9" s="105"/>
      <c r="E9" s="105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>
        <f>H65</f>
        <v>4298590828</v>
      </c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164"/>
      <c r="BE9" s="84"/>
      <c r="BF9" s="84"/>
      <c r="BG9" s="84"/>
      <c r="BH9" s="84"/>
      <c r="BI9" s="81"/>
      <c r="BJ9" s="82">
        <f t="shared" si="0"/>
        <v>4298590828</v>
      </c>
      <c r="BK9" s="85">
        <f>H65</f>
        <v>4298590828</v>
      </c>
      <c r="BL9" s="84">
        <f t="shared" si="2"/>
        <v>4298590828</v>
      </c>
      <c r="BM9" s="75">
        <f t="shared" si="1"/>
        <v>0</v>
      </c>
    </row>
    <row r="10" spans="1:65" ht="16.5" customHeight="1">
      <c r="A10" s="83">
        <v>1388</v>
      </c>
      <c r="B10" s="79">
        <v>1388</v>
      </c>
      <c r="C10" s="104"/>
      <c r="D10" s="105">
        <v>10000000000</v>
      </c>
      <c r="E10" s="105"/>
      <c r="F10" s="84"/>
      <c r="G10" s="84"/>
      <c r="H10" s="84"/>
      <c r="I10" s="84"/>
      <c r="J10" s="84"/>
      <c r="K10" s="84"/>
      <c r="L10" s="84"/>
      <c r="M10" s="84"/>
      <c r="N10" s="84"/>
      <c r="O10" s="84">
        <v>38321021190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1"/>
      <c r="BJ10" s="82">
        <f t="shared" si="0"/>
        <v>48321021190</v>
      </c>
      <c r="BK10" s="85">
        <f>I65</f>
        <v>10000000000</v>
      </c>
      <c r="BL10" s="84">
        <f t="shared" si="2"/>
        <v>48321021190</v>
      </c>
      <c r="BM10" s="75">
        <f t="shared" si="1"/>
        <v>-38321021190</v>
      </c>
    </row>
    <row r="11" spans="1:65" ht="16.5" customHeight="1">
      <c r="A11" s="83">
        <v>141</v>
      </c>
      <c r="B11" s="79">
        <v>141</v>
      </c>
      <c r="C11" s="104">
        <v>671864500</v>
      </c>
      <c r="D11" s="105"/>
      <c r="E11" s="105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1"/>
      <c r="BJ11" s="82">
        <f t="shared" si="0"/>
        <v>671864500</v>
      </c>
      <c r="BK11" s="85">
        <f>J65</f>
        <v>563000000</v>
      </c>
      <c r="BL11" s="84">
        <f t="shared" si="2"/>
        <v>671864500</v>
      </c>
      <c r="BM11" s="75">
        <f t="shared" si="1"/>
        <v>-108864500</v>
      </c>
    </row>
    <row r="12" spans="1:65" ht="16.5" customHeight="1">
      <c r="A12" s="83">
        <v>142</v>
      </c>
      <c r="B12" s="79">
        <v>142</v>
      </c>
      <c r="C12" s="104"/>
      <c r="D12" s="105"/>
      <c r="E12" s="105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>
        <v>16785000</v>
      </c>
      <c r="BA12" s="84"/>
      <c r="BB12" s="84"/>
      <c r="BC12" s="84">
        <v>31454547</v>
      </c>
      <c r="BD12" s="84">
        <v>74750000</v>
      </c>
      <c r="BE12" s="84"/>
      <c r="BF12" s="84"/>
      <c r="BG12" s="84"/>
      <c r="BH12" s="84"/>
      <c r="BI12" s="81"/>
      <c r="BJ12" s="82">
        <f t="shared" si="0"/>
        <v>122989547</v>
      </c>
      <c r="BK12" s="85">
        <f>K65</f>
        <v>74750000</v>
      </c>
      <c r="BL12" s="84">
        <f t="shared" si="2"/>
        <v>122989547</v>
      </c>
      <c r="BM12" s="75">
        <f t="shared" si="1"/>
        <v>-48239547</v>
      </c>
    </row>
    <row r="13" spans="1:65" ht="16.5" customHeight="1">
      <c r="A13" s="83">
        <v>144</v>
      </c>
      <c r="B13" s="79">
        <v>144</v>
      </c>
      <c r="C13" s="104"/>
      <c r="D13" s="105"/>
      <c r="E13" s="10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1"/>
      <c r="BJ13" s="82">
        <f t="shared" si="0"/>
        <v>0</v>
      </c>
      <c r="BK13" s="85">
        <f>L65</f>
        <v>0</v>
      </c>
      <c r="BL13" s="84">
        <f t="shared" si="2"/>
        <v>0</v>
      </c>
      <c r="BM13" s="75">
        <f t="shared" si="1"/>
        <v>0</v>
      </c>
    </row>
    <row r="14" spans="1:65" ht="16.5" customHeight="1">
      <c r="A14" s="83">
        <v>152</v>
      </c>
      <c r="B14" s="79">
        <v>152</v>
      </c>
      <c r="C14" s="104"/>
      <c r="D14" s="105"/>
      <c r="E14" s="10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>
        <v>3642004288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>
        <v>7008092594</v>
      </c>
      <c r="BA14" s="84">
        <v>1838175879</v>
      </c>
      <c r="BB14" s="84">
        <v>951048318</v>
      </c>
      <c r="BC14" s="84"/>
      <c r="BD14" s="84"/>
      <c r="BE14" s="84"/>
      <c r="BF14" s="84"/>
      <c r="BG14" s="84"/>
      <c r="BH14" s="84"/>
      <c r="BI14" s="81"/>
      <c r="BJ14" s="82">
        <f t="shared" si="0"/>
        <v>13439321079</v>
      </c>
      <c r="BK14" s="85">
        <f>M65</f>
        <v>12131496739</v>
      </c>
      <c r="BL14" s="84">
        <f t="shared" si="2"/>
        <v>13439321079</v>
      </c>
      <c r="BM14" s="75">
        <f t="shared" si="1"/>
        <v>-1307824340</v>
      </c>
    </row>
    <row r="15" spans="1:65" ht="16.5" customHeight="1">
      <c r="A15" s="83">
        <v>153</v>
      </c>
      <c r="B15" s="79">
        <v>153</v>
      </c>
      <c r="C15" s="104"/>
      <c r="D15" s="105"/>
      <c r="E15" s="10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>
        <v>343846775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>
        <v>50000000</v>
      </c>
      <c r="BA15" s="84">
        <v>30792000</v>
      </c>
      <c r="BB15" s="84">
        <v>3500000</v>
      </c>
      <c r="BC15" s="84">
        <v>25000000</v>
      </c>
      <c r="BD15" s="84">
        <v>50000000</v>
      </c>
      <c r="BE15" s="84"/>
      <c r="BF15" s="84"/>
      <c r="BG15" s="84"/>
      <c r="BH15" s="84"/>
      <c r="BI15" s="81"/>
      <c r="BJ15" s="82">
        <f t="shared" si="0"/>
        <v>503138775</v>
      </c>
      <c r="BK15" s="85">
        <f>N65</f>
        <v>225137988</v>
      </c>
      <c r="BL15" s="84">
        <f t="shared" si="2"/>
        <v>503138775</v>
      </c>
      <c r="BM15" s="75">
        <f t="shared" si="1"/>
        <v>-278000787</v>
      </c>
    </row>
    <row r="16" spans="1:65" ht="16.5" customHeight="1">
      <c r="A16" s="83">
        <v>154</v>
      </c>
      <c r="B16" s="79">
        <v>154</v>
      </c>
      <c r="C16" s="104"/>
      <c r="D16" s="105"/>
      <c r="E16" s="10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>
        <v>15989737023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162">
        <f>21962646780+449037257+2040450140+6974170058+76795744+36733529172+1060133545+1881622346+2223793454-7037358043-2223793454</f>
        <v>64141026999</v>
      </c>
      <c r="BF16" s="84"/>
      <c r="BG16" s="84"/>
      <c r="BH16" s="84"/>
      <c r="BI16" s="81"/>
      <c r="BJ16" s="82">
        <f t="shared" si="0"/>
        <v>80130764022</v>
      </c>
      <c r="BK16" s="85">
        <f>O65</f>
        <v>122029813413</v>
      </c>
      <c r="BL16" s="84">
        <f>BJ16</f>
        <v>80130764022</v>
      </c>
      <c r="BM16" s="75">
        <f t="shared" si="1"/>
        <v>41899049391</v>
      </c>
    </row>
    <row r="17" spans="1:65" ht="16.5" customHeight="1">
      <c r="A17" s="83">
        <v>155</v>
      </c>
      <c r="B17" s="79">
        <v>155</v>
      </c>
      <c r="C17" s="104"/>
      <c r="D17" s="105"/>
      <c r="E17" s="105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>
        <v>15513802400</v>
      </c>
      <c r="BF17" s="84"/>
      <c r="BG17" s="84"/>
      <c r="BH17" s="84"/>
      <c r="BI17" s="81"/>
      <c r="BJ17" s="82">
        <f t="shared" si="0"/>
        <v>15513802400</v>
      </c>
      <c r="BK17" s="85">
        <f>P65</f>
        <v>15989737023</v>
      </c>
      <c r="BL17" s="84">
        <f t="shared" si="2"/>
        <v>15513802400</v>
      </c>
      <c r="BM17" s="75">
        <f t="shared" si="1"/>
        <v>475934623</v>
      </c>
    </row>
    <row r="18" spans="1:65" ht="16.5" customHeight="1">
      <c r="A18" s="83">
        <v>156</v>
      </c>
      <c r="B18" s="79">
        <v>156</v>
      </c>
      <c r="C18" s="104"/>
      <c r="D18" s="105"/>
      <c r="E18" s="105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>
        <v>2896153569</v>
      </c>
      <c r="BF18" s="84"/>
      <c r="BG18" s="84"/>
      <c r="BH18" s="84"/>
      <c r="BI18" s="81"/>
      <c r="BJ18" s="82">
        <f t="shared" si="0"/>
        <v>2896153569</v>
      </c>
      <c r="BK18" s="85">
        <f>Q65</f>
        <v>3429810236</v>
      </c>
      <c r="BL18" s="84">
        <f t="shared" si="2"/>
        <v>2896153569</v>
      </c>
      <c r="BM18" s="75">
        <f t="shared" si="1"/>
        <v>533656667</v>
      </c>
    </row>
    <row r="19" spans="1:65" ht="16.5" customHeight="1">
      <c r="A19" s="83">
        <v>159</v>
      </c>
      <c r="B19" s="79">
        <v>159</v>
      </c>
      <c r="C19" s="104"/>
      <c r="D19" s="105"/>
      <c r="E19" s="105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1"/>
      <c r="BJ19" s="82">
        <f t="shared" si="0"/>
        <v>0</v>
      </c>
      <c r="BK19" s="85">
        <f>R65</f>
        <v>0</v>
      </c>
      <c r="BL19" s="84">
        <f t="shared" si="2"/>
        <v>0</v>
      </c>
      <c r="BM19" s="75">
        <f t="shared" si="1"/>
        <v>0</v>
      </c>
    </row>
    <row r="20" spans="1:65" ht="16.5" customHeight="1">
      <c r="A20" s="83">
        <v>211</v>
      </c>
      <c r="B20" s="79">
        <v>211</v>
      </c>
      <c r="C20" s="104"/>
      <c r="D20" s="105"/>
      <c r="E20" s="105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>
        <v>533656667</v>
      </c>
      <c r="R20" s="84"/>
      <c r="S20" s="84"/>
      <c r="T20" s="84">
        <f>598887974+289914913+75110731</f>
        <v>963913618</v>
      </c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>
        <f>129692192+253617285+42726125</f>
        <v>426035602</v>
      </c>
      <c r="BH20" s="84"/>
      <c r="BI20" s="81"/>
      <c r="BJ20" s="82">
        <f t="shared" si="0"/>
        <v>1923605887</v>
      </c>
      <c r="BK20" s="85">
        <f>S65</f>
        <v>1930014909</v>
      </c>
      <c r="BL20" s="84">
        <f t="shared" si="2"/>
        <v>1923605887</v>
      </c>
      <c r="BM20" s="75">
        <f t="shared" si="1"/>
        <v>6409022</v>
      </c>
    </row>
    <row r="21" spans="1:71" ht="16.5" customHeight="1">
      <c r="A21" s="83">
        <v>214</v>
      </c>
      <c r="B21" s="79">
        <v>214</v>
      </c>
      <c r="C21" s="104"/>
      <c r="D21" s="105"/>
      <c r="E21" s="105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>
        <v>293474821</v>
      </c>
      <c r="BA21" s="84">
        <v>92871240</v>
      </c>
      <c r="BB21" s="84">
        <v>7000000</v>
      </c>
      <c r="BC21" s="84">
        <v>234313998</v>
      </c>
      <c r="BD21" s="84">
        <v>537332300</v>
      </c>
      <c r="BE21" s="84"/>
      <c r="BF21" s="84"/>
      <c r="BG21" s="84"/>
      <c r="BH21" s="84"/>
      <c r="BI21" s="81"/>
      <c r="BJ21" s="82">
        <f t="shared" si="0"/>
        <v>1164992359</v>
      </c>
      <c r="BK21" s="85">
        <f>T65</f>
        <v>963913618</v>
      </c>
      <c r="BL21" s="84">
        <f t="shared" si="2"/>
        <v>1164992359</v>
      </c>
      <c r="BM21" s="75">
        <f t="shared" si="1"/>
        <v>-201078741</v>
      </c>
      <c r="BS21" s="75">
        <f>BQ21+BR21</f>
        <v>0</v>
      </c>
    </row>
    <row r="22" spans="1:64" ht="16.5" customHeight="1">
      <c r="A22" s="83">
        <v>221</v>
      </c>
      <c r="B22" s="79">
        <v>221</v>
      </c>
      <c r="C22" s="104"/>
      <c r="D22" s="105"/>
      <c r="E22" s="105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1"/>
      <c r="BJ22" s="82">
        <f t="shared" si="0"/>
        <v>0</v>
      </c>
      <c r="BK22" s="85">
        <f>U65</f>
        <v>0</v>
      </c>
      <c r="BL22" s="84">
        <f>BJ22</f>
        <v>0</v>
      </c>
    </row>
    <row r="23" spans="1:65" ht="16.5" customHeight="1">
      <c r="A23" s="83">
        <v>222</v>
      </c>
      <c r="B23" s="79">
        <v>222</v>
      </c>
      <c r="C23" s="104"/>
      <c r="D23" s="105">
        <v>2000000000</v>
      </c>
      <c r="E23" s="105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1"/>
      <c r="BJ23" s="82">
        <f t="shared" si="0"/>
        <v>2000000000</v>
      </c>
      <c r="BK23" s="85">
        <f>V65</f>
        <v>10137358043</v>
      </c>
      <c r="BL23" s="84">
        <f t="shared" si="2"/>
        <v>2000000000</v>
      </c>
      <c r="BM23" s="75">
        <f t="shared" si="1"/>
        <v>8137358043</v>
      </c>
    </row>
    <row r="24" spans="1:65" ht="16.5" customHeight="1">
      <c r="A24" s="83">
        <v>241</v>
      </c>
      <c r="B24" s="79">
        <v>241</v>
      </c>
      <c r="C24" s="104"/>
      <c r="D24" s="105"/>
      <c r="E24" s="10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>
        <v>7037358043</v>
      </c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1"/>
      <c r="BJ24" s="82">
        <f t="shared" si="0"/>
        <v>7037358043</v>
      </c>
      <c r="BK24" s="85">
        <f>W65</f>
        <v>7037358043</v>
      </c>
      <c r="BL24" s="84">
        <f t="shared" si="2"/>
        <v>7037358043</v>
      </c>
      <c r="BM24" s="75">
        <f t="shared" si="1"/>
        <v>0</v>
      </c>
    </row>
    <row r="25" spans="1:65" ht="16.5" customHeight="1">
      <c r="A25" s="83">
        <v>242</v>
      </c>
      <c r="B25" s="79">
        <v>242</v>
      </c>
      <c r="C25" s="104"/>
      <c r="D25" s="105"/>
      <c r="E25" s="10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1"/>
      <c r="BJ25" s="82">
        <f t="shared" si="0"/>
        <v>0</v>
      </c>
      <c r="BK25" s="85">
        <f>X65</f>
        <v>0</v>
      </c>
      <c r="BL25" s="84">
        <f>BJ25</f>
        <v>0</v>
      </c>
      <c r="BM25" s="75">
        <f t="shared" si="1"/>
        <v>0</v>
      </c>
    </row>
    <row r="26" spans="1:65" ht="16.5" customHeight="1">
      <c r="A26" s="83">
        <v>311</v>
      </c>
      <c r="B26" s="79">
        <v>311</v>
      </c>
      <c r="C26" s="104"/>
      <c r="D26" s="105"/>
      <c r="E26" s="10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1"/>
      <c r="BJ26" s="82">
        <f t="shared" si="0"/>
        <v>0</v>
      </c>
      <c r="BK26" s="85">
        <f>Y65</f>
        <v>10000000000</v>
      </c>
      <c r="BL26" s="84">
        <f t="shared" si="2"/>
        <v>0</v>
      </c>
      <c r="BM26" s="75">
        <f t="shared" si="1"/>
        <v>10000000000</v>
      </c>
    </row>
    <row r="27" spans="1:65" ht="16.5" customHeight="1">
      <c r="A27" s="83">
        <v>331</v>
      </c>
      <c r="B27" s="79">
        <v>331</v>
      </c>
      <c r="C27" s="104"/>
      <c r="D27" s="105">
        <v>132560000</v>
      </c>
      <c r="E27" s="105"/>
      <c r="F27" s="84"/>
      <c r="G27" s="84"/>
      <c r="H27" s="84">
        <v>56495070</v>
      </c>
      <c r="I27" s="84"/>
      <c r="J27" s="84"/>
      <c r="K27" s="84"/>
      <c r="L27" s="84"/>
      <c r="M27" s="84">
        <f>11810227503+321269236</f>
        <v>12131496739</v>
      </c>
      <c r="N27" s="84">
        <v>225137988</v>
      </c>
      <c r="O27" s="84">
        <f>74756413243-7037358043</f>
        <v>67719055200</v>
      </c>
      <c r="P27" s="84"/>
      <c r="Q27" s="84">
        <v>2896153569</v>
      </c>
      <c r="R27" s="84"/>
      <c r="S27" s="84">
        <f>8967372952-7037358043</f>
        <v>1930014909</v>
      </c>
      <c r="T27" s="84"/>
      <c r="U27" s="84"/>
      <c r="V27" s="84"/>
      <c r="W27" s="84">
        <v>7037358043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1"/>
      <c r="BJ27" s="82">
        <f t="shared" si="0"/>
        <v>92128271518</v>
      </c>
      <c r="BK27" s="85">
        <f>Z65</f>
        <v>59364341494</v>
      </c>
      <c r="BL27" s="84">
        <f t="shared" si="2"/>
        <v>92128271518</v>
      </c>
      <c r="BM27" s="75">
        <f t="shared" si="1"/>
        <v>-32763930024</v>
      </c>
    </row>
    <row r="28" spans="1:65" ht="16.5" customHeight="1">
      <c r="A28" s="83">
        <v>3331</v>
      </c>
      <c r="B28" s="79">
        <v>3331</v>
      </c>
      <c r="C28" s="104"/>
      <c r="D28" s="105"/>
      <c r="E28" s="105"/>
      <c r="F28" s="84"/>
      <c r="G28" s="84">
        <v>13695547092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115">
        <v>24489266</v>
      </c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164">
        <v>95848398</v>
      </c>
      <c r="BE28" s="84"/>
      <c r="BF28" s="84"/>
      <c r="BG28" s="84"/>
      <c r="BH28" s="84"/>
      <c r="BI28" s="81"/>
      <c r="BJ28" s="82">
        <f t="shared" si="0"/>
        <v>13815884756</v>
      </c>
      <c r="BK28" s="85">
        <f>AA65</f>
        <v>11927753484</v>
      </c>
      <c r="BL28" s="84">
        <f t="shared" si="2"/>
        <v>13815884756</v>
      </c>
      <c r="BM28" s="75">
        <f t="shared" si="1"/>
        <v>-1888131272</v>
      </c>
    </row>
    <row r="29" spans="1:65" ht="16.5" customHeight="1">
      <c r="A29" s="83">
        <v>3334</v>
      </c>
      <c r="B29" s="79">
        <v>3334</v>
      </c>
      <c r="C29" s="104"/>
      <c r="D29" s="105"/>
      <c r="E29" s="105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115">
        <f>963738961+168058014</f>
        <v>1131796975</v>
      </c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>
        <v>606006396</v>
      </c>
      <c r="BF29" s="84"/>
      <c r="BG29" s="84"/>
      <c r="BH29" s="84"/>
      <c r="BI29" s="81"/>
      <c r="BJ29" s="82">
        <f t="shared" si="0"/>
        <v>1737803371</v>
      </c>
      <c r="BK29" s="85">
        <f>AB65</f>
        <v>1440361925</v>
      </c>
      <c r="BL29" s="84">
        <f>BJ29</f>
        <v>1737803371</v>
      </c>
      <c r="BM29" s="75">
        <f t="shared" si="1"/>
        <v>-297441446</v>
      </c>
    </row>
    <row r="30" spans="1:65" ht="16.5" customHeight="1">
      <c r="A30" s="83">
        <v>3335</v>
      </c>
      <c r="B30" s="79">
        <v>3335</v>
      </c>
      <c r="C30" s="104">
        <f>4222580+11493106+67389841</f>
        <v>83105527</v>
      </c>
      <c r="D30" s="105"/>
      <c r="E30" s="105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1"/>
      <c r="BJ30" s="82">
        <f t="shared" si="0"/>
        <v>83105527</v>
      </c>
      <c r="BK30" s="85">
        <f>AC65</f>
        <v>17416186</v>
      </c>
      <c r="BL30" s="84">
        <f t="shared" si="2"/>
        <v>83105527</v>
      </c>
      <c r="BM30" s="75">
        <f t="shared" si="1"/>
        <v>-65689341</v>
      </c>
    </row>
    <row r="31" spans="1:65" ht="16.5" customHeight="1">
      <c r="A31" s="83">
        <v>3337</v>
      </c>
      <c r="B31" s="79">
        <v>3337</v>
      </c>
      <c r="C31" s="104"/>
      <c r="D31" s="105">
        <v>111760000</v>
      </c>
      <c r="E31" s="10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>
        <v>24040000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>
        <v>175980800</v>
      </c>
      <c r="BD31" s="84">
        <f>71521000</f>
        <v>71521000</v>
      </c>
      <c r="BE31" s="84"/>
      <c r="BF31" s="84"/>
      <c r="BG31" s="84"/>
      <c r="BH31" s="84"/>
      <c r="BI31" s="81"/>
      <c r="BJ31" s="82">
        <f t="shared" si="0"/>
        <v>383301800</v>
      </c>
      <c r="BK31" s="85">
        <f>AD65</f>
        <v>420675600</v>
      </c>
      <c r="BL31" s="84">
        <f t="shared" si="2"/>
        <v>383301800</v>
      </c>
      <c r="BM31" s="75">
        <f t="shared" si="1"/>
        <v>37373800</v>
      </c>
    </row>
    <row r="32" spans="1:65" ht="16.5" customHeight="1">
      <c r="A32" s="83">
        <v>334</v>
      </c>
      <c r="B32" s="79">
        <v>334</v>
      </c>
      <c r="C32" s="104">
        <v>15960000</v>
      </c>
      <c r="D32" s="105"/>
      <c r="E32" s="105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>
        <f>3325667900</f>
        <v>3325667900</v>
      </c>
      <c r="BA32" s="84">
        <v>921277700</v>
      </c>
      <c r="BB32" s="84">
        <v>517493500</v>
      </c>
      <c r="BC32" s="84">
        <v>890132650</v>
      </c>
      <c r="BD32" s="84">
        <f>4470495450+1759534000+209174000</f>
        <v>6439203450</v>
      </c>
      <c r="BE32" s="84"/>
      <c r="BF32" s="84"/>
      <c r="BG32" s="84"/>
      <c r="BH32" s="84"/>
      <c r="BI32" s="81"/>
      <c r="BJ32" s="82">
        <f t="shared" si="0"/>
        <v>12109735200</v>
      </c>
      <c r="BK32" s="85">
        <f>AE65</f>
        <v>10141027200</v>
      </c>
      <c r="BL32" s="84">
        <f t="shared" si="2"/>
        <v>12109735200</v>
      </c>
      <c r="BM32" s="75">
        <f t="shared" si="1"/>
        <v>-1968708000</v>
      </c>
    </row>
    <row r="33" spans="1:64" ht="16.5" customHeight="1">
      <c r="A33" s="83">
        <v>3381</v>
      </c>
      <c r="B33" s="79">
        <v>3381</v>
      </c>
      <c r="C33" s="104"/>
      <c r="D33" s="129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 t="s">
        <v>252</v>
      </c>
      <c r="BE33" s="84"/>
      <c r="BF33" s="84"/>
      <c r="BG33" s="84"/>
      <c r="BH33" s="84"/>
      <c r="BI33" s="81"/>
      <c r="BJ33" s="82">
        <f t="shared" si="0"/>
        <v>0</v>
      </c>
      <c r="BK33" s="85">
        <f>AF65</f>
        <v>0</v>
      </c>
      <c r="BL33" s="84">
        <f>BJ33</f>
        <v>0</v>
      </c>
    </row>
    <row r="34" spans="1:65" ht="16.5" customHeight="1">
      <c r="A34" s="83">
        <v>3382</v>
      </c>
      <c r="B34" s="79">
        <v>3382</v>
      </c>
      <c r="C34" s="104"/>
      <c r="E34" s="8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>
        <v>29384964</v>
      </c>
      <c r="BA34" s="84">
        <v>3733008</v>
      </c>
      <c r="BB34" s="84">
        <v>3390792</v>
      </c>
      <c r="BC34" s="84">
        <f>7065936+2025066</f>
        <v>9091002</v>
      </c>
      <c r="BD34" s="84">
        <f>57283834</f>
        <v>57283834</v>
      </c>
      <c r="BE34" s="84"/>
      <c r="BF34" s="84"/>
      <c r="BG34" s="84"/>
      <c r="BH34" s="84"/>
      <c r="BI34" s="81"/>
      <c r="BJ34" s="82">
        <f t="shared" si="0"/>
        <v>102883600</v>
      </c>
      <c r="BK34" s="85">
        <f>AG65</f>
        <v>102883600</v>
      </c>
      <c r="BL34" s="84">
        <f t="shared" si="2"/>
        <v>102883600</v>
      </c>
      <c r="BM34" s="75">
        <f t="shared" si="1"/>
        <v>0</v>
      </c>
    </row>
    <row r="35" spans="1:65" ht="16.5" customHeight="1">
      <c r="A35" s="83">
        <v>3383</v>
      </c>
      <c r="B35" s="79">
        <v>3383</v>
      </c>
      <c r="C35" s="104">
        <v>264633882</v>
      </c>
      <c r="D35" s="105">
        <v>415623042</v>
      </c>
      <c r="E35" s="105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>
        <v>235079712</v>
      </c>
      <c r="BA35" s="84">
        <v>29864064</v>
      </c>
      <c r="BB35" s="84">
        <v>27126336</v>
      </c>
      <c r="BC35" s="84">
        <f>56527488</f>
        <v>56527488</v>
      </c>
      <c r="BD35" s="84">
        <v>458270669</v>
      </c>
      <c r="BE35" s="84"/>
      <c r="BF35" s="84"/>
      <c r="BG35" s="84"/>
      <c r="BH35" s="84"/>
      <c r="BI35" s="81"/>
      <c r="BJ35" s="82">
        <f t="shared" si="0"/>
        <v>1487125193</v>
      </c>
      <c r="BK35" s="85">
        <f>AH65</f>
        <v>1530837620</v>
      </c>
      <c r="BL35" s="84">
        <f t="shared" si="2"/>
        <v>1487125193</v>
      </c>
      <c r="BM35" s="75">
        <f t="shared" si="1"/>
        <v>43712427</v>
      </c>
    </row>
    <row r="36" spans="1:65" ht="16.5" customHeight="1">
      <c r="A36" s="83">
        <v>3384</v>
      </c>
      <c r="B36" s="80">
        <v>3384</v>
      </c>
      <c r="C36" s="104">
        <v>66053969</v>
      </c>
      <c r="D36" s="106"/>
      <c r="E36" s="10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4">
        <v>44077446</v>
      </c>
      <c r="BA36" s="84">
        <v>5599512</v>
      </c>
      <c r="BB36" s="84">
        <v>5088188</v>
      </c>
      <c r="BC36" s="84">
        <f>10598904+12769029</f>
        <v>23367933</v>
      </c>
      <c r="BD36" s="84">
        <f>85925750+6914981</f>
        <v>92840731</v>
      </c>
      <c r="BE36" s="84"/>
      <c r="BF36" s="86"/>
      <c r="BG36" s="86"/>
      <c r="BH36" s="86"/>
      <c r="BI36" s="87"/>
      <c r="BJ36" s="82">
        <f t="shared" si="0"/>
        <v>237027779</v>
      </c>
      <c r="BK36" s="85">
        <f>AI65</f>
        <v>237027779</v>
      </c>
      <c r="BL36" s="84">
        <f t="shared" si="2"/>
        <v>237027779</v>
      </c>
      <c r="BM36" s="75">
        <f t="shared" si="1"/>
        <v>0</v>
      </c>
    </row>
    <row r="37" spans="1:65" ht="16.5" customHeight="1">
      <c r="A37" s="83">
        <v>3387</v>
      </c>
      <c r="B37" s="80">
        <v>3387</v>
      </c>
      <c r="C37" s="104"/>
      <c r="D37" s="106"/>
      <c r="E37" s="106"/>
      <c r="F37" s="86"/>
      <c r="G37" s="86">
        <v>47207990107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7"/>
      <c r="BJ37" s="82">
        <f t="shared" si="0"/>
        <v>47207990107</v>
      </c>
      <c r="BK37" s="88">
        <f>AJ65</f>
        <v>2223793454</v>
      </c>
      <c r="BL37" s="84">
        <f>BJ37</f>
        <v>47207990107</v>
      </c>
      <c r="BM37" s="75">
        <f t="shared" si="1"/>
        <v>-44984196653</v>
      </c>
    </row>
    <row r="38" spans="1:64" ht="16.5" customHeight="1">
      <c r="A38" s="83">
        <v>3388</v>
      </c>
      <c r="B38" s="80">
        <v>3388</v>
      </c>
      <c r="C38" s="104"/>
      <c r="D38" s="106">
        <v>22024625000</v>
      </c>
      <c r="E38" s="10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163">
        <f>2223793454+309313283-606006396</f>
        <v>1927100341</v>
      </c>
      <c r="BF38" s="86"/>
      <c r="BG38" s="86"/>
      <c r="BH38" s="86"/>
      <c r="BI38" s="87"/>
      <c r="BJ38" s="82">
        <f t="shared" si="0"/>
        <v>23951725341</v>
      </c>
      <c r="BK38" s="88">
        <f>AK65</f>
        <v>22024625000</v>
      </c>
      <c r="BL38" s="84">
        <f t="shared" si="2"/>
        <v>23951725341</v>
      </c>
    </row>
    <row r="39" spans="1:65" ht="16.5" customHeight="1">
      <c r="A39" s="83">
        <v>3389</v>
      </c>
      <c r="B39" s="79">
        <v>3389</v>
      </c>
      <c r="C39" s="104">
        <v>44458912</v>
      </c>
      <c r="D39" s="105"/>
      <c r="E39" s="10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>
        <v>14692482</v>
      </c>
      <c r="BA39" s="84">
        <v>1866504</v>
      </c>
      <c r="BB39" s="84">
        <v>1695396</v>
      </c>
      <c r="BC39" s="84">
        <v>3532968</v>
      </c>
      <c r="BD39" s="84">
        <f>28641917+8756236</f>
        <v>37398153</v>
      </c>
      <c r="BE39" s="84"/>
      <c r="BF39" s="84"/>
      <c r="BG39" s="84"/>
      <c r="BH39" s="84"/>
      <c r="BI39" s="81"/>
      <c r="BJ39" s="82">
        <f t="shared" si="0"/>
        <v>103644415</v>
      </c>
      <c r="BK39" s="85">
        <f>AL65</f>
        <v>103644415</v>
      </c>
      <c r="BL39" s="84">
        <f t="shared" si="2"/>
        <v>103644415</v>
      </c>
      <c r="BM39" s="75">
        <f t="shared" si="1"/>
        <v>0</v>
      </c>
    </row>
    <row r="40" spans="1:64" ht="16.5" customHeight="1">
      <c r="A40" s="83">
        <v>351</v>
      </c>
      <c r="B40" s="79">
        <v>351</v>
      </c>
      <c r="C40" s="104"/>
      <c r="D40" s="105"/>
      <c r="E40" s="105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162">
        <v>154258182</v>
      </c>
      <c r="BE40" s="84"/>
      <c r="BF40" s="84"/>
      <c r="BG40" s="84"/>
      <c r="BH40" s="84"/>
      <c r="BI40" s="81"/>
      <c r="BJ40" s="82">
        <f t="shared" si="0"/>
        <v>154258182</v>
      </c>
      <c r="BK40" s="85">
        <f>AM65</f>
        <v>0</v>
      </c>
      <c r="BL40" s="84">
        <f t="shared" si="2"/>
        <v>154258182</v>
      </c>
    </row>
    <row r="41" spans="1:65" ht="16.5" customHeight="1">
      <c r="A41" s="83">
        <v>411</v>
      </c>
      <c r="B41" s="79">
        <v>411</v>
      </c>
      <c r="C41" s="104"/>
      <c r="D41" s="105">
        <v>7022250000</v>
      </c>
      <c r="E41" s="105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115">
        <v>1062808214</v>
      </c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1"/>
      <c r="BJ41" s="82">
        <f t="shared" si="0"/>
        <v>8085058214</v>
      </c>
      <c r="BK41" s="85">
        <f>AN65</f>
        <v>0</v>
      </c>
      <c r="BL41" s="84">
        <f t="shared" si="2"/>
        <v>8085058214</v>
      </c>
      <c r="BM41" s="75">
        <f t="shared" si="1"/>
        <v>-8085058214</v>
      </c>
    </row>
    <row r="42" spans="1:65" ht="16.5" customHeight="1">
      <c r="A42" s="83">
        <v>413</v>
      </c>
      <c r="B42" s="79">
        <v>413</v>
      </c>
      <c r="C42" s="104"/>
      <c r="D42" s="105">
        <v>15400081</v>
      </c>
      <c r="E42" s="105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115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1"/>
      <c r="BJ42" s="82">
        <f t="shared" si="0"/>
        <v>15400081</v>
      </c>
      <c r="BK42" s="85">
        <f>AO65</f>
        <v>15400081</v>
      </c>
      <c r="BL42" s="84">
        <f t="shared" si="2"/>
        <v>15400081</v>
      </c>
      <c r="BM42" s="75">
        <f t="shared" si="1"/>
        <v>0</v>
      </c>
    </row>
    <row r="43" spans="1:69" ht="16.5" customHeight="1">
      <c r="A43" s="83">
        <v>414</v>
      </c>
      <c r="B43" s="79">
        <v>414</v>
      </c>
      <c r="C43" s="104"/>
      <c r="D43" s="105"/>
      <c r="E43" s="105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115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1"/>
      <c r="BJ43" s="82">
        <f t="shared" si="0"/>
        <v>0</v>
      </c>
      <c r="BK43" s="85">
        <f>AP65</f>
        <v>0</v>
      </c>
      <c r="BL43" s="84">
        <f t="shared" si="2"/>
        <v>0</v>
      </c>
      <c r="BM43" s="75">
        <f t="shared" si="1"/>
        <v>0</v>
      </c>
      <c r="BQ43" s="75">
        <v>4718464049</v>
      </c>
    </row>
    <row r="44" spans="1:69" ht="16.5" customHeight="1">
      <c r="A44" s="83">
        <v>415</v>
      </c>
      <c r="B44" s="79">
        <v>415</v>
      </c>
      <c r="C44" s="104"/>
      <c r="D44" s="105"/>
      <c r="E44" s="105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115">
        <v>260199816</v>
      </c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1"/>
      <c r="BJ44" s="82">
        <f t="shared" si="0"/>
        <v>260199816</v>
      </c>
      <c r="BK44" s="85">
        <f>AQ65</f>
        <v>0</v>
      </c>
      <c r="BL44" s="84">
        <f>BJ44</f>
        <v>260199816</v>
      </c>
      <c r="BM44" s="75">
        <f t="shared" si="1"/>
        <v>-260199816</v>
      </c>
      <c r="BQ44" s="75">
        <v>309313283</v>
      </c>
    </row>
    <row r="45" spans="1:69" ht="16.5" customHeight="1">
      <c r="A45" s="83">
        <v>418</v>
      </c>
      <c r="B45" s="79">
        <v>418</v>
      </c>
      <c r="C45" s="104"/>
      <c r="D45" s="105"/>
      <c r="E45" s="10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115">
        <v>10809096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115"/>
      <c r="BE45" s="84"/>
      <c r="BF45" s="84"/>
      <c r="BG45" s="84"/>
      <c r="BH45" s="84"/>
      <c r="BI45" s="81"/>
      <c r="BJ45" s="82">
        <f t="shared" si="0"/>
        <v>10809096</v>
      </c>
      <c r="BK45" s="85">
        <f>AR65</f>
        <v>0</v>
      </c>
      <c r="BL45" s="84">
        <f t="shared" si="2"/>
        <v>10809096</v>
      </c>
      <c r="BM45" s="75">
        <f t="shared" si="1"/>
        <v>-10809096</v>
      </c>
      <c r="BQ45" s="75">
        <v>399936741</v>
      </c>
    </row>
    <row r="46" spans="1:69" ht="16.5" customHeight="1">
      <c r="A46" s="83">
        <v>421</v>
      </c>
      <c r="B46" s="79">
        <v>421</v>
      </c>
      <c r="C46" s="104"/>
      <c r="D46" s="105"/>
      <c r="E46" s="105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115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>
        <f>3854955843-95848398</f>
        <v>3759107445</v>
      </c>
      <c r="BI46" s="81"/>
      <c r="BJ46" s="82">
        <f t="shared" si="0"/>
        <v>3759107445</v>
      </c>
      <c r="BK46" s="85">
        <f>AS65</f>
        <v>3759107445</v>
      </c>
      <c r="BL46" s="84">
        <f t="shared" si="2"/>
        <v>3759107445</v>
      </c>
      <c r="BM46" s="75">
        <f t="shared" si="1"/>
        <v>0</v>
      </c>
      <c r="BQ46" s="75">
        <v>154258182</v>
      </c>
    </row>
    <row r="47" spans="1:65" ht="16.5" customHeight="1">
      <c r="A47" s="83">
        <v>431</v>
      </c>
      <c r="B47" s="79">
        <v>353</v>
      </c>
      <c r="C47" s="104"/>
      <c r="D47" s="105">
        <v>900000</v>
      </c>
      <c r="E47" s="105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115">
        <v>1268181033</v>
      </c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1"/>
      <c r="BJ47" s="82">
        <f t="shared" si="0"/>
        <v>1269081033</v>
      </c>
      <c r="BK47" s="85">
        <f>AT65</f>
        <v>408590000</v>
      </c>
      <c r="BL47" s="84">
        <f t="shared" si="2"/>
        <v>1269081033</v>
      </c>
      <c r="BM47" s="75">
        <f t="shared" si="1"/>
        <v>-860491033</v>
      </c>
    </row>
    <row r="48" spans="1:69" ht="16.5" customHeight="1">
      <c r="A48" s="83">
        <v>441</v>
      </c>
      <c r="B48" s="79">
        <v>441</v>
      </c>
      <c r="C48" s="104"/>
      <c r="D48" s="105"/>
      <c r="E48" s="10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115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1"/>
      <c r="BJ48" s="82">
        <f t="shared" si="0"/>
        <v>0</v>
      </c>
      <c r="BK48" s="85">
        <f>AU65</f>
        <v>0</v>
      </c>
      <c r="BL48" s="84">
        <f t="shared" si="2"/>
        <v>0</v>
      </c>
      <c r="BM48" s="75">
        <f t="shared" si="1"/>
        <v>0</v>
      </c>
      <c r="BQ48" s="75">
        <f>BQ43-BQ44-BQ45-BQ46</f>
        <v>3854955843</v>
      </c>
    </row>
    <row r="49" spans="1:66" ht="16.5" customHeight="1">
      <c r="A49" s="83">
        <v>511</v>
      </c>
      <c r="B49" s="79">
        <v>5111</v>
      </c>
      <c r="C49" s="104"/>
      <c r="D49" s="105"/>
      <c r="E49" s="105"/>
      <c r="F49" s="84"/>
      <c r="G49" s="84">
        <v>3398692379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1"/>
      <c r="BJ49" s="82">
        <f t="shared" si="0"/>
        <v>3398692379</v>
      </c>
      <c r="BK49" s="85"/>
      <c r="BL49" s="84"/>
      <c r="BM49" s="75">
        <f t="shared" si="1"/>
        <v>0</v>
      </c>
      <c r="BN49" s="75">
        <f>SUM(BJ49:BJ51)</f>
        <v>105530509929</v>
      </c>
    </row>
    <row r="50" spans="1:65" ht="16.5" customHeight="1">
      <c r="A50" s="83"/>
      <c r="B50" s="79">
        <v>5112</v>
      </c>
      <c r="C50" s="104"/>
      <c r="D50" s="105"/>
      <c r="E50" s="105"/>
      <c r="F50" s="84"/>
      <c r="G50" s="84">
        <f>103306716475-G49-G51</f>
        <v>86971065790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>
        <v>2223793454</v>
      </c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1"/>
      <c r="BJ50" s="82">
        <f t="shared" si="0"/>
        <v>89194859244</v>
      </c>
      <c r="BK50" s="85">
        <f>AV65</f>
        <v>105530509929</v>
      </c>
      <c r="BL50" s="84">
        <f>BJ49+BJ50+BJ51</f>
        <v>105530509929</v>
      </c>
      <c r="BM50" s="75">
        <f t="shared" si="1"/>
        <v>0</v>
      </c>
    </row>
    <row r="51" spans="1:65" ht="16.5" customHeight="1">
      <c r="A51" s="83"/>
      <c r="B51" s="79">
        <v>5113</v>
      </c>
      <c r="C51" s="104"/>
      <c r="D51" s="84"/>
      <c r="E51" s="84"/>
      <c r="F51" s="84"/>
      <c r="G51" s="84">
        <v>12936958306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1"/>
      <c r="BJ51" s="82">
        <f t="shared" si="0"/>
        <v>12936958306</v>
      </c>
      <c r="BK51" s="85"/>
      <c r="BL51" s="84"/>
      <c r="BM51" s="75">
        <f t="shared" si="1"/>
        <v>0</v>
      </c>
    </row>
    <row r="52" spans="1:65" ht="16.5" customHeight="1">
      <c r="A52" s="83">
        <v>531</v>
      </c>
      <c r="B52" s="79">
        <v>531</v>
      </c>
      <c r="C52" s="10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>
        <f>AW65</f>
        <v>553183044</v>
      </c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1"/>
      <c r="BJ52" s="82">
        <f t="shared" si="0"/>
        <v>553183044</v>
      </c>
      <c r="BK52" s="85">
        <f>AW65</f>
        <v>553183044</v>
      </c>
      <c r="BL52" s="84">
        <f t="shared" si="2"/>
        <v>553183044</v>
      </c>
      <c r="BM52" s="75">
        <f t="shared" si="1"/>
        <v>0</v>
      </c>
    </row>
    <row r="53" spans="1:65" ht="16.5" customHeight="1">
      <c r="A53" s="83">
        <v>532</v>
      </c>
      <c r="B53" s="79">
        <v>532</v>
      </c>
      <c r="C53" s="104"/>
      <c r="D53" s="105"/>
      <c r="E53" s="105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1"/>
      <c r="BJ53" s="82">
        <f t="shared" si="0"/>
        <v>0</v>
      </c>
      <c r="BK53" s="85">
        <f>AX65</f>
        <v>0</v>
      </c>
      <c r="BL53" s="84">
        <f t="shared" si="2"/>
        <v>0</v>
      </c>
      <c r="BM53" s="75">
        <f t="shared" si="1"/>
        <v>0</v>
      </c>
    </row>
    <row r="54" spans="1:66" ht="16.5" customHeight="1">
      <c r="A54" s="83">
        <v>515</v>
      </c>
      <c r="B54" s="79">
        <v>515</v>
      </c>
      <c r="C54" s="104"/>
      <c r="D54" s="105">
        <f>3155669289-286059</f>
        <v>3155383230</v>
      </c>
      <c r="E54" s="105">
        <v>286059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>
        <v>15400081</v>
      </c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1"/>
      <c r="BJ54" s="82">
        <f t="shared" si="0"/>
        <v>3171069370</v>
      </c>
      <c r="BK54" s="85">
        <f>AY65</f>
        <v>3171069370</v>
      </c>
      <c r="BL54" s="84">
        <f t="shared" si="2"/>
        <v>3171069370</v>
      </c>
      <c r="BM54" s="75">
        <f t="shared" si="1"/>
        <v>0</v>
      </c>
      <c r="BN54" s="75">
        <f>BL54+BL62</f>
        <v>3608614308</v>
      </c>
    </row>
    <row r="55" spans="1:65" ht="16.5" customHeight="1">
      <c r="A55" s="83">
        <v>627</v>
      </c>
      <c r="B55" s="79" t="s">
        <v>1</v>
      </c>
      <c r="C55" s="104"/>
      <c r="D55" s="105"/>
      <c r="E55" s="105"/>
      <c r="F55" s="84"/>
      <c r="G55" s="84"/>
      <c r="H55" s="84"/>
      <c r="I55" s="84"/>
      <c r="J55" s="84"/>
      <c r="K55" s="84"/>
      <c r="L55" s="84"/>
      <c r="M55" s="84"/>
      <c r="N55" s="84"/>
      <c r="O55" s="84">
        <f>AZ65</f>
        <v>11266700349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1"/>
      <c r="BJ55" s="82">
        <f t="shared" si="0"/>
        <v>11266700349</v>
      </c>
      <c r="BK55" s="85">
        <f>AZ65</f>
        <v>11266700349</v>
      </c>
      <c r="BL55" s="84">
        <f>BJ55</f>
        <v>11266700349</v>
      </c>
      <c r="BM55" s="75">
        <f t="shared" si="1"/>
        <v>0</v>
      </c>
    </row>
    <row r="56" spans="1:65" ht="16.5" customHeight="1">
      <c r="A56" s="83"/>
      <c r="B56" s="79" t="s">
        <v>2</v>
      </c>
      <c r="C56" s="104"/>
      <c r="D56" s="105"/>
      <c r="E56" s="105"/>
      <c r="F56" s="84"/>
      <c r="G56" s="84"/>
      <c r="H56" s="84"/>
      <c r="I56" s="84"/>
      <c r="J56" s="84"/>
      <c r="K56" s="84"/>
      <c r="L56" s="84"/>
      <c r="M56" s="84"/>
      <c r="N56" s="84"/>
      <c r="O56" s="84">
        <f>BA65</f>
        <v>3159012352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1"/>
      <c r="BJ56" s="82">
        <f t="shared" si="0"/>
        <v>3159012352</v>
      </c>
      <c r="BK56" s="85">
        <f>BA65</f>
        <v>3159012352</v>
      </c>
      <c r="BL56" s="84">
        <f t="shared" si="2"/>
        <v>3159012352</v>
      </c>
      <c r="BM56" s="75">
        <f t="shared" si="1"/>
        <v>0</v>
      </c>
    </row>
    <row r="57" spans="1:65" ht="16.5" customHeight="1">
      <c r="A57" s="83"/>
      <c r="B57" s="79" t="s">
        <v>3</v>
      </c>
      <c r="C57" s="104"/>
      <c r="D57" s="105"/>
      <c r="E57" s="105"/>
      <c r="F57" s="84"/>
      <c r="G57" s="84"/>
      <c r="H57" s="84"/>
      <c r="I57" s="84"/>
      <c r="J57" s="84"/>
      <c r="K57" s="84"/>
      <c r="L57" s="84"/>
      <c r="M57" s="84"/>
      <c r="N57" s="84"/>
      <c r="O57" s="84">
        <f>BB65</f>
        <v>1564024322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1"/>
      <c r="BJ57" s="82">
        <f t="shared" si="0"/>
        <v>1564024322</v>
      </c>
      <c r="BK57" s="85">
        <f>BB65</f>
        <v>1564024322</v>
      </c>
      <c r="BL57" s="84">
        <f t="shared" si="2"/>
        <v>1564024322</v>
      </c>
      <c r="BM57" s="75">
        <f t="shared" si="1"/>
        <v>0</v>
      </c>
    </row>
    <row r="58" spans="1:65" ht="16.5" customHeight="1">
      <c r="A58" s="83">
        <v>641</v>
      </c>
      <c r="B58" s="79">
        <v>641</v>
      </c>
      <c r="C58" s="104"/>
      <c r="D58" s="105"/>
      <c r="E58" s="105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1">
        <f>BC65</f>
        <v>1696725547</v>
      </c>
      <c r="BI58" s="81"/>
      <c r="BJ58" s="82">
        <f t="shared" si="0"/>
        <v>1696725547</v>
      </c>
      <c r="BK58" s="85">
        <f>BC65</f>
        <v>1696725547</v>
      </c>
      <c r="BL58" s="84">
        <f t="shared" si="2"/>
        <v>1696725547</v>
      </c>
      <c r="BM58" s="75">
        <f t="shared" si="1"/>
        <v>0</v>
      </c>
    </row>
    <row r="59" spans="1:65" ht="16.5" customHeight="1">
      <c r="A59" s="83">
        <v>642</v>
      </c>
      <c r="B59" s="79">
        <v>642</v>
      </c>
      <c r="C59" s="104"/>
      <c r="D59" s="105"/>
      <c r="E59" s="105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1">
        <f>BD65</f>
        <v>17540189983</v>
      </c>
      <c r="BI59" s="81"/>
      <c r="BJ59" s="82">
        <f t="shared" si="0"/>
        <v>17540189983</v>
      </c>
      <c r="BK59" s="85">
        <f>BD65</f>
        <v>17540189983</v>
      </c>
      <c r="BL59" s="84">
        <f t="shared" si="2"/>
        <v>17540189983</v>
      </c>
      <c r="BM59" s="75">
        <f t="shared" si="1"/>
        <v>0</v>
      </c>
    </row>
    <row r="60" spans="1:65" ht="16.5" customHeight="1">
      <c r="A60" s="83">
        <v>632</v>
      </c>
      <c r="B60" s="79">
        <v>632</v>
      </c>
      <c r="C60" s="104"/>
      <c r="D60" s="105"/>
      <c r="E60" s="105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>
        <f>BE65</f>
        <v>85084089705</v>
      </c>
      <c r="BI60" s="81"/>
      <c r="BJ60" s="82">
        <f t="shared" si="0"/>
        <v>85084089705</v>
      </c>
      <c r="BK60" s="85">
        <f>BE65</f>
        <v>85084089705</v>
      </c>
      <c r="BL60" s="84">
        <f>BJ60</f>
        <v>85084089705</v>
      </c>
      <c r="BM60" s="75">
        <f t="shared" si="1"/>
        <v>0</v>
      </c>
    </row>
    <row r="61" spans="1:65" ht="16.5" customHeight="1">
      <c r="A61" s="83">
        <v>711</v>
      </c>
      <c r="B61" s="79">
        <v>711</v>
      </c>
      <c r="C61" s="104"/>
      <c r="D61" s="105">
        <v>5625000</v>
      </c>
      <c r="E61" s="105"/>
      <c r="F61" s="84"/>
      <c r="G61" s="84">
        <f>763573104-399936741</f>
        <v>363636363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1"/>
      <c r="BJ61" s="82">
        <f t="shared" si="0"/>
        <v>369261363</v>
      </c>
      <c r="BK61" s="85">
        <f>BF65</f>
        <v>369261363</v>
      </c>
      <c r="BL61" s="84">
        <f t="shared" si="2"/>
        <v>369261363</v>
      </c>
      <c r="BM61" s="75">
        <f t="shared" si="1"/>
        <v>0</v>
      </c>
    </row>
    <row r="62" spans="1:65" ht="16.5" customHeight="1">
      <c r="A62" s="83">
        <v>811</v>
      </c>
      <c r="B62" s="79">
        <v>811</v>
      </c>
      <c r="C62" s="104"/>
      <c r="D62" s="105"/>
      <c r="E62" s="105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>
        <f>BG65</f>
        <v>437544938</v>
      </c>
      <c r="BI62" s="81"/>
      <c r="BJ62" s="82">
        <f t="shared" si="0"/>
        <v>437544938</v>
      </c>
      <c r="BK62" s="85">
        <f>BG65</f>
        <v>437544938</v>
      </c>
      <c r="BL62" s="84">
        <f t="shared" si="2"/>
        <v>437544938</v>
      </c>
      <c r="BM62" s="75">
        <f t="shared" si="1"/>
        <v>0</v>
      </c>
    </row>
    <row r="63" spans="1:65" ht="16.5" customHeight="1">
      <c r="A63" s="89">
        <v>911</v>
      </c>
      <c r="B63" s="79">
        <v>911</v>
      </c>
      <c r="C63" s="107"/>
      <c r="D63" s="105"/>
      <c r="E63" s="105"/>
      <c r="F63" s="105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>
        <f>103306716475-AV52+2223793454</f>
        <v>104977326885</v>
      </c>
      <c r="AW63" s="84"/>
      <c r="AX63" s="84"/>
      <c r="AY63" s="84">
        <f>BJ54</f>
        <v>3171069370</v>
      </c>
      <c r="AZ63" s="84"/>
      <c r="BA63" s="84"/>
      <c r="BB63" s="84"/>
      <c r="BC63" s="84"/>
      <c r="BD63" s="84"/>
      <c r="BE63" s="84"/>
      <c r="BF63" s="84">
        <f>BJ61</f>
        <v>369261363</v>
      </c>
      <c r="BG63" s="84"/>
      <c r="BH63" s="84"/>
      <c r="BI63" s="81"/>
      <c r="BJ63" s="82">
        <f t="shared" si="0"/>
        <v>108517657618</v>
      </c>
      <c r="BK63" s="88">
        <f>BH65</f>
        <v>108517657618</v>
      </c>
      <c r="BL63" s="84">
        <f t="shared" si="2"/>
        <v>108517657618</v>
      </c>
      <c r="BM63" s="75">
        <f>BK63-BL63</f>
        <v>0</v>
      </c>
    </row>
    <row r="64" spans="1:64" ht="16.5" customHeight="1">
      <c r="A64" s="90"/>
      <c r="B64" s="79"/>
      <c r="C64" s="104"/>
      <c r="D64" s="105"/>
      <c r="E64" s="105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1"/>
      <c r="BJ64" s="82">
        <f t="shared" si="0"/>
        <v>0</v>
      </c>
      <c r="BK64" s="85"/>
      <c r="BL64" s="84">
        <f t="shared" si="2"/>
        <v>0</v>
      </c>
    </row>
    <row r="65" spans="1:65" s="76" customFormat="1" ht="16.5" customHeight="1">
      <c r="A65" s="91" t="s">
        <v>7</v>
      </c>
      <c r="B65" s="92"/>
      <c r="C65" s="93">
        <f aca="true" t="shared" si="3" ref="C65:T65">SUM(C4:C64)</f>
        <v>69639855320</v>
      </c>
      <c r="D65" s="93">
        <f t="shared" si="3"/>
        <v>257235970924</v>
      </c>
      <c r="E65" s="93">
        <f t="shared" si="3"/>
        <v>286059</v>
      </c>
      <c r="F65" s="93">
        <f t="shared" si="3"/>
        <v>147000000000</v>
      </c>
      <c r="G65" s="93">
        <f t="shared" si="3"/>
        <v>170439037537</v>
      </c>
      <c r="H65" s="93">
        <f t="shared" si="3"/>
        <v>4298590828</v>
      </c>
      <c r="I65" s="93">
        <f t="shared" si="3"/>
        <v>10000000000</v>
      </c>
      <c r="J65" s="93">
        <f t="shared" si="3"/>
        <v>563000000</v>
      </c>
      <c r="K65" s="93">
        <f t="shared" si="3"/>
        <v>74750000</v>
      </c>
      <c r="L65" s="93">
        <f t="shared" si="3"/>
        <v>0</v>
      </c>
      <c r="M65" s="93">
        <f t="shared" si="3"/>
        <v>12131496739</v>
      </c>
      <c r="N65" s="93">
        <f t="shared" si="3"/>
        <v>225137988</v>
      </c>
      <c r="O65" s="93">
        <f t="shared" si="3"/>
        <v>122029813413</v>
      </c>
      <c r="P65" s="93">
        <f t="shared" si="3"/>
        <v>15989737023</v>
      </c>
      <c r="Q65" s="93">
        <f t="shared" si="3"/>
        <v>3429810236</v>
      </c>
      <c r="R65" s="93">
        <f t="shared" si="3"/>
        <v>0</v>
      </c>
      <c r="S65" s="93">
        <f t="shared" si="3"/>
        <v>1930014909</v>
      </c>
      <c r="T65" s="93">
        <f t="shared" si="3"/>
        <v>963913618</v>
      </c>
      <c r="U65" s="93"/>
      <c r="V65" s="93">
        <f aca="true" t="shared" si="4" ref="V65:BL65">SUM(V4:V64)</f>
        <v>10137358043</v>
      </c>
      <c r="W65" s="93">
        <f t="shared" si="4"/>
        <v>7037358043</v>
      </c>
      <c r="X65" s="93">
        <f t="shared" si="4"/>
        <v>0</v>
      </c>
      <c r="Y65" s="93">
        <f t="shared" si="4"/>
        <v>10000000000</v>
      </c>
      <c r="Z65" s="93">
        <f t="shared" si="4"/>
        <v>59364341494</v>
      </c>
      <c r="AA65" s="93">
        <f t="shared" si="4"/>
        <v>11927753484</v>
      </c>
      <c r="AB65" s="93">
        <f t="shared" si="4"/>
        <v>1440361925</v>
      </c>
      <c r="AC65" s="93">
        <f t="shared" si="4"/>
        <v>17416186</v>
      </c>
      <c r="AD65" s="93">
        <f t="shared" si="4"/>
        <v>420675600</v>
      </c>
      <c r="AE65" s="93">
        <f t="shared" si="4"/>
        <v>10141027200</v>
      </c>
      <c r="AF65" s="93">
        <f t="shared" si="4"/>
        <v>0</v>
      </c>
      <c r="AG65" s="93">
        <f t="shared" si="4"/>
        <v>102883600</v>
      </c>
      <c r="AH65" s="93">
        <f t="shared" si="4"/>
        <v>1530837620</v>
      </c>
      <c r="AI65" s="93">
        <f t="shared" si="4"/>
        <v>237027779</v>
      </c>
      <c r="AJ65" s="93">
        <f t="shared" si="4"/>
        <v>2223793454</v>
      </c>
      <c r="AK65" s="93">
        <f t="shared" si="4"/>
        <v>22024625000</v>
      </c>
      <c r="AL65" s="93">
        <f t="shared" si="4"/>
        <v>103644415</v>
      </c>
      <c r="AM65" s="93">
        <f t="shared" si="4"/>
        <v>0</v>
      </c>
      <c r="AN65" s="93">
        <f t="shared" si="4"/>
        <v>0</v>
      </c>
      <c r="AO65" s="93">
        <f t="shared" si="4"/>
        <v>15400081</v>
      </c>
      <c r="AP65" s="93">
        <f t="shared" si="4"/>
        <v>0</v>
      </c>
      <c r="AQ65" s="93">
        <f t="shared" si="4"/>
        <v>0</v>
      </c>
      <c r="AR65" s="93">
        <f t="shared" si="4"/>
        <v>0</v>
      </c>
      <c r="AS65" s="93">
        <f t="shared" si="4"/>
        <v>3759107445</v>
      </c>
      <c r="AT65" s="93">
        <f t="shared" si="4"/>
        <v>408590000</v>
      </c>
      <c r="AU65" s="93">
        <f t="shared" si="4"/>
        <v>0</v>
      </c>
      <c r="AV65" s="93">
        <f t="shared" si="4"/>
        <v>105530509929</v>
      </c>
      <c r="AW65" s="93">
        <f t="shared" si="4"/>
        <v>553183044</v>
      </c>
      <c r="AX65" s="93">
        <f t="shared" si="4"/>
        <v>0</v>
      </c>
      <c r="AY65" s="93">
        <f t="shared" si="4"/>
        <v>3171069370</v>
      </c>
      <c r="AZ65" s="93">
        <f t="shared" si="4"/>
        <v>11266700349</v>
      </c>
      <c r="BA65" s="93">
        <f t="shared" si="4"/>
        <v>3159012352</v>
      </c>
      <c r="BB65" s="93">
        <f t="shared" si="4"/>
        <v>1564024322</v>
      </c>
      <c r="BC65" s="93">
        <f t="shared" si="4"/>
        <v>1696725547</v>
      </c>
      <c r="BD65" s="93">
        <f t="shared" si="4"/>
        <v>17540189983</v>
      </c>
      <c r="BE65" s="93">
        <f t="shared" si="4"/>
        <v>85084089705</v>
      </c>
      <c r="BF65" s="93">
        <f t="shared" si="4"/>
        <v>369261363</v>
      </c>
      <c r="BG65" s="93">
        <f t="shared" si="4"/>
        <v>437544938</v>
      </c>
      <c r="BH65" s="93">
        <f t="shared" si="4"/>
        <v>108517657618</v>
      </c>
      <c r="BI65" s="93">
        <f t="shared" si="4"/>
        <v>0</v>
      </c>
      <c r="BJ65" s="93">
        <f t="shared" si="4"/>
        <v>1295733584483</v>
      </c>
      <c r="BK65" s="92">
        <f t="shared" si="4"/>
        <v>1295733584483</v>
      </c>
      <c r="BL65" s="92">
        <f t="shared" si="4"/>
        <v>1295733584483</v>
      </c>
      <c r="BM65" s="76">
        <f>BM64-BM63</f>
        <v>0</v>
      </c>
    </row>
    <row r="66" spans="1:62" ht="19.5" customHeight="1">
      <c r="A66" s="94"/>
      <c r="D66" s="75">
        <f>D65+E65</f>
        <v>257236256983</v>
      </c>
      <c r="AZ66" s="170">
        <f>AZ65+BA65+BB65</f>
        <v>15989737023</v>
      </c>
      <c r="BA66" s="170"/>
      <c r="BB66" s="170"/>
      <c r="BE66" s="75">
        <f>BH60-BE65</f>
        <v>0</v>
      </c>
      <c r="BJ66" s="92">
        <f>SUM(BJ4:BJ64)</f>
        <v>1295733584483</v>
      </c>
    </row>
    <row r="67" spans="6:63" ht="19.5" customHeight="1">
      <c r="F67" s="95"/>
      <c r="G67" s="95"/>
      <c r="H67" s="95"/>
      <c r="I67" s="95"/>
      <c r="O67" s="75">
        <f>SUM(O55:O57)</f>
        <v>15989737023</v>
      </c>
      <c r="BJ67" s="76">
        <f>SUM(C65:BI65)</f>
        <v>1295733584483</v>
      </c>
      <c r="BK67" s="75">
        <f>BL65-BK65</f>
        <v>0</v>
      </c>
    </row>
    <row r="68" spans="4:64" ht="17.25" customHeight="1">
      <c r="D68" s="75">
        <f>D54+D61+D41+D38+D35+D31+D27+D10+D7+D4</f>
        <v>185885326272</v>
      </c>
      <c r="F68" s="95"/>
      <c r="G68" s="95"/>
      <c r="H68" s="95"/>
      <c r="I68" s="95"/>
      <c r="BH68" s="75">
        <f>BK60-BH60</f>
        <v>0</v>
      </c>
      <c r="BL68" s="75">
        <f>BJ59-11692420706</f>
        <v>5847769277</v>
      </c>
    </row>
    <row r="69" spans="4:16" ht="17.25" customHeight="1">
      <c r="D69" s="75">
        <v>1146076790</v>
      </c>
      <c r="F69" s="95"/>
      <c r="G69" s="95"/>
      <c r="H69" s="95"/>
      <c r="I69" s="95"/>
      <c r="P69" s="75" t="e">
        <f>#REF!+#REF!</f>
        <v>#REF!</v>
      </c>
    </row>
    <row r="70" spans="4:9" ht="17.25" customHeight="1">
      <c r="D70" s="75">
        <f>SUM(D68:D69)</f>
        <v>187031403062</v>
      </c>
      <c r="F70" s="95"/>
      <c r="G70" s="95"/>
      <c r="H70" s="95"/>
      <c r="I70" s="95"/>
    </row>
    <row r="71" spans="6:9" ht="17.25" customHeight="1" thickBot="1">
      <c r="F71" s="142"/>
      <c r="G71" s="142"/>
      <c r="H71" s="142"/>
      <c r="I71" s="95"/>
    </row>
    <row r="72" spans="6:56" ht="17.25" customHeight="1">
      <c r="F72" s="141" t="s">
        <v>228</v>
      </c>
      <c r="G72" s="141">
        <v>2494837283</v>
      </c>
      <c r="H72" s="141">
        <v>9308554416</v>
      </c>
      <c r="I72" s="75" t="s">
        <v>236</v>
      </c>
      <c r="AZ72" s="108"/>
      <c r="BA72" s="108"/>
      <c r="BB72" s="96"/>
      <c r="BC72" s="96"/>
      <c r="BD72" s="96"/>
    </row>
    <row r="73" spans="5:56" ht="17.25" customHeight="1">
      <c r="E73" s="75" t="s">
        <v>232</v>
      </c>
      <c r="F73" s="113" t="s">
        <v>237</v>
      </c>
      <c r="G73" s="113">
        <v>973082727</v>
      </c>
      <c r="H73" s="113">
        <v>1068310586</v>
      </c>
      <c r="AZ73" s="109"/>
      <c r="BA73" s="109"/>
      <c r="BB73" s="97"/>
      <c r="BC73" s="97"/>
      <c r="BD73" s="97"/>
    </row>
    <row r="74" spans="5:56" ht="17.25" customHeight="1">
      <c r="E74" s="75" t="s">
        <v>235</v>
      </c>
      <c r="F74" s="113" t="s">
        <v>229</v>
      </c>
      <c r="G74" s="113">
        <v>620406328</v>
      </c>
      <c r="H74" s="113">
        <v>684231612</v>
      </c>
      <c r="AZ74" s="109"/>
      <c r="BA74" s="109"/>
      <c r="BB74" s="98"/>
      <c r="BC74" s="98"/>
      <c r="BD74" s="97"/>
    </row>
    <row r="75" spans="6:56" ht="17.25" customHeight="1">
      <c r="F75" s="113" t="s">
        <v>234</v>
      </c>
      <c r="G75" s="113"/>
      <c r="H75" s="113">
        <v>9873636359</v>
      </c>
      <c r="AZ75" s="109"/>
      <c r="BA75" s="109"/>
      <c r="BB75" s="98"/>
      <c r="BC75" s="98"/>
      <c r="BD75" s="97"/>
    </row>
    <row r="76" spans="6:56" ht="17.25" customHeight="1">
      <c r="F76" s="113" t="s">
        <v>230</v>
      </c>
      <c r="G76" s="113">
        <v>1448746218</v>
      </c>
      <c r="H76" s="113">
        <v>582106744</v>
      </c>
      <c r="AZ76" s="109"/>
      <c r="BA76" s="109"/>
      <c r="BB76" s="98"/>
      <c r="BC76" s="98"/>
      <c r="BD76" s="97"/>
    </row>
    <row r="77" spans="6:56" ht="17.25" customHeight="1">
      <c r="F77" s="113" t="s">
        <v>231</v>
      </c>
      <c r="G77" s="113"/>
      <c r="H77" s="113">
        <v>18066593454</v>
      </c>
      <c r="AZ77" s="109"/>
      <c r="BA77" s="109"/>
      <c r="BB77" s="98"/>
      <c r="BC77" s="98"/>
      <c r="BD77" s="97"/>
    </row>
    <row r="78" spans="5:56" ht="17.25" customHeight="1">
      <c r="E78" s="75" t="s">
        <v>233</v>
      </c>
      <c r="F78" s="113">
        <f>G78+H78</f>
        <v>45120505727</v>
      </c>
      <c r="G78" s="114">
        <f>SUM(G72:G77)</f>
        <v>5537072556</v>
      </c>
      <c r="H78" s="114">
        <f>SUM(H72:H77)</f>
        <v>39583433171</v>
      </c>
      <c r="AZ78" s="109"/>
      <c r="BA78" s="109"/>
      <c r="BB78" s="98"/>
      <c r="BC78" s="98"/>
      <c r="BD78" s="97"/>
    </row>
    <row r="79" spans="6:56" ht="17.25" customHeight="1">
      <c r="F79" s="113"/>
      <c r="G79" s="113"/>
      <c r="H79" s="113"/>
      <c r="AZ79" s="109"/>
      <c r="BA79" s="109"/>
      <c r="BB79" s="98"/>
      <c r="BC79" s="98"/>
      <c r="BD79" s="97"/>
    </row>
    <row r="80" spans="52:56" ht="17.25" customHeight="1">
      <c r="AZ80" s="109"/>
      <c r="BA80" s="109"/>
      <c r="BB80" s="98"/>
      <c r="BC80" s="98"/>
      <c r="BD80" s="97"/>
    </row>
    <row r="81" spans="52:56" ht="17.25" customHeight="1">
      <c r="AZ81" s="109"/>
      <c r="BA81" s="109"/>
      <c r="BB81" s="98"/>
      <c r="BC81" s="98"/>
      <c r="BD81" s="97"/>
    </row>
    <row r="82" spans="52:56" ht="17.25" customHeight="1">
      <c r="AZ82" s="109"/>
      <c r="BA82" s="109"/>
      <c r="BB82" s="98"/>
      <c r="BC82" s="98"/>
      <c r="BD82" s="97"/>
    </row>
    <row r="83" spans="52:56" ht="17.25" customHeight="1">
      <c r="AZ83" s="109"/>
      <c r="BA83" s="109"/>
      <c r="BB83" s="98"/>
      <c r="BC83" s="98"/>
      <c r="BD83" s="97"/>
    </row>
    <row r="84" spans="52:56" ht="17.25" customHeight="1">
      <c r="AZ84" s="109"/>
      <c r="BA84" s="109"/>
      <c r="BB84" s="98"/>
      <c r="BC84" s="98"/>
      <c r="BD84" s="97"/>
    </row>
    <row r="85" spans="52:56" ht="17.25" customHeight="1">
      <c r="AZ85" s="109"/>
      <c r="BA85" s="109"/>
      <c r="BB85" s="98"/>
      <c r="BC85" s="98"/>
      <c r="BD85" s="97"/>
    </row>
    <row r="86" spans="52:56" ht="17.25" customHeight="1">
      <c r="AZ86" s="109"/>
      <c r="BA86" s="110"/>
      <c r="BB86" s="98"/>
      <c r="BC86" s="98"/>
      <c r="BD86" s="97"/>
    </row>
    <row r="87" spans="52:56" ht="17.25" customHeight="1">
      <c r="AZ87" s="109"/>
      <c r="BA87" s="111"/>
      <c r="BB87" s="99"/>
      <c r="BC87" s="99"/>
      <c r="BD87" s="100"/>
    </row>
    <row r="88" spans="52:56" ht="17.25" customHeight="1">
      <c r="AZ88" s="95"/>
      <c r="BA88" s="95"/>
      <c r="BB88" s="95"/>
      <c r="BC88" s="95"/>
      <c r="BD88" s="95"/>
    </row>
  </sheetData>
  <mergeCells count="2">
    <mergeCell ref="A1:P1"/>
    <mergeCell ref="AZ66:BB66"/>
  </mergeCells>
  <printOptions/>
  <pageMargins left="0.4" right="0.34" top="0.22" bottom="0.27" header="0.26" footer="0.2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C16">
      <selection activeCell="F28" sqref="F28"/>
    </sheetView>
  </sheetViews>
  <sheetFormatPr defaultColWidth="9.00390625" defaultRowHeight="12.75"/>
  <cols>
    <col min="1" max="1" width="6.75390625" style="2" customWidth="1"/>
    <col min="2" max="2" width="24.375" style="2" customWidth="1"/>
    <col min="3" max="3" width="18.00390625" style="1" customWidth="1"/>
    <col min="4" max="4" width="17.75390625" style="1" customWidth="1"/>
    <col min="5" max="5" width="19.75390625" style="1" customWidth="1"/>
    <col min="6" max="6" width="19.375" style="1" customWidth="1"/>
    <col min="7" max="7" width="18.00390625" style="1" customWidth="1"/>
    <col min="8" max="8" width="17.875" style="1" customWidth="1"/>
    <col min="9" max="9" width="24.375" style="1" customWidth="1"/>
    <col min="10" max="10" width="21.00390625" style="1" customWidth="1"/>
    <col min="11" max="11" width="19.00390625" style="1" customWidth="1"/>
    <col min="12" max="12" width="17.875" style="2" customWidth="1"/>
    <col min="13" max="13" width="23.25390625" style="2" customWidth="1"/>
    <col min="14" max="16384" width="8.875" style="2" customWidth="1"/>
  </cols>
  <sheetData>
    <row r="1" spans="1:20" s="18" customFormat="1" ht="23.25" customHeight="1">
      <c r="A1" s="175" t="s">
        <v>287</v>
      </c>
      <c r="B1" s="175"/>
      <c r="C1" s="175"/>
      <c r="D1" s="175"/>
      <c r="E1" s="175"/>
      <c r="F1" s="175"/>
      <c r="G1" s="175"/>
      <c r="H1" s="175"/>
      <c r="I1" s="192" t="s">
        <v>266</v>
      </c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11" s="16" customFormat="1" ht="16.5" customHeight="1">
      <c r="A2" s="173" t="s">
        <v>8</v>
      </c>
      <c r="B2" s="173" t="s">
        <v>9</v>
      </c>
      <c r="C2" s="176" t="s">
        <v>10</v>
      </c>
      <c r="D2" s="177"/>
      <c r="E2" s="176" t="s">
        <v>11</v>
      </c>
      <c r="F2" s="177"/>
      <c r="G2" s="176" t="s">
        <v>12</v>
      </c>
      <c r="H2" s="177"/>
      <c r="I2" s="145"/>
      <c r="J2" s="145"/>
      <c r="K2" s="145"/>
    </row>
    <row r="3" spans="1:11" s="16" customFormat="1" ht="16.5" customHeight="1">
      <c r="A3" s="174"/>
      <c r="B3" s="174"/>
      <c r="C3" s="15" t="s">
        <v>13</v>
      </c>
      <c r="D3" s="15" t="s">
        <v>14</v>
      </c>
      <c r="E3" s="17" t="s">
        <v>13</v>
      </c>
      <c r="F3" s="15" t="s">
        <v>14</v>
      </c>
      <c r="G3" s="15" t="s">
        <v>13</v>
      </c>
      <c r="H3" s="15" t="s">
        <v>14</v>
      </c>
      <c r="I3" s="145"/>
      <c r="J3" s="145"/>
      <c r="K3" s="145"/>
    </row>
    <row r="4" spans="1:8" ht="18.75" customHeight="1">
      <c r="A4" s="3">
        <v>1111</v>
      </c>
      <c r="B4" s="74" t="s">
        <v>15</v>
      </c>
      <c r="C4" s="7">
        <v>2347447429</v>
      </c>
      <c r="D4" s="7"/>
      <c r="E4" s="4">
        <f>'ban co ca nam 2010'!BK4</f>
        <v>69639855320</v>
      </c>
      <c r="F4" s="4">
        <f>'ban co ca nam 2010'!BL4</f>
        <v>69198022882</v>
      </c>
      <c r="G4" s="7">
        <f>IF((E4+C4)&gt;(F4+D4),(E4+C4)-(F4+D4),0)</f>
        <v>2789279867</v>
      </c>
      <c r="H4" s="7">
        <f aca="true" t="shared" si="0" ref="H4:H45">IF((F4+D4)&gt;(E4+C4),(F4+D4)-(E4+C4),0)</f>
        <v>0</v>
      </c>
    </row>
    <row r="5" spans="1:8" ht="18.75" customHeight="1">
      <c r="A5" s="5">
        <v>112</v>
      </c>
      <c r="B5" s="6" t="s">
        <v>16</v>
      </c>
      <c r="C5" s="7">
        <v>11201919376</v>
      </c>
      <c r="D5" s="7"/>
      <c r="E5" s="7">
        <f>'ban co ca nam 2010'!BK5+'ban co ca nam 2010'!BK6</f>
        <v>257236256983</v>
      </c>
      <c r="F5" s="7">
        <f>'ban co ca nam 2010'!BL5+'ban co ca nam 2010'!BL6</f>
        <v>241321343107</v>
      </c>
      <c r="G5" s="7">
        <f aca="true" t="shared" si="1" ref="G5:G58">IF((E5+C5)&gt;(F5+D5),(E5+C5)-(F5+D5),0)</f>
        <v>27116833252</v>
      </c>
      <c r="H5" s="7">
        <f t="shared" si="0"/>
        <v>0</v>
      </c>
    </row>
    <row r="6" spans="1:8" ht="18.75" customHeight="1">
      <c r="A6" s="5">
        <v>128</v>
      </c>
      <c r="B6" s="6" t="s">
        <v>17</v>
      </c>
      <c r="C6" s="7">
        <v>20000000000</v>
      </c>
      <c r="D6" s="7"/>
      <c r="E6" s="7">
        <f>'ban co ca nam 2010'!BK7</f>
        <v>147000000000</v>
      </c>
      <c r="F6" s="7">
        <f>'ban co ca nam 2010'!BL7</f>
        <v>123000000000</v>
      </c>
      <c r="G6" s="7">
        <f t="shared" si="1"/>
        <v>44000000000</v>
      </c>
      <c r="H6" s="7">
        <f t="shared" si="0"/>
        <v>0</v>
      </c>
    </row>
    <row r="7" spans="1:9" ht="18.75" customHeight="1">
      <c r="A7" s="5">
        <v>131</v>
      </c>
      <c r="B7" s="6" t="s">
        <v>18</v>
      </c>
      <c r="C7" s="7">
        <v>7291877168</v>
      </c>
      <c r="D7" s="7">
        <v>34495727343</v>
      </c>
      <c r="E7" s="7">
        <f>'ban co ca nam 2010'!BK8-8400000000-399936741</f>
        <v>170439037537</v>
      </c>
      <c r="F7" s="7">
        <f>'ban co ca nam 2010'!BL8-8400000000</f>
        <v>138398235301</v>
      </c>
      <c r="G7" s="7">
        <v>12715615504</v>
      </c>
      <c r="H7" s="7">
        <v>7878663443</v>
      </c>
      <c r="I7" s="1">
        <f>C7+E7-D7-F7-G7</f>
        <v>-7878663443</v>
      </c>
    </row>
    <row r="8" spans="1:8" ht="18.75" customHeight="1">
      <c r="A8" s="5">
        <v>133</v>
      </c>
      <c r="B8" s="6" t="s">
        <v>19</v>
      </c>
      <c r="C8" s="7"/>
      <c r="D8" s="7"/>
      <c r="E8" s="7">
        <f>'DC ban co 17-6 '!H65</f>
        <v>4298590828</v>
      </c>
      <c r="F8" s="7">
        <f>'DC ban co 17-6 '!BJ9</f>
        <v>4298590828</v>
      </c>
      <c r="G8" s="7">
        <f t="shared" si="1"/>
        <v>0</v>
      </c>
      <c r="H8" s="7">
        <f t="shared" si="0"/>
        <v>0</v>
      </c>
    </row>
    <row r="9" spans="1:8" ht="18.75" customHeight="1">
      <c r="A9" s="5">
        <v>1388</v>
      </c>
      <c r="B9" s="6" t="s">
        <v>20</v>
      </c>
      <c r="C9" s="7">
        <v>38321021190</v>
      </c>
      <c r="D9" s="7"/>
      <c r="E9" s="7">
        <f>'ban co ca nam 2010'!BK10</f>
        <v>10000000000</v>
      </c>
      <c r="F9" s="7">
        <f>'ban co ca nam 2010'!BL10</f>
        <v>48321021190</v>
      </c>
      <c r="G9" s="7">
        <f t="shared" si="1"/>
        <v>0</v>
      </c>
      <c r="H9" s="7">
        <f t="shared" si="0"/>
        <v>0</v>
      </c>
    </row>
    <row r="10" spans="1:8" ht="18.75" customHeight="1">
      <c r="A10" s="5">
        <v>141</v>
      </c>
      <c r="B10" s="6" t="s">
        <v>21</v>
      </c>
      <c r="C10" s="7">
        <v>984877500</v>
      </c>
      <c r="D10" s="7"/>
      <c r="E10" s="7">
        <f>'ban co ca nam 2010'!BK11</f>
        <v>563000000</v>
      </c>
      <c r="F10" s="7">
        <f>'ban co ca nam 2010'!BL11</f>
        <v>671864500</v>
      </c>
      <c r="G10" s="7">
        <f t="shared" si="1"/>
        <v>876013000</v>
      </c>
      <c r="H10" s="7">
        <f t="shared" si="0"/>
        <v>0</v>
      </c>
    </row>
    <row r="11" spans="1:8" ht="18.75" customHeight="1">
      <c r="A11" s="5">
        <v>142</v>
      </c>
      <c r="B11" s="6" t="s">
        <v>22</v>
      </c>
      <c r="C11" s="7">
        <v>48239547</v>
      </c>
      <c r="D11" s="7"/>
      <c r="E11" s="7">
        <f>'ban co ca nam 2010'!BK12</f>
        <v>74750000</v>
      </c>
      <c r="F11" s="7">
        <f>'ban co ca nam 2010'!BL12</f>
        <v>122989547</v>
      </c>
      <c r="G11" s="7">
        <f t="shared" si="1"/>
        <v>0</v>
      </c>
      <c r="H11" s="7">
        <f t="shared" si="0"/>
        <v>0</v>
      </c>
    </row>
    <row r="12" spans="1:8" ht="18.75" customHeight="1">
      <c r="A12" s="5">
        <v>144</v>
      </c>
      <c r="B12" s="6" t="s">
        <v>225</v>
      </c>
      <c r="C12" s="7">
        <v>5110000</v>
      </c>
      <c r="D12" s="7"/>
      <c r="E12" s="7">
        <f>'ban co ca nam 2010'!BK13</f>
        <v>0</v>
      </c>
      <c r="F12" s="7">
        <f>'ban co ca nam 2010'!BL13</f>
        <v>0</v>
      </c>
      <c r="G12" s="7">
        <f t="shared" si="1"/>
        <v>5110000</v>
      </c>
      <c r="H12" s="7">
        <f t="shared" si="0"/>
        <v>0</v>
      </c>
    </row>
    <row r="13" spans="1:8" ht="18.75" customHeight="1">
      <c r="A13" s="5">
        <v>152</v>
      </c>
      <c r="B13" s="6" t="s">
        <v>23</v>
      </c>
      <c r="C13" s="7">
        <v>8316543210</v>
      </c>
      <c r="D13" s="7"/>
      <c r="E13" s="7">
        <f>'ban co ca nam 2010'!BK14</f>
        <v>12131496739</v>
      </c>
      <c r="F13" s="7">
        <f>'ban co ca nam 2010'!BL14</f>
        <v>13439321079</v>
      </c>
      <c r="G13" s="7">
        <f t="shared" si="1"/>
        <v>7008718870</v>
      </c>
      <c r="H13" s="7">
        <f t="shared" si="0"/>
        <v>0</v>
      </c>
    </row>
    <row r="14" spans="1:8" ht="18.75" customHeight="1">
      <c r="A14" s="5">
        <v>153</v>
      </c>
      <c r="B14" s="6" t="s">
        <v>24</v>
      </c>
      <c r="C14" s="7">
        <v>317423183</v>
      </c>
      <c r="D14" s="7"/>
      <c r="E14" s="7">
        <f>'ban co ca nam 2010'!BK15</f>
        <v>225137988</v>
      </c>
      <c r="F14" s="7">
        <f>'ban co ca nam 2010'!BL15</f>
        <v>503138775</v>
      </c>
      <c r="G14" s="7">
        <f t="shared" si="1"/>
        <v>39422396</v>
      </c>
      <c r="H14" s="7">
        <f t="shared" si="0"/>
        <v>0</v>
      </c>
    </row>
    <row r="15" spans="1:8" ht="18.75" customHeight="1">
      <c r="A15" s="5">
        <v>154</v>
      </c>
      <c r="B15" s="6" t="s">
        <v>25</v>
      </c>
      <c r="C15" s="7">
        <v>21962646780</v>
      </c>
      <c r="D15" s="7"/>
      <c r="E15" s="7">
        <f>'ban co ca nam 2010'!BK16-7037358043</f>
        <v>122029813413</v>
      </c>
      <c r="F15" s="7">
        <f>'ban co ca nam 2010'!BL16-7037358043-2223793454</f>
        <v>80130764022</v>
      </c>
      <c r="G15" s="7">
        <f t="shared" si="1"/>
        <v>63861696171</v>
      </c>
      <c r="H15" s="7">
        <f t="shared" si="0"/>
        <v>0</v>
      </c>
    </row>
    <row r="16" spans="1:8" ht="18.75" customHeight="1">
      <c r="A16" s="5">
        <v>155</v>
      </c>
      <c r="B16" s="6" t="s">
        <v>26</v>
      </c>
      <c r="C16" s="7">
        <v>555880559</v>
      </c>
      <c r="D16" s="7"/>
      <c r="E16" s="7">
        <f>'ban co ca nam 2010'!BK17</f>
        <v>15989737023</v>
      </c>
      <c r="F16" s="7">
        <f>'ban co ca nam 2010'!BL17</f>
        <v>15513802400</v>
      </c>
      <c r="G16" s="7">
        <f t="shared" si="1"/>
        <v>1031815182</v>
      </c>
      <c r="H16" s="7">
        <f t="shared" si="0"/>
        <v>0</v>
      </c>
    </row>
    <row r="17" spans="1:8" ht="18.75" customHeight="1">
      <c r="A17" s="5">
        <v>156</v>
      </c>
      <c r="B17" s="6" t="s">
        <v>27</v>
      </c>
      <c r="C17" s="7"/>
      <c r="D17" s="7"/>
      <c r="E17" s="7">
        <f>'ban co ca nam 2010'!BK18</f>
        <v>3429810236</v>
      </c>
      <c r="F17" s="7">
        <f>'ban co ca nam 2010'!BL18</f>
        <v>2896153569</v>
      </c>
      <c r="G17" s="7">
        <f t="shared" si="1"/>
        <v>533656667</v>
      </c>
      <c r="H17" s="7">
        <f t="shared" si="0"/>
        <v>0</v>
      </c>
    </row>
    <row r="18" spans="1:8" ht="18.75" customHeight="1">
      <c r="A18" s="5">
        <v>159</v>
      </c>
      <c r="B18" s="6" t="s">
        <v>250</v>
      </c>
      <c r="C18" s="7"/>
      <c r="D18" s="7"/>
      <c r="E18" s="7">
        <f>'ban co ca nam 2010'!BK19</f>
        <v>0</v>
      </c>
      <c r="F18" s="7">
        <f>'ban co ca nam 2010'!BL19</f>
        <v>0</v>
      </c>
      <c r="G18" s="7">
        <f t="shared" si="1"/>
        <v>0</v>
      </c>
      <c r="H18" s="7">
        <f t="shared" si="0"/>
        <v>0</v>
      </c>
    </row>
    <row r="19" spans="1:8" ht="18.75" customHeight="1">
      <c r="A19" s="5">
        <v>211</v>
      </c>
      <c r="B19" s="6" t="s">
        <v>28</v>
      </c>
      <c r="C19" s="7">
        <v>23649473469</v>
      </c>
      <c r="D19" s="7"/>
      <c r="E19" s="144">
        <f>'DC ban co 17-6 '!BK20</f>
        <v>1930014909</v>
      </c>
      <c r="F19" s="144">
        <f>'DC ban co 17-6 '!BL20</f>
        <v>1923605887</v>
      </c>
      <c r="G19" s="7">
        <f>IF((E19+C19)&gt;(F19+D19),(E19+C19)-(F19+D19),0)</f>
        <v>23655882491</v>
      </c>
      <c r="H19" s="7">
        <f>IF((F19+D19)&gt;(E19+C19),(F19+D19)-(E19+C19),0)</f>
        <v>0</v>
      </c>
    </row>
    <row r="20" spans="1:8" ht="18.75" customHeight="1">
      <c r="A20" s="5">
        <v>214</v>
      </c>
      <c r="B20" s="6" t="s">
        <v>29</v>
      </c>
      <c r="C20" s="7"/>
      <c r="D20" s="7">
        <v>8295248423</v>
      </c>
      <c r="E20" s="7">
        <f>'DC ban co 17-6 '!BK21</f>
        <v>963913618</v>
      </c>
      <c r="F20" s="7">
        <f>'ban co ca nam 2010'!BL21</f>
        <v>1164992359</v>
      </c>
      <c r="G20" s="7">
        <f t="shared" si="1"/>
        <v>0</v>
      </c>
      <c r="H20" s="7">
        <f t="shared" si="0"/>
        <v>8496327164</v>
      </c>
    </row>
    <row r="21" spans="1:8" ht="18.75" customHeight="1">
      <c r="A21" s="5">
        <v>221</v>
      </c>
      <c r="B21" s="6" t="s">
        <v>224</v>
      </c>
      <c r="C21" s="7">
        <v>3125000000</v>
      </c>
      <c r="D21" s="7"/>
      <c r="E21" s="7">
        <f>'ban co ca nam 2010'!BK22</f>
        <v>0</v>
      </c>
      <c r="F21" s="7">
        <f>'ban co ca nam 2010'!BL22</f>
        <v>0</v>
      </c>
      <c r="G21" s="7">
        <f t="shared" si="1"/>
        <v>3125000000</v>
      </c>
      <c r="H21" s="7">
        <f t="shared" si="0"/>
        <v>0</v>
      </c>
    </row>
    <row r="22" spans="1:8" ht="18.75" customHeight="1">
      <c r="A22" s="5">
        <v>222</v>
      </c>
      <c r="B22" s="6" t="s">
        <v>211</v>
      </c>
      <c r="C22" s="7"/>
      <c r="D22" s="7">
        <v>9500000000</v>
      </c>
      <c r="E22" s="7">
        <f>'ban co ca nam 2010'!BK23-8400000000+7037358043</f>
        <v>10137358043</v>
      </c>
      <c r="F22" s="7">
        <f>'ban co ca nam 2010'!BL23</f>
        <v>2000000000</v>
      </c>
      <c r="G22" s="7">
        <f t="shared" si="1"/>
        <v>0</v>
      </c>
      <c r="H22" s="7">
        <f t="shared" si="0"/>
        <v>1362641957</v>
      </c>
    </row>
    <row r="23" spans="1:8" ht="18.75" customHeight="1">
      <c r="A23" s="5">
        <v>241</v>
      </c>
      <c r="B23" s="6" t="s">
        <v>30</v>
      </c>
      <c r="C23" s="7"/>
      <c r="D23" s="7"/>
      <c r="E23" s="7">
        <v>7037358043</v>
      </c>
      <c r="F23" s="7">
        <v>7037358043</v>
      </c>
      <c r="G23" s="7">
        <f t="shared" si="1"/>
        <v>0</v>
      </c>
      <c r="H23" s="7">
        <f t="shared" si="0"/>
        <v>0</v>
      </c>
    </row>
    <row r="24" spans="1:8" ht="18.75" customHeight="1">
      <c r="A24" s="5">
        <v>242</v>
      </c>
      <c r="B24" s="6" t="s">
        <v>31</v>
      </c>
      <c r="C24" s="7"/>
      <c r="D24" s="7"/>
      <c r="E24" s="7">
        <f>'ban co ca nam 2010'!BK25</f>
        <v>0</v>
      </c>
      <c r="F24" s="7">
        <f>'ban co ca nam 2010'!BL25</f>
        <v>0</v>
      </c>
      <c r="G24" s="7">
        <f t="shared" si="1"/>
        <v>0</v>
      </c>
      <c r="H24" s="7">
        <f t="shared" si="0"/>
        <v>0</v>
      </c>
    </row>
    <row r="25" spans="1:8" ht="18.75" customHeight="1">
      <c r="A25" s="5">
        <v>311</v>
      </c>
      <c r="B25" s="6" t="s">
        <v>212</v>
      </c>
      <c r="C25" s="7"/>
      <c r="D25" s="7">
        <v>10000000000</v>
      </c>
      <c r="E25" s="7">
        <f>'ban co ca nam 2010'!BK26</f>
        <v>10000000000</v>
      </c>
      <c r="F25" s="7">
        <f>'ban co ca nam 2010'!BL26</f>
        <v>0</v>
      </c>
      <c r="G25" s="7">
        <f t="shared" si="1"/>
        <v>0</v>
      </c>
      <c r="H25" s="7">
        <f t="shared" si="0"/>
        <v>0</v>
      </c>
    </row>
    <row r="26" spans="1:9" ht="18.75" customHeight="1">
      <c r="A26" s="5">
        <v>331</v>
      </c>
      <c r="B26" s="6" t="s">
        <v>32</v>
      </c>
      <c r="C26" s="7">
        <v>12831340284</v>
      </c>
      <c r="D26" s="7">
        <v>7353212377</v>
      </c>
      <c r="E26" s="7">
        <f>'ban co ca nam 2010'!BK27</f>
        <v>59364341494</v>
      </c>
      <c r="F26" s="7">
        <f>'ban co ca nam 2010'!BL27</f>
        <v>92128271518</v>
      </c>
      <c r="G26" s="7">
        <v>157104579</v>
      </c>
      <c r="H26" s="7">
        <v>27442906696</v>
      </c>
      <c r="I26" s="1">
        <f>F26+D26-C26-E26+G26</f>
        <v>27442906696</v>
      </c>
    </row>
    <row r="27" spans="1:8" ht="18.75" customHeight="1">
      <c r="A27" s="5">
        <v>3331</v>
      </c>
      <c r="B27" s="6" t="s">
        <v>33</v>
      </c>
      <c r="C27" s="7"/>
      <c r="D27" s="7">
        <v>311300751</v>
      </c>
      <c r="E27" s="7">
        <f>'DC ban co 17-6 '!BK28</f>
        <v>11927753484</v>
      </c>
      <c r="F27" s="7">
        <f>'DC ban co 17-6 '!BL28</f>
        <v>13815884756</v>
      </c>
      <c r="G27" s="7">
        <f t="shared" si="1"/>
        <v>0</v>
      </c>
      <c r="H27" s="7">
        <f t="shared" si="0"/>
        <v>2199432023</v>
      </c>
    </row>
    <row r="28" spans="1:10" ht="18.75" customHeight="1">
      <c r="A28" s="5">
        <v>3334</v>
      </c>
      <c r="B28" s="6" t="s">
        <v>249</v>
      </c>
      <c r="C28" s="7">
        <v>910315702</v>
      </c>
      <c r="D28" s="7"/>
      <c r="E28" s="7">
        <f>'DC ban co 17-6 '!BK29</f>
        <v>1440361925</v>
      </c>
      <c r="F28" s="7">
        <f>'DC ban co 17-6 '!BL29</f>
        <v>1737803371</v>
      </c>
      <c r="G28" s="7">
        <f t="shared" si="1"/>
        <v>612874256</v>
      </c>
      <c r="H28" s="7">
        <f t="shared" si="0"/>
        <v>0</v>
      </c>
      <c r="I28" s="153">
        <f>H45*25/100-1054569967</f>
        <v>-1054569967</v>
      </c>
      <c r="J28" s="153" t="s">
        <v>260</v>
      </c>
    </row>
    <row r="29" spans="1:8" ht="18.75" customHeight="1">
      <c r="A29" s="5">
        <v>3335</v>
      </c>
      <c r="B29" s="6" t="s">
        <v>216</v>
      </c>
      <c r="C29" s="7"/>
      <c r="D29" s="7">
        <v>1560400</v>
      </c>
      <c r="E29" s="7">
        <f>'ban co ca nam 2010'!BK30</f>
        <v>17416186</v>
      </c>
      <c r="F29" s="7">
        <f>'ban co ca nam 2010'!BL30</f>
        <v>83105527</v>
      </c>
      <c r="G29" s="7">
        <f t="shared" si="1"/>
        <v>0</v>
      </c>
      <c r="H29" s="7">
        <f t="shared" si="0"/>
        <v>67249741</v>
      </c>
    </row>
    <row r="30" spans="1:9" ht="18.75" customHeight="1">
      <c r="A30" s="5">
        <v>3337</v>
      </c>
      <c r="B30" s="6" t="s">
        <v>34</v>
      </c>
      <c r="C30" s="7"/>
      <c r="D30" s="7">
        <v>37373800</v>
      </c>
      <c r="E30" s="7">
        <f>'ban co ca nam 2010'!BK31</f>
        <v>420675600</v>
      </c>
      <c r="F30" s="7">
        <f>'ban co ca nam 2010'!BL31</f>
        <v>383301800</v>
      </c>
      <c r="G30" s="7">
        <f t="shared" si="1"/>
        <v>0</v>
      </c>
      <c r="H30" s="7">
        <f t="shared" si="0"/>
        <v>0</v>
      </c>
      <c r="I30" s="1" t="s">
        <v>290</v>
      </c>
    </row>
    <row r="31" spans="1:11" s="143" customFormat="1" ht="18.75" customHeight="1">
      <c r="A31" s="64">
        <v>334</v>
      </c>
      <c r="B31" s="65" t="s">
        <v>35</v>
      </c>
      <c r="C31" s="66"/>
      <c r="D31" s="66"/>
      <c r="E31" s="66">
        <f>'ban co ca nam 2010'!BK32</f>
        <v>10141027200</v>
      </c>
      <c r="F31" s="66">
        <f>'ban co ca nam 2010'!BL32</f>
        <v>12109735200</v>
      </c>
      <c r="G31" s="66">
        <f t="shared" si="1"/>
        <v>0</v>
      </c>
      <c r="H31" s="66">
        <f t="shared" si="0"/>
        <v>1968708000</v>
      </c>
      <c r="I31" s="146">
        <v>1131796975</v>
      </c>
      <c r="J31" s="146"/>
      <c r="K31" s="146"/>
    </row>
    <row r="32" spans="1:10" ht="18.75" customHeight="1">
      <c r="A32" s="5">
        <v>3381</v>
      </c>
      <c r="B32" s="6" t="s">
        <v>217</v>
      </c>
      <c r="C32" s="7"/>
      <c r="D32" s="7"/>
      <c r="E32" s="7">
        <f>'ban co ca nam 2010'!BK33</f>
        <v>0</v>
      </c>
      <c r="F32" s="7">
        <f>'ban co ca nam 2010'!BL33</f>
        <v>0</v>
      </c>
      <c r="G32" s="7">
        <f t="shared" si="1"/>
        <v>0</v>
      </c>
      <c r="H32" s="7">
        <f t="shared" si="0"/>
        <v>0</v>
      </c>
      <c r="I32" s="1">
        <f>F28-I31</f>
        <v>606006396</v>
      </c>
      <c r="J32" s="1" t="s">
        <v>291</v>
      </c>
    </row>
    <row r="33" spans="1:9" ht="18.75" customHeight="1">
      <c r="A33" s="5">
        <v>3382</v>
      </c>
      <c r="B33" s="6" t="s">
        <v>36</v>
      </c>
      <c r="C33" s="7"/>
      <c r="D33" s="7"/>
      <c r="E33" s="7">
        <f>'ban co ca nam 2010'!BK34</f>
        <v>102883600</v>
      </c>
      <c r="F33" s="7">
        <f>'ban co ca nam 2010'!BL34</f>
        <v>102883600</v>
      </c>
      <c r="G33" s="7">
        <f t="shared" si="1"/>
        <v>0</v>
      </c>
      <c r="H33" s="7">
        <f t="shared" si="0"/>
        <v>0</v>
      </c>
      <c r="I33" s="1">
        <f>E33-F33</f>
        <v>0</v>
      </c>
    </row>
    <row r="34" spans="1:8" ht="18.75" customHeight="1">
      <c r="A34" s="5">
        <v>3383</v>
      </c>
      <c r="B34" s="6" t="s">
        <v>37</v>
      </c>
      <c r="C34" s="7">
        <v>132465105</v>
      </c>
      <c r="D34" s="7"/>
      <c r="E34" s="7">
        <f>'ban co ca nam 2010'!BK35</f>
        <v>1530837620</v>
      </c>
      <c r="F34" s="7">
        <f>'ban co ca nam 2010'!BL35</f>
        <v>1487125193</v>
      </c>
      <c r="G34" s="7">
        <f t="shared" si="1"/>
        <v>176177532</v>
      </c>
      <c r="H34" s="7">
        <f t="shared" si="0"/>
        <v>0</v>
      </c>
    </row>
    <row r="35" spans="1:8" ht="18.75" customHeight="1">
      <c r="A35" s="5">
        <v>3384</v>
      </c>
      <c r="B35" s="6" t="s">
        <v>38</v>
      </c>
      <c r="C35" s="7"/>
      <c r="D35" s="7"/>
      <c r="E35" s="7">
        <f>'ban co ca nam 2010'!BK36</f>
        <v>237027779</v>
      </c>
      <c r="F35" s="7">
        <f>'ban co ca nam 2010'!BL36</f>
        <v>237027779</v>
      </c>
      <c r="G35" s="7">
        <f t="shared" si="1"/>
        <v>0</v>
      </c>
      <c r="H35" s="7">
        <f t="shared" si="0"/>
        <v>0</v>
      </c>
    </row>
    <row r="36" spans="1:8" ht="18.75" customHeight="1">
      <c r="A36" s="5">
        <v>3387</v>
      </c>
      <c r="B36" s="6" t="s">
        <v>39</v>
      </c>
      <c r="C36" s="7"/>
      <c r="D36" s="7">
        <v>34286263017</v>
      </c>
      <c r="E36" s="7">
        <f>'ban co ca nam 2010'!BK37</f>
        <v>2223793454</v>
      </c>
      <c r="F36" s="7">
        <f>'ban co ca nam 2010'!BL37</f>
        <v>47207990107</v>
      </c>
      <c r="G36" s="7">
        <f t="shared" si="1"/>
        <v>0</v>
      </c>
      <c r="H36" s="7">
        <f t="shared" si="0"/>
        <v>79270459670</v>
      </c>
    </row>
    <row r="37" spans="1:8" ht="18.75" customHeight="1">
      <c r="A37" s="64">
        <v>3388</v>
      </c>
      <c r="B37" s="65" t="s">
        <v>40</v>
      </c>
      <c r="C37" s="66"/>
      <c r="D37" s="66"/>
      <c r="E37" s="7">
        <f>'ban co ca nam 2010'!BK38</f>
        <v>22024625000</v>
      </c>
      <c r="F37" s="7">
        <f>'ban co ca nam 2010'!BL38+2533106737-606006396</f>
        <v>23951725341</v>
      </c>
      <c r="G37" s="66">
        <f t="shared" si="1"/>
        <v>0</v>
      </c>
      <c r="H37" s="66">
        <f t="shared" si="0"/>
        <v>1927100341</v>
      </c>
    </row>
    <row r="38" spans="1:8" ht="18.75" customHeight="1">
      <c r="A38" s="5">
        <v>3389</v>
      </c>
      <c r="B38" s="6" t="s">
        <v>221</v>
      </c>
      <c r="C38" s="7"/>
      <c r="D38" s="7"/>
      <c r="E38" s="7">
        <f>'ban co ca nam 2010'!BK39</f>
        <v>103644415</v>
      </c>
      <c r="F38" s="7">
        <f>'ban co ca nam 2010'!BL39</f>
        <v>103644415</v>
      </c>
      <c r="G38" s="7">
        <f t="shared" si="1"/>
        <v>0</v>
      </c>
      <c r="H38" s="7">
        <f t="shared" si="0"/>
        <v>0</v>
      </c>
    </row>
    <row r="39" spans="1:8" ht="18.75" customHeight="1">
      <c r="A39" s="5">
        <v>351</v>
      </c>
      <c r="B39" s="6" t="s">
        <v>226</v>
      </c>
      <c r="C39" s="7"/>
      <c r="D39" s="7">
        <v>345961943</v>
      </c>
      <c r="E39" s="7">
        <f>'ban co ca nam 2010'!BK40</f>
        <v>0</v>
      </c>
      <c r="F39" s="7">
        <f>'ban co ca nam 2010'!BL40+154258182</f>
        <v>154258182</v>
      </c>
      <c r="G39" s="7">
        <f t="shared" si="1"/>
        <v>0</v>
      </c>
      <c r="H39" s="7">
        <f t="shared" si="0"/>
        <v>500220125</v>
      </c>
    </row>
    <row r="40" spans="1:8" ht="18.75" customHeight="1">
      <c r="A40" s="5">
        <v>411</v>
      </c>
      <c r="B40" s="6" t="s">
        <v>41</v>
      </c>
      <c r="C40" s="7"/>
      <c r="D40" s="7">
        <v>41813584381</v>
      </c>
      <c r="E40" s="7"/>
      <c r="F40" s="7">
        <f>'DC ban co 17-6 '!BL41</f>
        <v>8085058214</v>
      </c>
      <c r="G40" s="7">
        <f t="shared" si="1"/>
        <v>0</v>
      </c>
      <c r="H40" s="7">
        <f t="shared" si="0"/>
        <v>49898642595</v>
      </c>
    </row>
    <row r="41" spans="1:13" ht="18.75" customHeight="1">
      <c r="A41" s="5">
        <v>413</v>
      </c>
      <c r="B41" s="6" t="s">
        <v>219</v>
      </c>
      <c r="C41" s="7"/>
      <c r="D41" s="7"/>
      <c r="E41" s="7">
        <f>'ban co ca nam 2010'!BK42</f>
        <v>15400081</v>
      </c>
      <c r="F41" s="7">
        <f>'ban co ca nam 2010'!BL42</f>
        <v>15400081</v>
      </c>
      <c r="G41" s="7">
        <f>IF((E40+C40)&gt;(F40+D40),(E40+C40)-(F40+D40),0)</f>
        <v>0</v>
      </c>
      <c r="H41" s="7">
        <f t="shared" si="0"/>
        <v>0</v>
      </c>
      <c r="L41" s="150"/>
      <c r="M41" s="150"/>
    </row>
    <row r="42" spans="1:13" ht="18.75" customHeight="1">
      <c r="A42" s="5">
        <v>414</v>
      </c>
      <c r="B42" s="6" t="s">
        <v>42</v>
      </c>
      <c r="C42" s="7"/>
      <c r="D42" s="7">
        <v>3837970009</v>
      </c>
      <c r="E42" s="7">
        <f>'ban co ca nam 2010'!BK43</f>
        <v>0</v>
      </c>
      <c r="F42" s="7">
        <f>'ban co ca nam 2010'!BL43</f>
        <v>0</v>
      </c>
      <c r="G42" s="7">
        <f>IF((E41+C41)&gt;(F41+D41),(E41+C41)-(F41+D41),0)</f>
        <v>0</v>
      </c>
      <c r="H42" s="7">
        <f t="shared" si="0"/>
        <v>3837970009</v>
      </c>
      <c r="L42" s="150"/>
      <c r="M42" s="150"/>
    </row>
    <row r="43" spans="1:13" ht="18.75" customHeight="1">
      <c r="A43" s="5">
        <v>415</v>
      </c>
      <c r="B43" s="6" t="s">
        <v>220</v>
      </c>
      <c r="C43" s="7"/>
      <c r="D43" s="7">
        <v>728432964</v>
      </c>
      <c r="E43" s="7">
        <f>'ban co ca nam 2010'!BK44</f>
        <v>0</v>
      </c>
      <c r="F43" s="7">
        <f>'DC ban co 17-6 '!AS44</f>
        <v>260199816</v>
      </c>
      <c r="G43" s="7">
        <f>IF((E42+C42)&gt;(F42+D42),(E42+C42)-(F42+D42),0)</f>
        <v>0</v>
      </c>
      <c r="H43" s="7">
        <f t="shared" si="0"/>
        <v>988632780</v>
      </c>
      <c r="L43" s="150"/>
      <c r="M43" s="150"/>
    </row>
    <row r="44" spans="1:13" ht="18.75" customHeight="1">
      <c r="A44" s="5">
        <v>418</v>
      </c>
      <c r="B44" s="6" t="s">
        <v>222</v>
      </c>
      <c r="C44" s="7"/>
      <c r="D44" s="7">
        <v>192530783</v>
      </c>
      <c r="E44" s="7">
        <f>'ban co ca nam 2010'!BK45</f>
        <v>0</v>
      </c>
      <c r="F44" s="7">
        <f>'DC ban co 17-6 '!AS45</f>
        <v>10809096</v>
      </c>
      <c r="G44" s="7">
        <f>IF((E43+C43)&gt;(F43+D43),(E43+C43)-(F43+D43),0)</f>
        <v>0</v>
      </c>
      <c r="H44" s="7">
        <f t="shared" si="0"/>
        <v>203339879</v>
      </c>
      <c r="L44" s="150"/>
      <c r="M44" s="150"/>
    </row>
    <row r="45" spans="1:13" ht="18.75" customHeight="1">
      <c r="A45" s="5">
        <v>421</v>
      </c>
      <c r="B45" s="6" t="s">
        <v>43</v>
      </c>
      <c r="C45" s="7"/>
      <c r="D45" s="7"/>
      <c r="E45" s="7">
        <f>'DC ban co 17-6 '!BK46</f>
        <v>3759107445</v>
      </c>
      <c r="F45" s="7">
        <f>'DC ban co 17-6 '!BL46</f>
        <v>3759107445</v>
      </c>
      <c r="G45" s="7">
        <f>IF((E45+C45)&gt;(F45+D45),(E45+C45)-(F45+D45),0)</f>
        <v>0</v>
      </c>
      <c r="H45" s="165">
        <f t="shared" si="0"/>
        <v>0</v>
      </c>
      <c r="L45" s="150"/>
      <c r="M45" s="150"/>
    </row>
    <row r="46" spans="1:13" ht="18.75" customHeight="1">
      <c r="A46" s="5">
        <v>353</v>
      </c>
      <c r="B46" s="6" t="s">
        <v>44</v>
      </c>
      <c r="C46" s="7"/>
      <c r="D46" s="7">
        <v>802414311</v>
      </c>
      <c r="E46" s="7">
        <f>'ban co ca nam 2010'!BK47</f>
        <v>408590000</v>
      </c>
      <c r="F46" s="7">
        <f>'DC ban co 17-6 '!BL47</f>
        <v>1269081033</v>
      </c>
      <c r="G46" s="7">
        <f t="shared" si="1"/>
        <v>0</v>
      </c>
      <c r="H46" s="7">
        <f>IF((F46+D46)&gt;(E46+C46),(F46+D46)-(E46+C46),0)</f>
        <v>1662905344</v>
      </c>
      <c r="L46" s="150"/>
      <c r="M46" s="150"/>
    </row>
    <row r="47" spans="1:13" ht="18.75" customHeight="1">
      <c r="A47" s="5">
        <v>441</v>
      </c>
      <c r="B47" s="6" t="s">
        <v>45</v>
      </c>
      <c r="C47" s="7"/>
      <c r="D47" s="7"/>
      <c r="E47" s="7">
        <f>'ban co ca nam 2010'!BK48</f>
        <v>0</v>
      </c>
      <c r="F47" s="7">
        <f>'ban co ca nam 2010'!BL48</f>
        <v>0</v>
      </c>
      <c r="G47" s="7">
        <f t="shared" si="1"/>
        <v>0</v>
      </c>
      <c r="H47" s="7">
        <f aca="true" t="shared" si="2" ref="H47:H58">IF((F47+D47)&gt;(E47+C47),(F47+D47)-(E47+C47),0)</f>
        <v>0</v>
      </c>
      <c r="L47" s="150"/>
      <c r="M47" s="150"/>
    </row>
    <row r="48" spans="1:13" ht="18.75" customHeight="1">
      <c r="A48" s="5">
        <v>511</v>
      </c>
      <c r="B48" s="6" t="s">
        <v>46</v>
      </c>
      <c r="C48" s="7"/>
      <c r="D48" s="7"/>
      <c r="E48" s="7">
        <f>'ban co ca nam 2010'!BK50-7654727291</f>
        <v>105530509929</v>
      </c>
      <c r="F48" s="7">
        <f>'ban co ca nam 2010'!BL49+'ban co ca nam 2010'!BL50+'ban co ca nam 2010'!BL51-7654727291</f>
        <v>105530509929</v>
      </c>
      <c r="G48" s="7">
        <f t="shared" si="1"/>
        <v>0</v>
      </c>
      <c r="H48" s="7">
        <f t="shared" si="2"/>
        <v>0</v>
      </c>
      <c r="L48" s="150"/>
      <c r="M48" s="150"/>
    </row>
    <row r="49" spans="1:13" ht="18.75" customHeight="1">
      <c r="A49" s="5">
        <v>531</v>
      </c>
      <c r="B49" s="6" t="s">
        <v>47</v>
      </c>
      <c r="C49" s="7"/>
      <c r="D49" s="7"/>
      <c r="E49" s="7">
        <f>'ban co ca nam 2010'!BK52</f>
        <v>553183044</v>
      </c>
      <c r="F49" s="7">
        <f>'ban co ca nam 2010'!BL52</f>
        <v>553183044</v>
      </c>
      <c r="G49" s="7">
        <f t="shared" si="1"/>
        <v>0</v>
      </c>
      <c r="H49" s="7">
        <f t="shared" si="2"/>
        <v>0</v>
      </c>
      <c r="L49" s="150"/>
      <c r="M49" s="150"/>
    </row>
    <row r="50" spans="1:8" ht="18.75" customHeight="1">
      <c r="A50" s="5">
        <v>532</v>
      </c>
      <c r="B50" s="6" t="s">
        <v>223</v>
      </c>
      <c r="C50" s="7"/>
      <c r="D50" s="7"/>
      <c r="E50" s="7">
        <f>'ban co ca nam 2010'!BK53</f>
        <v>0</v>
      </c>
      <c r="F50" s="7">
        <f>'ban co ca nam 2010'!BL53</f>
        <v>0</v>
      </c>
      <c r="G50" s="7">
        <f t="shared" si="1"/>
        <v>0</v>
      </c>
      <c r="H50" s="7">
        <f t="shared" si="2"/>
        <v>0</v>
      </c>
    </row>
    <row r="51" spans="1:12" ht="18.75" customHeight="1">
      <c r="A51" s="5">
        <v>515</v>
      </c>
      <c r="B51" s="6" t="s">
        <v>245</v>
      </c>
      <c r="C51" s="7"/>
      <c r="D51" s="7"/>
      <c r="E51" s="7">
        <f>'ban co ca nam 2010'!BK54</f>
        <v>3171069370</v>
      </c>
      <c r="F51" s="7">
        <f>'ban co ca nam 2010'!BL54</f>
        <v>3171069370</v>
      </c>
      <c r="G51" s="7">
        <f t="shared" si="1"/>
        <v>0</v>
      </c>
      <c r="H51" s="7">
        <f t="shared" si="2"/>
        <v>0</v>
      </c>
      <c r="J51" s="149"/>
      <c r="K51" s="149"/>
      <c r="L51" s="151"/>
    </row>
    <row r="52" spans="1:8" ht="18.75" customHeight="1">
      <c r="A52" s="5">
        <v>627</v>
      </c>
      <c r="B52" s="6" t="s">
        <v>48</v>
      </c>
      <c r="C52" s="7"/>
      <c r="D52" s="7"/>
      <c r="E52" s="7">
        <f>'ban co ca nam 2010'!BK55+'ban co ca nam 2010'!BK56+'ban co ca nam 2010'!BK57</f>
        <v>15989737023</v>
      </c>
      <c r="F52" s="7">
        <f>'ban co ca nam 2010'!BL55+'ban co ca nam 2010'!BL56+'ban co ca nam 2010'!BL57</f>
        <v>15989737023</v>
      </c>
      <c r="G52" s="7">
        <f t="shared" si="1"/>
        <v>0</v>
      </c>
      <c r="H52" s="7">
        <f t="shared" si="2"/>
        <v>0</v>
      </c>
    </row>
    <row r="53" spans="1:8" ht="18.75" customHeight="1">
      <c r="A53" s="5">
        <v>632</v>
      </c>
      <c r="B53" s="6" t="s">
        <v>51</v>
      </c>
      <c r="C53" s="7"/>
      <c r="D53" s="7"/>
      <c r="E53" s="7">
        <f>'ban co ca nam 2010'!BK60-7037358043+309313283</f>
        <v>85084089705</v>
      </c>
      <c r="F53" s="7">
        <f>'ban co ca nam 2010'!BL60-7037358043+309313283</f>
        <v>85084089705</v>
      </c>
      <c r="G53" s="7">
        <f t="shared" si="1"/>
        <v>0</v>
      </c>
      <c r="H53" s="7">
        <f t="shared" si="2"/>
        <v>0</v>
      </c>
    </row>
    <row r="54" spans="1:11" ht="18.75" customHeight="1">
      <c r="A54" s="5">
        <v>641</v>
      </c>
      <c r="B54" s="6" t="s">
        <v>49</v>
      </c>
      <c r="C54" s="7"/>
      <c r="D54" s="7"/>
      <c r="E54" s="7">
        <f>'DC ban co 17-6 '!BH58</f>
        <v>1696725547</v>
      </c>
      <c r="F54" s="7">
        <f>'ban co ca nam 2010'!BL58</f>
        <v>1696725547</v>
      </c>
      <c r="G54" s="7">
        <f t="shared" si="1"/>
        <v>0</v>
      </c>
      <c r="H54" s="7">
        <f t="shared" si="2"/>
        <v>0</v>
      </c>
      <c r="K54" s="152" t="s">
        <v>259</v>
      </c>
    </row>
    <row r="55" spans="1:11" ht="18.75" customHeight="1">
      <c r="A55" s="5">
        <v>642</v>
      </c>
      <c r="B55" s="6" t="s">
        <v>263</v>
      </c>
      <c r="C55" s="7"/>
      <c r="D55" s="7"/>
      <c r="E55" s="7">
        <f>'DC ban co 17-6 '!BH59</f>
        <v>17540189983</v>
      </c>
      <c r="F55" s="7">
        <f>'DC ban co 17-6 '!BK59</f>
        <v>17540189983</v>
      </c>
      <c r="G55" s="7">
        <f t="shared" si="1"/>
        <v>0</v>
      </c>
      <c r="H55" s="7">
        <f t="shared" si="2"/>
        <v>0</v>
      </c>
      <c r="K55" s="1">
        <v>582106744</v>
      </c>
    </row>
    <row r="56" spans="1:11" ht="18.75" customHeight="1">
      <c r="A56" s="5">
        <v>711</v>
      </c>
      <c r="B56" s="6" t="s">
        <v>246</v>
      </c>
      <c r="C56" s="7"/>
      <c r="D56" s="7"/>
      <c r="E56" s="7">
        <f>'ban co ca nam 2010'!BK61-399936741</f>
        <v>369261363</v>
      </c>
      <c r="F56" s="7">
        <f>'ban co ca nam 2010'!BL61-399936741</f>
        <v>369261363</v>
      </c>
      <c r="G56" s="7">
        <f t="shared" si="1"/>
        <v>0</v>
      </c>
      <c r="H56" s="7">
        <f t="shared" si="2"/>
        <v>0</v>
      </c>
      <c r="K56" s="1">
        <v>1448746218</v>
      </c>
    </row>
    <row r="57" spans="1:11" ht="18.75" customHeight="1">
      <c r="A57" s="5">
        <v>811</v>
      </c>
      <c r="B57" s="6" t="s">
        <v>247</v>
      </c>
      <c r="C57" s="7"/>
      <c r="D57" s="7"/>
      <c r="E57" s="7">
        <f>'DC ban co 17-6 '!BH62</f>
        <v>437544938</v>
      </c>
      <c r="F57" s="7">
        <f>'ban co ca nam 2010'!BL62</f>
        <v>437544938</v>
      </c>
      <c r="G57" s="7">
        <f t="shared" si="1"/>
        <v>0</v>
      </c>
      <c r="H57" s="7">
        <f t="shared" si="2"/>
        <v>0</v>
      </c>
      <c r="K57" s="1">
        <v>4295306130</v>
      </c>
    </row>
    <row r="58" spans="1:8" ht="18.75" customHeight="1">
      <c r="A58" s="9">
        <v>911</v>
      </c>
      <c r="B58" s="10" t="s">
        <v>248</v>
      </c>
      <c r="C58" s="7"/>
      <c r="D58" s="7"/>
      <c r="E58" s="7">
        <f>'ban co ca nam 2010'!BK63-7654727291-399936741</f>
        <v>108517657618</v>
      </c>
      <c r="F58" s="7">
        <f>'ban co ca nam 2010'!BL63-7654727291-399936741</f>
        <v>108517657618</v>
      </c>
      <c r="G58" s="7">
        <f t="shared" si="1"/>
        <v>0</v>
      </c>
      <c r="H58" s="7">
        <f t="shared" si="2"/>
        <v>0</v>
      </c>
    </row>
    <row r="59" spans="1:11" s="70" customFormat="1" ht="18.75" customHeight="1">
      <c r="A59" s="112"/>
      <c r="B59" s="112" t="s">
        <v>227</v>
      </c>
      <c r="C59" s="11">
        <f aca="true" t="shared" si="3" ref="C59:H59">SUM(C4:C58)</f>
        <v>152001580502</v>
      </c>
      <c r="D59" s="11">
        <f t="shared" si="3"/>
        <v>152001580502</v>
      </c>
      <c r="E59" s="11">
        <f t="shared" si="3"/>
        <v>1295733584483</v>
      </c>
      <c r="F59" s="11">
        <f t="shared" si="3"/>
        <v>1295733584483</v>
      </c>
      <c r="G59" s="11">
        <f t="shared" si="3"/>
        <v>187705199767</v>
      </c>
      <c r="H59" s="11">
        <f t="shared" si="3"/>
        <v>187705199767</v>
      </c>
      <c r="I59" s="148"/>
      <c r="J59" s="147"/>
      <c r="K59" s="147"/>
    </row>
    <row r="60" spans="2:11" s="12" customFormat="1" ht="16.5" customHeight="1">
      <c r="B60" s="178" t="s">
        <v>52</v>
      </c>
      <c r="C60" s="178"/>
      <c r="D60" s="116"/>
      <c r="E60" s="13"/>
      <c r="F60" s="172" t="s">
        <v>53</v>
      </c>
      <c r="G60" s="172"/>
      <c r="H60" s="13"/>
      <c r="I60" s="13"/>
      <c r="J60" s="13"/>
      <c r="K60" s="13">
        <f>SUM(K55:K59)</f>
        <v>6326159092</v>
      </c>
    </row>
    <row r="61" ht="16.5" customHeight="1">
      <c r="H61" s="14">
        <f>G59-H59</f>
        <v>0</v>
      </c>
    </row>
    <row r="62" spans="2:11" s="68" customFormat="1" ht="16.5" customHeight="1">
      <c r="B62" s="67"/>
      <c r="C62" s="69"/>
      <c r="D62" s="69"/>
      <c r="E62" s="69"/>
      <c r="F62" s="69"/>
      <c r="G62" s="69"/>
      <c r="H62" s="69"/>
      <c r="I62" s="72"/>
      <c r="J62" s="69"/>
      <c r="K62" s="73"/>
    </row>
    <row r="63" spans="2:11" s="68" customFormat="1" ht="16.5" customHeight="1">
      <c r="B63" s="67"/>
      <c r="C63" s="69"/>
      <c r="D63" s="69"/>
      <c r="E63" s="69">
        <f>E59-F59</f>
        <v>0</v>
      </c>
      <c r="F63" s="69"/>
      <c r="G63" s="69"/>
      <c r="H63" s="69"/>
      <c r="I63" s="69"/>
      <c r="J63" s="69"/>
      <c r="K63" s="73"/>
    </row>
    <row r="64" spans="2:11" s="68" customFormat="1" ht="16.5" customHeight="1">
      <c r="B64" s="67">
        <f>B62-B63</f>
        <v>0</v>
      </c>
      <c r="C64" s="69"/>
      <c r="D64" s="69"/>
      <c r="E64" s="69"/>
      <c r="F64" s="69"/>
      <c r="G64" s="69"/>
      <c r="H64" s="69"/>
      <c r="I64" s="69"/>
      <c r="J64" s="69"/>
      <c r="K64" s="73"/>
    </row>
    <row r="65" ht="16.5">
      <c r="K65" s="73"/>
    </row>
    <row r="66" ht="16.5">
      <c r="E66" s="73">
        <f>E59-E63</f>
        <v>1295733584483</v>
      </c>
    </row>
  </sheetData>
  <mergeCells count="9">
    <mergeCell ref="B60:C60"/>
    <mergeCell ref="F60:G60"/>
    <mergeCell ref="A1:H1"/>
    <mergeCell ref="I1:T1"/>
    <mergeCell ref="A2:A3"/>
    <mergeCell ref="B2:B3"/>
    <mergeCell ref="C2:D2"/>
    <mergeCell ref="E2:F2"/>
    <mergeCell ref="G2:H2"/>
  </mergeCells>
  <printOptions/>
  <pageMargins left="0.36" right="0.31" top="0.19" bottom="0.29" header="0.18" footer="0.29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">
      <selection activeCell="D93" sqref="D93"/>
    </sheetView>
  </sheetViews>
  <sheetFormatPr defaultColWidth="9.00390625" defaultRowHeight="12.75"/>
  <cols>
    <col min="1" max="1" width="45.25390625" style="18" customWidth="1"/>
    <col min="2" max="2" width="7.75390625" style="18" customWidth="1"/>
    <col min="3" max="3" width="6.375" style="18" customWidth="1"/>
    <col min="4" max="4" width="16.75390625" style="40" customWidth="1"/>
    <col min="5" max="5" width="18.125" style="40" customWidth="1"/>
    <col min="6" max="6" width="19.125" style="18" bestFit="1" customWidth="1"/>
    <col min="7" max="7" width="16.625" style="18" bestFit="1" customWidth="1"/>
    <col min="8" max="16384" width="9.125" style="18" customWidth="1"/>
  </cols>
  <sheetData>
    <row r="1" ht="16.5">
      <c r="A1" s="27" t="s">
        <v>54</v>
      </c>
    </row>
    <row r="2" ht="16.5">
      <c r="A2" s="27" t="s">
        <v>55</v>
      </c>
    </row>
    <row r="3" ht="8.25" customHeight="1">
      <c r="A3" s="28"/>
    </row>
    <row r="4" spans="1:5" ht="24" customHeight="1">
      <c r="A4" s="184" t="s">
        <v>243</v>
      </c>
      <c r="B4" s="184"/>
      <c r="C4" s="184"/>
      <c r="D4" s="184"/>
      <c r="E4" s="184"/>
    </row>
    <row r="5" spans="1:5" ht="16.5" customHeight="1">
      <c r="A5" s="195" t="s">
        <v>286</v>
      </c>
      <c r="B5" s="195"/>
      <c r="C5" s="195"/>
      <c r="D5" s="195"/>
      <c r="E5" s="195"/>
    </row>
    <row r="6" spans="1:5" ht="16.5">
      <c r="A6" s="194"/>
      <c r="B6" s="194"/>
      <c r="C6" s="194"/>
      <c r="D6" s="194"/>
      <c r="E6" s="41" t="s">
        <v>61</v>
      </c>
    </row>
    <row r="7" spans="1:5" ht="15">
      <c r="A7" s="182" t="s">
        <v>56</v>
      </c>
      <c r="B7" s="181" t="s">
        <v>57</v>
      </c>
      <c r="C7" s="183" t="s">
        <v>58</v>
      </c>
      <c r="D7" s="180" t="s">
        <v>59</v>
      </c>
      <c r="E7" s="180" t="s">
        <v>60</v>
      </c>
    </row>
    <row r="8" spans="1:7" s="12" customFormat="1" ht="18.75" customHeight="1">
      <c r="A8" s="182"/>
      <c r="B8" s="181"/>
      <c r="C8" s="183"/>
      <c r="D8" s="180"/>
      <c r="E8" s="180"/>
      <c r="F8" s="57"/>
      <c r="G8" s="57"/>
    </row>
    <row r="9" spans="1:7" ht="18.75" customHeight="1">
      <c r="A9" s="54" t="s">
        <v>149</v>
      </c>
      <c r="B9" s="30">
        <v>100</v>
      </c>
      <c r="C9" s="30"/>
      <c r="D9" s="53">
        <f>D11+D14+D17+D24+D27</f>
        <v>160135265488</v>
      </c>
      <c r="E9" s="53">
        <f>E11+E14+E17+E24+E27</f>
        <v>124184326226</v>
      </c>
      <c r="F9" s="40"/>
      <c r="G9" s="40"/>
    </row>
    <row r="10" spans="1:7" s="25" customFormat="1" ht="18.75" customHeight="1">
      <c r="A10" s="29" t="s">
        <v>148</v>
      </c>
      <c r="B10" s="31"/>
      <c r="C10" s="31"/>
      <c r="D10" s="59"/>
      <c r="E10" s="59"/>
      <c r="F10" s="51"/>
      <c r="G10" s="51"/>
    </row>
    <row r="11" spans="1:7" ht="18.75" customHeight="1">
      <c r="A11" s="24" t="s">
        <v>150</v>
      </c>
      <c r="B11" s="32">
        <v>110</v>
      </c>
      <c r="C11" s="32"/>
      <c r="D11" s="60">
        <f>SUM(D12:D13)</f>
        <v>29906113119</v>
      </c>
      <c r="E11" s="60">
        <f>SUM(E12:E13)</f>
        <v>13549366805</v>
      </c>
      <c r="F11" s="40"/>
      <c r="G11" s="40"/>
    </row>
    <row r="12" spans="1:7" ht="18.75" customHeight="1">
      <c r="A12" s="21" t="s">
        <v>62</v>
      </c>
      <c r="B12" s="33">
        <v>111</v>
      </c>
      <c r="C12" s="33" t="s">
        <v>153</v>
      </c>
      <c r="D12" s="58">
        <f>'BCDPS - 2010'!G4+'BCDPS - 2010'!G5</f>
        <v>29906113119</v>
      </c>
      <c r="E12" s="58">
        <f>'BCDPS - 2010'!C4+'BCDPS - 2010'!C5</f>
        <v>13549366805</v>
      </c>
      <c r="F12" s="40"/>
      <c r="G12" s="40"/>
    </row>
    <row r="13" spans="1:7" s="25" customFormat="1" ht="18.75" customHeight="1">
      <c r="A13" s="21" t="s">
        <v>63</v>
      </c>
      <c r="B13" s="33">
        <v>112</v>
      </c>
      <c r="C13" s="33"/>
      <c r="D13" s="58"/>
      <c r="E13" s="58"/>
      <c r="F13" s="51"/>
      <c r="G13" s="51"/>
    </row>
    <row r="14" spans="1:7" ht="18.75" customHeight="1">
      <c r="A14" s="24" t="s">
        <v>64</v>
      </c>
      <c r="B14" s="32">
        <v>120</v>
      </c>
      <c r="C14" s="32" t="s">
        <v>154</v>
      </c>
      <c r="D14" s="60">
        <f>D15</f>
        <v>44000000000</v>
      </c>
      <c r="E14" s="60">
        <f>E15</f>
        <v>20000000000</v>
      </c>
      <c r="F14" s="40"/>
      <c r="G14" s="40"/>
    </row>
    <row r="15" spans="1:7" ht="18.75" customHeight="1">
      <c r="A15" s="21" t="s">
        <v>65</v>
      </c>
      <c r="B15" s="33">
        <v>121</v>
      </c>
      <c r="C15" s="33"/>
      <c r="D15" s="58">
        <f>'BCDPS - 2010'!G6</f>
        <v>44000000000</v>
      </c>
      <c r="E15" s="58">
        <f>'BCDPS - 2010'!C6</f>
        <v>20000000000</v>
      </c>
      <c r="F15" s="40"/>
      <c r="G15" s="40"/>
    </row>
    <row r="16" spans="1:7" s="25" customFormat="1" ht="18.75" customHeight="1">
      <c r="A16" s="21" t="s">
        <v>66</v>
      </c>
      <c r="B16" s="33">
        <v>129</v>
      </c>
      <c r="C16" s="33"/>
      <c r="D16" s="58"/>
      <c r="E16" s="58"/>
      <c r="F16" s="51"/>
      <c r="G16" s="51"/>
    </row>
    <row r="17" spans="1:7" ht="18.75" customHeight="1">
      <c r="A17" s="24" t="s">
        <v>67</v>
      </c>
      <c r="B17" s="32">
        <v>130</v>
      </c>
      <c r="C17" s="32"/>
      <c r="D17" s="60">
        <f>SUM(D18:D23)</f>
        <v>12872720083</v>
      </c>
      <c r="E17" s="60">
        <f>SUM(E18:E23)</f>
        <v>58444238642</v>
      </c>
      <c r="F17" s="40"/>
      <c r="G17" s="40"/>
    </row>
    <row r="18" spans="1:7" ht="18.75" customHeight="1">
      <c r="A18" s="21" t="s">
        <v>68</v>
      </c>
      <c r="B18" s="33">
        <v>131</v>
      </c>
      <c r="C18" s="33"/>
      <c r="D18" s="58">
        <f>'DC BCDPS 17-6'!G7</f>
        <v>12715615504</v>
      </c>
      <c r="E18" s="58">
        <f>'DC BCDPS 17-6'!C7</f>
        <v>7291877168</v>
      </c>
      <c r="F18" s="40"/>
      <c r="G18" s="40"/>
    </row>
    <row r="19" spans="1:7" ht="18.75" customHeight="1">
      <c r="A19" s="21" t="s">
        <v>69</v>
      </c>
      <c r="B19" s="33">
        <v>132</v>
      </c>
      <c r="C19" s="33"/>
      <c r="D19" s="58">
        <f>'DC BCDPS 17-6'!G26</f>
        <v>157104579</v>
      </c>
      <c r="E19" s="58">
        <f>'DC BCDPS 17-6'!C26</f>
        <v>12831340284</v>
      </c>
      <c r="F19" s="40"/>
      <c r="G19" s="40"/>
    </row>
    <row r="20" spans="1:5" ht="18.75" customHeight="1">
      <c r="A20" s="21" t="s">
        <v>70</v>
      </c>
      <c r="B20" s="33">
        <v>133</v>
      </c>
      <c r="C20" s="33"/>
      <c r="D20" s="58"/>
      <c r="E20" s="58"/>
    </row>
    <row r="21" spans="1:5" ht="18.75" customHeight="1">
      <c r="A21" s="21" t="s">
        <v>71</v>
      </c>
      <c r="B21" s="33">
        <v>134</v>
      </c>
      <c r="C21" s="33"/>
      <c r="D21" s="58"/>
      <c r="E21" s="58"/>
    </row>
    <row r="22" spans="1:5" ht="18.75" customHeight="1">
      <c r="A22" s="21" t="s">
        <v>72</v>
      </c>
      <c r="B22" s="33">
        <v>135</v>
      </c>
      <c r="C22" s="33" t="s">
        <v>155</v>
      </c>
      <c r="D22" s="58">
        <f>'BCDPS - 2010'!G9</f>
        <v>0</v>
      </c>
      <c r="E22" s="58">
        <f>'BCDPS - 2010'!C9</f>
        <v>38321021190</v>
      </c>
    </row>
    <row r="23" spans="1:5" s="25" customFormat="1" ht="18.75" customHeight="1">
      <c r="A23" s="21" t="s">
        <v>73</v>
      </c>
      <c r="B23" s="33">
        <v>139</v>
      </c>
      <c r="C23" s="33"/>
      <c r="D23" s="58"/>
      <c r="E23" s="58"/>
    </row>
    <row r="24" spans="1:5" ht="18.75" customHeight="1">
      <c r="A24" s="24" t="s">
        <v>74</v>
      </c>
      <c r="B24" s="32">
        <v>140</v>
      </c>
      <c r="C24" s="32"/>
      <c r="D24" s="60">
        <f>SUM(D25:D26)</f>
        <v>72475309286</v>
      </c>
      <c r="E24" s="60">
        <f>SUM(E25:E26)</f>
        <v>31152493732</v>
      </c>
    </row>
    <row r="25" spans="1:5" ht="18.75" customHeight="1">
      <c r="A25" s="21" t="s">
        <v>75</v>
      </c>
      <c r="B25" s="33">
        <v>141</v>
      </c>
      <c r="C25" s="33" t="s">
        <v>156</v>
      </c>
      <c r="D25" s="58">
        <f>'BCDPS - 2010'!G13+'BCDPS - 2010'!G14+'BCDPS - 2010'!G15+'BCDPS - 2010'!G16+'BCDPS - 2010'!G17+2223793454</f>
        <v>72475309286</v>
      </c>
      <c r="E25" s="58">
        <f>'BCDPS - 2010'!C13+'BCDPS - 2010'!C14+'BCDPS - 2010'!C15+'BCDPS - 2010'!C16</f>
        <v>31152493732</v>
      </c>
    </row>
    <row r="26" spans="1:5" s="25" customFormat="1" ht="18.75" customHeight="1">
      <c r="A26" s="21" t="s">
        <v>76</v>
      </c>
      <c r="B26" s="33">
        <v>149</v>
      </c>
      <c r="C26" s="33"/>
      <c r="D26" s="58"/>
      <c r="E26" s="58"/>
    </row>
    <row r="27" spans="1:5" ht="18.75" customHeight="1">
      <c r="A27" s="24" t="s">
        <v>77</v>
      </c>
      <c r="B27" s="32">
        <v>150</v>
      </c>
      <c r="C27" s="32"/>
      <c r="D27" s="60">
        <f>SUM(D28:D31)</f>
        <v>881123000</v>
      </c>
      <c r="E27" s="60">
        <f>SUM(E28:E31)</f>
        <v>1038227047</v>
      </c>
    </row>
    <row r="28" spans="1:5" ht="18.75" customHeight="1">
      <c r="A28" s="21" t="s">
        <v>78</v>
      </c>
      <c r="B28" s="33">
        <v>151</v>
      </c>
      <c r="C28" s="33"/>
      <c r="D28" s="58">
        <f>'BCDPS - 2010'!G11</f>
        <v>0</v>
      </c>
      <c r="E28" s="58">
        <f>'DC BCDPS 17-6'!C11</f>
        <v>48239547</v>
      </c>
    </row>
    <row r="29" spans="1:5" ht="18.75" customHeight="1">
      <c r="A29" s="21" t="s">
        <v>79</v>
      </c>
      <c r="B29" s="33">
        <v>152</v>
      </c>
      <c r="C29" s="33"/>
      <c r="D29" s="58"/>
      <c r="E29" s="58"/>
    </row>
    <row r="30" spans="1:5" ht="18.75" customHeight="1">
      <c r="A30" s="21" t="s">
        <v>80</v>
      </c>
      <c r="B30" s="33">
        <v>154</v>
      </c>
      <c r="C30" s="33" t="s">
        <v>157</v>
      </c>
      <c r="D30" s="58"/>
      <c r="E30" s="58"/>
    </row>
    <row r="31" spans="1:5" s="12" customFormat="1" ht="18.75" customHeight="1">
      <c r="A31" s="21" t="s">
        <v>81</v>
      </c>
      <c r="B31" s="33">
        <v>158</v>
      </c>
      <c r="C31" s="33"/>
      <c r="D31" s="58">
        <f>'DC BCDPS 17-6'!G10+'DC BCDPS 17-6'!G12</f>
        <v>881123000</v>
      </c>
      <c r="E31" s="58">
        <f>'DC BCDPS 17-6'!C10+'DC BCDPS 17-6'!C12</f>
        <v>989987500</v>
      </c>
    </row>
    <row r="32" spans="1:5" ht="18.75" customHeight="1">
      <c r="A32" s="55" t="s">
        <v>82</v>
      </c>
      <c r="B32" s="34">
        <v>200</v>
      </c>
      <c r="C32" s="34"/>
      <c r="D32" s="60">
        <f>D34+D40+D53+D56+D61</f>
        <v>18284555327</v>
      </c>
      <c r="E32" s="60">
        <f>E34+E40+E56</f>
        <v>18479225046</v>
      </c>
    </row>
    <row r="33" spans="1:5" s="25" customFormat="1" ht="18.75" customHeight="1">
      <c r="A33" s="29" t="s">
        <v>83</v>
      </c>
      <c r="B33" s="33"/>
      <c r="C33" s="33"/>
      <c r="D33" s="58"/>
      <c r="E33" s="58"/>
    </row>
    <row r="34" spans="1:5" ht="18.75" customHeight="1">
      <c r="A34" s="24" t="s">
        <v>84</v>
      </c>
      <c r="B34" s="32">
        <v>210</v>
      </c>
      <c r="C34" s="32"/>
      <c r="D34" s="60">
        <v>0</v>
      </c>
      <c r="E34" s="60">
        <f>E37</f>
        <v>0</v>
      </c>
    </row>
    <row r="35" spans="1:5" ht="18.75" customHeight="1">
      <c r="A35" s="21" t="s">
        <v>85</v>
      </c>
      <c r="B35" s="33">
        <v>211</v>
      </c>
      <c r="C35" s="33"/>
      <c r="D35" s="58"/>
      <c r="E35" s="58"/>
    </row>
    <row r="36" spans="1:5" ht="18.75" customHeight="1">
      <c r="A36" s="21" t="s">
        <v>86</v>
      </c>
      <c r="B36" s="33">
        <v>212</v>
      </c>
      <c r="C36" s="33"/>
      <c r="D36" s="58"/>
      <c r="E36" s="58"/>
    </row>
    <row r="37" spans="1:5" ht="18.75" customHeight="1">
      <c r="A37" s="21" t="s">
        <v>87</v>
      </c>
      <c r="B37" s="33">
        <v>213</v>
      </c>
      <c r="C37" s="33" t="s">
        <v>158</v>
      </c>
      <c r="D37" s="58"/>
      <c r="E37" s="58"/>
    </row>
    <row r="38" spans="1:5" ht="18.75" customHeight="1">
      <c r="A38" s="21" t="s">
        <v>88</v>
      </c>
      <c r="B38" s="33">
        <v>218</v>
      </c>
      <c r="C38" s="33" t="s">
        <v>159</v>
      </c>
      <c r="D38" s="58"/>
      <c r="E38" s="58"/>
    </row>
    <row r="39" spans="1:5" s="25" customFormat="1" ht="18.75" customHeight="1">
      <c r="A39" s="21" t="s">
        <v>89</v>
      </c>
      <c r="B39" s="33">
        <v>219</v>
      </c>
      <c r="C39" s="33"/>
      <c r="D39" s="58"/>
      <c r="E39" s="58"/>
    </row>
    <row r="40" spans="1:6" ht="18.75" customHeight="1">
      <c r="A40" s="24" t="s">
        <v>90</v>
      </c>
      <c r="B40" s="32">
        <v>220</v>
      </c>
      <c r="C40" s="32"/>
      <c r="D40" s="60">
        <f>D41+D52</f>
        <v>15159555327</v>
      </c>
      <c r="E40" s="60">
        <f>E41+E52</f>
        <v>15354225046</v>
      </c>
      <c r="F40" s="40"/>
    </row>
    <row r="41" spans="1:5" ht="18.75" customHeight="1">
      <c r="A41" s="21" t="s">
        <v>91</v>
      </c>
      <c r="B41" s="33">
        <v>221</v>
      </c>
      <c r="C41" s="33" t="s">
        <v>160</v>
      </c>
      <c r="D41" s="58">
        <f>SUM(D42:D43)</f>
        <v>15159555327</v>
      </c>
      <c r="E41" s="58">
        <f>SUM(E42:E43)</f>
        <v>15354225046</v>
      </c>
    </row>
    <row r="42" spans="1:5" ht="18.75" customHeight="1">
      <c r="A42" s="22" t="s">
        <v>92</v>
      </c>
      <c r="B42" s="33">
        <v>222</v>
      </c>
      <c r="C42" s="33"/>
      <c r="D42" s="58">
        <f>'DC BCDPS 17-6'!G19</f>
        <v>23655882491</v>
      </c>
      <c r="E42" s="58">
        <f>'DC BCDPS 17-6'!C19</f>
        <v>23649473469</v>
      </c>
    </row>
    <row r="43" spans="1:5" ht="15">
      <c r="A43" s="22" t="s">
        <v>93</v>
      </c>
      <c r="B43" s="33">
        <v>223</v>
      </c>
      <c r="C43" s="33"/>
      <c r="D43" s="61">
        <f>-'DC BCDPS 17-6'!H20</f>
        <v>-8496327164</v>
      </c>
      <c r="E43" s="58">
        <f>-'DC BCDPS 17-6'!D20</f>
        <v>-8295248423</v>
      </c>
    </row>
    <row r="44" spans="1:5" ht="15">
      <c r="A44" s="182" t="s">
        <v>56</v>
      </c>
      <c r="B44" s="181" t="s">
        <v>57</v>
      </c>
      <c r="C44" s="183" t="s">
        <v>58</v>
      </c>
      <c r="D44" s="180" t="s">
        <v>59</v>
      </c>
      <c r="E44" s="180" t="s">
        <v>60</v>
      </c>
    </row>
    <row r="45" spans="1:5" ht="18.75" customHeight="1">
      <c r="A45" s="182"/>
      <c r="B45" s="181"/>
      <c r="C45" s="183"/>
      <c r="D45" s="180"/>
      <c r="E45" s="180"/>
    </row>
    <row r="46" spans="1:7" ht="18.75" customHeight="1">
      <c r="A46" s="21" t="s">
        <v>94</v>
      </c>
      <c r="B46" s="33">
        <v>224</v>
      </c>
      <c r="C46" s="33" t="s">
        <v>161</v>
      </c>
      <c r="D46" s="58"/>
      <c r="E46" s="58"/>
      <c r="F46" s="40"/>
      <c r="G46" s="40"/>
    </row>
    <row r="47" spans="1:5" ht="18.75" customHeight="1">
      <c r="A47" s="22" t="s">
        <v>92</v>
      </c>
      <c r="B47" s="33">
        <v>225</v>
      </c>
      <c r="C47" s="33"/>
      <c r="D47" s="58"/>
      <c r="E47" s="58"/>
    </row>
    <row r="48" spans="1:5" ht="18.75" customHeight="1">
      <c r="A48" s="22" t="s">
        <v>93</v>
      </c>
      <c r="B48" s="33">
        <v>226</v>
      </c>
      <c r="C48" s="33"/>
      <c r="D48" s="58"/>
      <c r="E48" s="58"/>
    </row>
    <row r="49" spans="1:5" ht="18.75" customHeight="1">
      <c r="A49" s="21" t="s">
        <v>95</v>
      </c>
      <c r="B49" s="33">
        <v>227</v>
      </c>
      <c r="C49" s="33" t="s">
        <v>162</v>
      </c>
      <c r="D49" s="58"/>
      <c r="E49" s="58"/>
    </row>
    <row r="50" spans="1:5" ht="18.75" customHeight="1">
      <c r="A50" s="22" t="s">
        <v>92</v>
      </c>
      <c r="B50" s="33">
        <v>228</v>
      </c>
      <c r="C50" s="33"/>
      <c r="D50" s="58"/>
      <c r="E50" s="58"/>
    </row>
    <row r="51" spans="1:5" ht="18.75" customHeight="1">
      <c r="A51" s="22" t="s">
        <v>93</v>
      </c>
      <c r="B51" s="33">
        <v>229</v>
      </c>
      <c r="C51" s="33"/>
      <c r="D51" s="58"/>
      <c r="E51" s="58"/>
    </row>
    <row r="52" spans="1:5" s="25" customFormat="1" ht="18.75" customHeight="1">
      <c r="A52" s="21" t="s">
        <v>96</v>
      </c>
      <c r="B52" s="33">
        <v>230</v>
      </c>
      <c r="C52" s="33" t="s">
        <v>163</v>
      </c>
      <c r="D52" s="61">
        <f>'BCDPS - 2010'!G23</f>
        <v>0</v>
      </c>
      <c r="E52" s="58">
        <f>'BCDPS - 2010'!C23</f>
        <v>0</v>
      </c>
    </row>
    <row r="53" spans="1:5" ht="18.75" customHeight="1">
      <c r="A53" s="24" t="s">
        <v>97</v>
      </c>
      <c r="B53" s="32">
        <v>240</v>
      </c>
      <c r="C53" s="32" t="s">
        <v>164</v>
      </c>
      <c r="D53" s="60">
        <f>D54+D55</f>
        <v>0</v>
      </c>
      <c r="E53" s="60"/>
    </row>
    <row r="54" spans="1:5" ht="18.75" customHeight="1">
      <c r="A54" s="22" t="s">
        <v>92</v>
      </c>
      <c r="B54" s="33">
        <v>241</v>
      </c>
      <c r="C54" s="33"/>
      <c r="D54" s="58"/>
      <c r="E54" s="58"/>
    </row>
    <row r="55" spans="1:5" s="25" customFormat="1" ht="18.75" customHeight="1">
      <c r="A55" s="22" t="s">
        <v>93</v>
      </c>
      <c r="B55" s="33">
        <v>242</v>
      </c>
      <c r="C55" s="33"/>
      <c r="D55" s="58"/>
      <c r="E55" s="58"/>
    </row>
    <row r="56" spans="1:5" ht="18.75" customHeight="1">
      <c r="A56" s="24" t="s">
        <v>98</v>
      </c>
      <c r="B56" s="32">
        <v>250</v>
      </c>
      <c r="C56" s="32"/>
      <c r="D56" s="60">
        <f>SUM(D57:D60)</f>
        <v>3125000000</v>
      </c>
      <c r="E56" s="60">
        <f>E57</f>
        <v>3125000000</v>
      </c>
    </row>
    <row r="57" spans="1:5" ht="18.75" customHeight="1">
      <c r="A57" s="21" t="s">
        <v>99</v>
      </c>
      <c r="B57" s="33">
        <v>251</v>
      </c>
      <c r="C57" s="33"/>
      <c r="D57" s="58">
        <f>'BCDPS - 2010'!G21</f>
        <v>3125000000</v>
      </c>
      <c r="E57" s="58">
        <v>3125000000</v>
      </c>
    </row>
    <row r="58" spans="1:5" ht="18.75" customHeight="1">
      <c r="A58" s="21" t="s">
        <v>100</v>
      </c>
      <c r="B58" s="33">
        <v>252</v>
      </c>
      <c r="C58" s="33"/>
      <c r="D58" s="58"/>
      <c r="E58" s="58"/>
    </row>
    <row r="59" spans="1:5" ht="18.75" customHeight="1">
      <c r="A59" s="21" t="s">
        <v>101</v>
      </c>
      <c r="B59" s="33">
        <v>258</v>
      </c>
      <c r="C59" s="33" t="s">
        <v>165</v>
      </c>
      <c r="D59" s="58"/>
      <c r="E59" s="58"/>
    </row>
    <row r="60" spans="1:5" s="25" customFormat="1" ht="18.75" customHeight="1">
      <c r="A60" s="21" t="s">
        <v>102</v>
      </c>
      <c r="B60" s="33">
        <v>259</v>
      </c>
      <c r="C60" s="33"/>
      <c r="D60" s="58"/>
      <c r="E60" s="58"/>
    </row>
    <row r="61" spans="1:5" ht="18.75" customHeight="1">
      <c r="A61" s="24" t="s">
        <v>103</v>
      </c>
      <c r="B61" s="32">
        <v>260</v>
      </c>
      <c r="C61" s="32"/>
      <c r="D61" s="60">
        <f>SUM(D62:D64)</f>
        <v>0</v>
      </c>
      <c r="E61" s="60"/>
    </row>
    <row r="62" spans="1:5" ht="18.75" customHeight="1">
      <c r="A62" s="21" t="s">
        <v>104</v>
      </c>
      <c r="B62" s="33">
        <v>261</v>
      </c>
      <c r="C62" s="33" t="s">
        <v>166</v>
      </c>
      <c r="D62" s="58"/>
      <c r="E62" s="58"/>
    </row>
    <row r="63" spans="1:5" ht="18.75" customHeight="1">
      <c r="A63" s="21" t="s">
        <v>105</v>
      </c>
      <c r="B63" s="33">
        <v>262</v>
      </c>
      <c r="C63" s="33" t="s">
        <v>167</v>
      </c>
      <c r="D63" s="58"/>
      <c r="E63" s="58"/>
    </row>
    <row r="64" spans="1:7" s="12" customFormat="1" ht="18.75" customHeight="1">
      <c r="A64" s="26" t="s">
        <v>106</v>
      </c>
      <c r="B64" s="35">
        <v>268</v>
      </c>
      <c r="C64" s="35"/>
      <c r="D64" s="62"/>
      <c r="E64" s="62"/>
      <c r="F64" s="57"/>
      <c r="G64" s="57"/>
    </row>
    <row r="65" spans="1:5" ht="15.75" customHeight="1">
      <c r="A65" s="56" t="s">
        <v>207</v>
      </c>
      <c r="B65" s="36">
        <v>270</v>
      </c>
      <c r="C65" s="36"/>
      <c r="D65" s="63">
        <f>D32+D9</f>
        <v>178419820815</v>
      </c>
      <c r="E65" s="63">
        <f>E32+E9</f>
        <v>142663551272</v>
      </c>
    </row>
    <row r="66" spans="1:5" ht="7.5" customHeight="1">
      <c r="A66" s="182" t="s">
        <v>151</v>
      </c>
      <c r="B66" s="181"/>
      <c r="C66" s="181"/>
      <c r="D66" s="187"/>
      <c r="E66" s="187"/>
    </row>
    <row r="67" spans="1:5" s="12" customFormat="1" ht="18.75" customHeight="1">
      <c r="A67" s="182"/>
      <c r="B67" s="181"/>
      <c r="C67" s="181"/>
      <c r="D67" s="187"/>
      <c r="E67" s="187"/>
    </row>
    <row r="68" spans="1:5" s="25" customFormat="1" ht="18.75" customHeight="1">
      <c r="A68" s="55" t="s">
        <v>208</v>
      </c>
      <c r="B68" s="34">
        <v>300</v>
      </c>
      <c r="C68" s="34"/>
      <c r="D68" s="60">
        <f>D69+D80</f>
        <v>120465688251</v>
      </c>
      <c r="E68" s="60">
        <f>E69+E80</f>
        <v>85788618824</v>
      </c>
    </row>
    <row r="69" spans="1:6" ht="18.75" customHeight="1">
      <c r="A69" s="24" t="s">
        <v>107</v>
      </c>
      <c r="B69" s="32">
        <v>310</v>
      </c>
      <c r="C69" s="32"/>
      <c r="D69" s="60">
        <f>SUM(D70:D79)</f>
        <v>119965468126</v>
      </c>
      <c r="E69" s="60">
        <f>SUM(E70:E79)</f>
        <v>85442656881</v>
      </c>
      <c r="F69" s="40"/>
    </row>
    <row r="70" spans="1:7" ht="18.75" customHeight="1">
      <c r="A70" s="21" t="s">
        <v>108</v>
      </c>
      <c r="B70" s="33">
        <v>311</v>
      </c>
      <c r="C70" s="33" t="s">
        <v>168</v>
      </c>
      <c r="D70" s="130">
        <f>'BCDPS - 2010'!H25</f>
        <v>0</v>
      </c>
      <c r="E70" s="58">
        <f>'BCDPS - 2010'!D25</f>
        <v>10000000000</v>
      </c>
      <c r="F70" s="40"/>
      <c r="G70" s="40"/>
    </row>
    <row r="71" spans="1:7" ht="18.75" customHeight="1">
      <c r="A71" s="21" t="s">
        <v>109</v>
      </c>
      <c r="B71" s="33">
        <v>312</v>
      </c>
      <c r="C71" s="33"/>
      <c r="D71" s="130">
        <f>'DC BCDPS 17-6'!H26</f>
        <v>27442906696</v>
      </c>
      <c r="E71" s="58">
        <f>'DC BCDPS 17-6'!D26</f>
        <v>7353212377</v>
      </c>
      <c r="F71" s="40"/>
      <c r="G71" s="40"/>
    </row>
    <row r="72" spans="1:7" ht="18.75" customHeight="1">
      <c r="A72" s="21" t="s">
        <v>110</v>
      </c>
      <c r="B72" s="33">
        <v>313</v>
      </c>
      <c r="C72" s="33"/>
      <c r="D72" s="130">
        <f>'DC BCDPS 17-6'!H7+'DC BCDPS 17-6'!H36</f>
        <v>87149123113</v>
      </c>
      <c r="E72" s="58">
        <f>'DC BCDPS 17-6'!D7+'DC BCDPS 17-6'!D36</f>
        <v>68781990360</v>
      </c>
      <c r="F72" s="51"/>
      <c r="G72" s="51"/>
    </row>
    <row r="73" spans="1:7" ht="18.75" customHeight="1">
      <c r="A73" s="21" t="s">
        <v>111</v>
      </c>
      <c r="B73" s="33">
        <v>314</v>
      </c>
      <c r="C73" s="33" t="s">
        <v>169</v>
      </c>
      <c r="D73" s="58">
        <f>'DC BCDPS 17-6'!H27-'DC BCDPS 17-6'!G28+'DC BCDPS 17-6'!H29</f>
        <v>1653807508</v>
      </c>
      <c r="E73" s="58">
        <f>'DC BCDPS 17-6'!D27+'DC BCDPS 17-6'!D28+'DC BCDPS 17-6'!D29+'DC BCDPS 17-6'!D30-'DC BCDPS 17-6'!C28</f>
        <v>-560080751</v>
      </c>
      <c r="F73" s="40"/>
      <c r="G73" s="40"/>
    </row>
    <row r="74" spans="1:7" ht="18.75" customHeight="1">
      <c r="A74" s="21" t="s">
        <v>112</v>
      </c>
      <c r="B74" s="33">
        <v>315</v>
      </c>
      <c r="C74" s="33"/>
      <c r="D74" s="58">
        <f>'DC BCDPS 17-6'!H31</f>
        <v>1968708000</v>
      </c>
      <c r="E74" s="58"/>
      <c r="F74" s="40"/>
      <c r="G74" s="40"/>
    </row>
    <row r="75" spans="1:7" ht="18.75" customHeight="1">
      <c r="A75" s="21" t="s">
        <v>113</v>
      </c>
      <c r="B75" s="33">
        <v>316</v>
      </c>
      <c r="C75" s="33" t="s">
        <v>170</v>
      </c>
      <c r="D75" s="58"/>
      <c r="E75" s="58"/>
      <c r="F75" s="51"/>
      <c r="G75" s="51"/>
    </row>
    <row r="76" spans="1:7" ht="18.75" customHeight="1">
      <c r="A76" s="21" t="s">
        <v>114</v>
      </c>
      <c r="B76" s="33">
        <v>317</v>
      </c>
      <c r="C76" s="33"/>
      <c r="D76" s="58"/>
      <c r="E76" s="58"/>
      <c r="F76" s="40"/>
      <c r="G76" s="40"/>
    </row>
    <row r="77" spans="1:7" ht="18.75" customHeight="1">
      <c r="A77" s="21" t="s">
        <v>115</v>
      </c>
      <c r="B77" s="33">
        <v>318</v>
      </c>
      <c r="C77" s="33"/>
      <c r="D77" s="58"/>
      <c r="E77" s="58"/>
      <c r="F77" s="40"/>
      <c r="G77" s="40"/>
    </row>
    <row r="78" spans="1:7" ht="18.75" customHeight="1">
      <c r="A78" s="21" t="s">
        <v>116</v>
      </c>
      <c r="B78" s="33">
        <v>319</v>
      </c>
      <c r="C78" s="33" t="s">
        <v>171</v>
      </c>
      <c r="D78" s="58">
        <f>'DC BCDPS 17-6'!H33-'DC BCDPS 17-6'!G34+'DC BCDPS 17-6'!H35+'DC BCDPS 17-6'!H37+'DC BCDPS 17-6'!H38-'DC BCDPS 17-6'!G33-'DC BCDPS 17-6'!G35-'DC BCDPS 17-6'!G38</f>
        <v>1750922809</v>
      </c>
      <c r="E78" s="58">
        <f>'DC BCDPS 17-6'!D33+'DC BCDPS 17-6'!D34+'DC BCDPS 17-6'!D35+'DC BCDPS 17-6'!D37+'DC BCDPS 17-6'!D38-'DC BCDPS 17-6'!C33-'DC BCDPS 17-6'!C34-'DC BCDPS 17-6'!C35-'DC BCDPS 17-6'!C36-'DC BCDPS 17-6'!C37-'DC BCDPS 17-6'!C38</f>
        <v>-132465105</v>
      </c>
      <c r="F78" s="40"/>
      <c r="G78" s="40"/>
    </row>
    <row r="79" spans="1:7" s="25" customFormat="1" ht="18.75" customHeight="1">
      <c r="A79" s="21" t="s">
        <v>117</v>
      </c>
      <c r="B79" s="33">
        <v>320</v>
      </c>
      <c r="C79" s="33"/>
      <c r="D79" s="58"/>
      <c r="E79" s="58"/>
      <c r="F79" s="40"/>
      <c r="G79" s="40"/>
    </row>
    <row r="80" spans="1:5" ht="18.75" customHeight="1">
      <c r="A80" s="24" t="s">
        <v>118</v>
      </c>
      <c r="B80" s="32">
        <v>330</v>
      </c>
      <c r="C80" s="32"/>
      <c r="D80" s="60">
        <f>D90</f>
        <v>500220125</v>
      </c>
      <c r="E80" s="60">
        <f>E90</f>
        <v>345961943</v>
      </c>
    </row>
    <row r="81" spans="1:5" ht="18.75" customHeight="1">
      <c r="A81" s="21" t="s">
        <v>119</v>
      </c>
      <c r="B81" s="33">
        <v>331</v>
      </c>
      <c r="C81" s="33"/>
      <c r="D81" s="58"/>
      <c r="E81" s="58"/>
    </row>
    <row r="82" spans="1:5" ht="18.75" customHeight="1">
      <c r="A82" s="21" t="s">
        <v>120</v>
      </c>
      <c r="B82" s="33">
        <v>332</v>
      </c>
      <c r="C82" s="33" t="s">
        <v>172</v>
      </c>
      <c r="D82" s="58"/>
      <c r="E82" s="58"/>
    </row>
    <row r="83" spans="1:5" ht="18.75" customHeight="1">
      <c r="A83" s="21" t="s">
        <v>121</v>
      </c>
      <c r="B83" s="33">
        <v>333</v>
      </c>
      <c r="C83" s="33"/>
      <c r="D83" s="58"/>
      <c r="E83" s="58"/>
    </row>
    <row r="84" spans="1:5" ht="18.75" customHeight="1">
      <c r="A84" s="21" t="s">
        <v>122</v>
      </c>
      <c r="B84" s="33">
        <v>334</v>
      </c>
      <c r="C84" s="33" t="s">
        <v>173</v>
      </c>
      <c r="D84" s="58"/>
      <c r="E84" s="58"/>
    </row>
    <row r="85" spans="1:5" ht="14.25" customHeight="1">
      <c r="A85" s="23"/>
      <c r="B85" s="39"/>
      <c r="C85" s="39"/>
      <c r="D85" s="169"/>
      <c r="E85" s="169"/>
    </row>
    <row r="86" spans="1:5" ht="15">
      <c r="A86" s="166"/>
      <c r="B86" s="167"/>
      <c r="C86" s="167"/>
      <c r="D86" s="168"/>
      <c r="E86" s="168"/>
    </row>
    <row r="87" spans="1:5" ht="15">
      <c r="A87" s="182" t="s">
        <v>151</v>
      </c>
      <c r="B87" s="181" t="s">
        <v>57</v>
      </c>
      <c r="C87" s="183" t="s">
        <v>58</v>
      </c>
      <c r="D87" s="180" t="s">
        <v>59</v>
      </c>
      <c r="E87" s="180" t="s">
        <v>60</v>
      </c>
    </row>
    <row r="88" spans="1:7" ht="18.75" customHeight="1">
      <c r="A88" s="182"/>
      <c r="B88" s="181"/>
      <c r="C88" s="183"/>
      <c r="D88" s="180"/>
      <c r="E88" s="180"/>
      <c r="F88" s="8"/>
      <c r="G88" s="8"/>
    </row>
    <row r="89" spans="1:5" ht="18.75" customHeight="1">
      <c r="A89" s="21" t="s">
        <v>123</v>
      </c>
      <c r="B89" s="33">
        <v>335</v>
      </c>
      <c r="C89" s="33" t="s">
        <v>167</v>
      </c>
      <c r="D89" s="58"/>
      <c r="E89" s="58"/>
    </row>
    <row r="90" spans="1:5" ht="18.75" customHeight="1">
      <c r="A90" s="21" t="s">
        <v>238</v>
      </c>
      <c r="B90" s="33">
        <v>336</v>
      </c>
      <c r="C90" s="33"/>
      <c r="D90" s="61">
        <f>'DC BCDPS 17-6'!H39</f>
        <v>500220125</v>
      </c>
      <c r="E90" s="58">
        <f>'DC BCDPS 17-6'!D39</f>
        <v>345961943</v>
      </c>
    </row>
    <row r="91" spans="1:5" s="12" customFormat="1" ht="18.75" customHeight="1">
      <c r="A91" s="21" t="s">
        <v>124</v>
      </c>
      <c r="B91" s="33">
        <v>337</v>
      </c>
      <c r="C91" s="33"/>
      <c r="D91" s="58"/>
      <c r="E91" s="58"/>
    </row>
    <row r="92" spans="1:5" s="25" customFormat="1" ht="18.75" customHeight="1">
      <c r="A92" s="55" t="s">
        <v>209</v>
      </c>
      <c r="B92" s="34">
        <v>400</v>
      </c>
      <c r="C92" s="34"/>
      <c r="D92" s="60">
        <f>D93+D105</f>
        <v>57954132564</v>
      </c>
      <c r="E92" s="60">
        <f>E93+E105</f>
        <v>56874932448</v>
      </c>
    </row>
    <row r="93" spans="1:5" ht="18.75" customHeight="1">
      <c r="A93" s="24" t="s">
        <v>125</v>
      </c>
      <c r="B93" s="32">
        <v>410</v>
      </c>
      <c r="C93" s="32" t="s">
        <v>174</v>
      </c>
      <c r="D93" s="60">
        <f>SUM(D94:D104)</f>
        <v>56291227220</v>
      </c>
      <c r="E93" s="60">
        <f>SUM(E94:E104)</f>
        <v>56072518137</v>
      </c>
    </row>
    <row r="94" spans="1:5" ht="18.75" customHeight="1">
      <c r="A94" s="21" t="s">
        <v>126</v>
      </c>
      <c r="B94" s="33">
        <v>411</v>
      </c>
      <c r="C94" s="33"/>
      <c r="D94" s="61">
        <f>'DC BCDPS 17-6'!H40</f>
        <v>49898642595</v>
      </c>
      <c r="E94" s="58">
        <f>'BCDPS - 2010'!D40</f>
        <v>41813584381</v>
      </c>
    </row>
    <row r="95" spans="1:5" ht="18.75" customHeight="1">
      <c r="A95" s="21" t="s">
        <v>127</v>
      </c>
      <c r="B95" s="33">
        <v>412</v>
      </c>
      <c r="C95" s="33"/>
      <c r="D95" s="58"/>
      <c r="E95" s="58"/>
    </row>
    <row r="96" spans="1:5" ht="18.75" customHeight="1">
      <c r="A96" s="21" t="s">
        <v>128</v>
      </c>
      <c r="B96" s="33">
        <v>413</v>
      </c>
      <c r="C96" s="33"/>
      <c r="D96" s="61">
        <f>'DC BCDPS 17-6'!H22</f>
        <v>1362641957</v>
      </c>
      <c r="E96" s="58">
        <f>'DC BCDPS 17-6'!D22</f>
        <v>9500000000</v>
      </c>
    </row>
    <row r="97" spans="1:5" ht="18.75" customHeight="1">
      <c r="A97" s="21" t="s">
        <v>129</v>
      </c>
      <c r="B97" s="33">
        <v>414</v>
      </c>
      <c r="C97" s="33"/>
      <c r="D97" s="58"/>
      <c r="E97" s="58"/>
    </row>
    <row r="98" spans="1:5" ht="18.75" customHeight="1">
      <c r="A98" s="21" t="s">
        <v>130</v>
      </c>
      <c r="B98" s="33">
        <v>415</v>
      </c>
      <c r="C98" s="33"/>
      <c r="D98" s="58"/>
      <c r="E98" s="58"/>
    </row>
    <row r="99" spans="1:7" ht="18.75" customHeight="1">
      <c r="A99" s="21" t="s">
        <v>131</v>
      </c>
      <c r="B99" s="33">
        <v>416</v>
      </c>
      <c r="C99" s="33"/>
      <c r="D99" s="58"/>
      <c r="E99" s="58"/>
      <c r="G99" s="40"/>
    </row>
    <row r="100" spans="1:7" ht="18.75" customHeight="1">
      <c r="A100" s="21" t="s">
        <v>132</v>
      </c>
      <c r="B100" s="33">
        <v>417</v>
      </c>
      <c r="C100" s="33"/>
      <c r="D100" s="58">
        <f>'DC BCDPS 17-6'!H42</f>
        <v>3837970009</v>
      </c>
      <c r="E100" s="58">
        <f>'DC BCDPS 17-6'!D42</f>
        <v>3837970009</v>
      </c>
      <c r="G100" s="40"/>
    </row>
    <row r="101" spans="1:7" ht="18.75" customHeight="1">
      <c r="A101" s="21" t="s">
        <v>133</v>
      </c>
      <c r="B101" s="33">
        <v>418</v>
      </c>
      <c r="C101" s="33"/>
      <c r="D101" s="61">
        <f>'DC BCDPS 17-6'!H43</f>
        <v>988632780</v>
      </c>
      <c r="E101" s="58">
        <f>'DC BCDPS 17-6'!D43</f>
        <v>728432964</v>
      </c>
      <c r="F101" s="57"/>
      <c r="G101" s="57"/>
    </row>
    <row r="102" spans="1:7" ht="18.75" customHeight="1">
      <c r="A102" s="21" t="s">
        <v>285</v>
      </c>
      <c r="B102" s="33">
        <v>419</v>
      </c>
      <c r="C102" s="33"/>
      <c r="D102" s="58">
        <f>'DC BCDPS 17-6'!H44</f>
        <v>203339879</v>
      </c>
      <c r="E102" s="58">
        <f>'DC BCDPS 17-6'!D44</f>
        <v>192530783</v>
      </c>
      <c r="F102" s="40"/>
      <c r="G102" s="40"/>
    </row>
    <row r="103" spans="1:5" ht="18.75" customHeight="1">
      <c r="A103" s="21" t="s">
        <v>253</v>
      </c>
      <c r="B103" s="33">
        <v>420</v>
      </c>
      <c r="C103" s="33"/>
      <c r="D103" s="61">
        <f>'BCDPS - 2010'!H45</f>
        <v>0</v>
      </c>
      <c r="E103" s="58">
        <f>'BCDPS - 2010'!D45</f>
        <v>0</v>
      </c>
    </row>
    <row r="104" spans="1:5" s="25" customFormat="1" ht="18.75" customHeight="1">
      <c r="A104" s="21" t="s">
        <v>135</v>
      </c>
      <c r="B104" s="33">
        <v>421</v>
      </c>
      <c r="C104" s="33"/>
      <c r="D104" s="58"/>
      <c r="E104" s="58"/>
    </row>
    <row r="105" spans="1:7" ht="18.75" customHeight="1">
      <c r="A105" s="24" t="s">
        <v>136</v>
      </c>
      <c r="B105" s="32">
        <v>430</v>
      </c>
      <c r="C105" s="32"/>
      <c r="D105" s="60">
        <f>D106</f>
        <v>1662905344</v>
      </c>
      <c r="E105" s="60">
        <f>E106</f>
        <v>802414311</v>
      </c>
      <c r="G105" s="40"/>
    </row>
    <row r="106" spans="1:5" ht="18.75" customHeight="1">
      <c r="A106" s="21" t="s">
        <v>137</v>
      </c>
      <c r="B106" s="33">
        <v>431</v>
      </c>
      <c r="C106" s="33"/>
      <c r="D106" s="61">
        <f>'DC BCDPS 17-6'!H46</f>
        <v>1662905344</v>
      </c>
      <c r="E106" s="58">
        <f>'DC BCDPS 17-6'!D46</f>
        <v>802414311</v>
      </c>
    </row>
    <row r="107" spans="1:7" ht="18.75" customHeight="1">
      <c r="A107" s="21" t="s">
        <v>138</v>
      </c>
      <c r="B107" s="33">
        <v>432</v>
      </c>
      <c r="C107" s="33" t="s">
        <v>175</v>
      </c>
      <c r="D107" s="58"/>
      <c r="E107" s="58"/>
      <c r="G107" s="51"/>
    </row>
    <row r="108" spans="1:7" s="25" customFormat="1" ht="18.75" customHeight="1">
      <c r="A108" s="26" t="s">
        <v>139</v>
      </c>
      <c r="B108" s="35">
        <v>433</v>
      </c>
      <c r="C108" s="35"/>
      <c r="D108" s="62"/>
      <c r="E108" s="62"/>
      <c r="F108" s="51"/>
      <c r="G108" s="51"/>
    </row>
    <row r="109" spans="1:5" ht="27.75" customHeight="1">
      <c r="A109" s="56" t="s">
        <v>210</v>
      </c>
      <c r="B109" s="37">
        <v>440</v>
      </c>
      <c r="C109" s="37"/>
      <c r="D109" s="63">
        <f>D92+D68</f>
        <v>178419820815</v>
      </c>
      <c r="E109" s="63">
        <f>E92+E68</f>
        <v>142663551272</v>
      </c>
    </row>
    <row r="110" spans="1:5" ht="19.5">
      <c r="A110" s="185" t="s">
        <v>140</v>
      </c>
      <c r="B110" s="185"/>
      <c r="C110" s="185"/>
      <c r="D110" s="185"/>
      <c r="E110" s="185"/>
    </row>
    <row r="111" spans="1:5" ht="15">
      <c r="A111" s="182" t="s">
        <v>141</v>
      </c>
      <c r="B111" s="181"/>
      <c r="C111" s="183" t="s">
        <v>58</v>
      </c>
      <c r="D111" s="180" t="s">
        <v>59</v>
      </c>
      <c r="E111" s="180" t="s">
        <v>60</v>
      </c>
    </row>
    <row r="112" spans="1:5" ht="18" customHeight="1">
      <c r="A112" s="182"/>
      <c r="B112" s="181"/>
      <c r="C112" s="183"/>
      <c r="D112" s="180"/>
      <c r="E112" s="180"/>
    </row>
    <row r="113" spans="1:6" ht="18" customHeight="1">
      <c r="A113" s="20" t="s">
        <v>142</v>
      </c>
      <c r="B113" s="20"/>
      <c r="C113" s="38" t="s">
        <v>152</v>
      </c>
      <c r="D113" s="43"/>
      <c r="E113" s="43"/>
      <c r="F113" s="40"/>
    </row>
    <row r="114" spans="1:5" ht="18" customHeight="1">
      <c r="A114" s="21" t="s">
        <v>143</v>
      </c>
      <c r="B114" s="21"/>
      <c r="C114" s="33"/>
      <c r="D114" s="42"/>
      <c r="E114" s="42"/>
    </row>
    <row r="115" spans="1:5" ht="18" customHeight="1">
      <c r="A115" s="21" t="s">
        <v>144</v>
      </c>
      <c r="B115" s="21"/>
      <c r="C115" s="33"/>
      <c r="D115" s="42"/>
      <c r="E115" s="42"/>
    </row>
    <row r="116" spans="1:5" ht="18" customHeight="1">
      <c r="A116" s="21" t="s">
        <v>145</v>
      </c>
      <c r="B116" s="21"/>
      <c r="C116" s="33"/>
      <c r="D116" s="42"/>
      <c r="E116" s="42"/>
    </row>
    <row r="117" spans="1:5" ht="18" customHeight="1">
      <c r="A117" s="21" t="s">
        <v>146</v>
      </c>
      <c r="B117" s="21"/>
      <c r="C117" s="33"/>
      <c r="D117" s="42"/>
      <c r="E117" s="42"/>
    </row>
    <row r="118" spans="1:5" ht="15">
      <c r="A118" s="23" t="s">
        <v>147</v>
      </c>
      <c r="B118" s="23"/>
      <c r="C118" s="39"/>
      <c r="D118" s="44"/>
      <c r="E118" s="44"/>
    </row>
    <row r="119" spans="1:5" s="25" customFormat="1" ht="15.75">
      <c r="A119" s="18"/>
      <c r="B119" s="18"/>
      <c r="C119" s="186" t="s">
        <v>289</v>
      </c>
      <c r="D119" s="186"/>
      <c r="E119" s="186"/>
    </row>
    <row r="120" spans="1:5" ht="17.25">
      <c r="A120" s="188" t="s">
        <v>240</v>
      </c>
      <c r="B120" s="188"/>
      <c r="C120" s="188"/>
      <c r="D120" s="188"/>
      <c r="E120" s="188"/>
    </row>
    <row r="123" ht="15">
      <c r="A123" s="40"/>
    </row>
    <row r="126" spans="1:5" s="140" customFormat="1" ht="17.25">
      <c r="A126" s="18"/>
      <c r="B126" s="18"/>
      <c r="C126" s="18"/>
      <c r="D126" s="40"/>
      <c r="E126" s="40"/>
    </row>
    <row r="127" spans="1:5" ht="17.25">
      <c r="A127" s="179"/>
      <c r="B127" s="179"/>
      <c r="C127" s="179"/>
      <c r="D127" s="179"/>
      <c r="E127" s="179"/>
    </row>
  </sheetData>
  <mergeCells count="32">
    <mergeCell ref="C119:E119"/>
    <mergeCell ref="A120:E120"/>
    <mergeCell ref="A127:E127"/>
    <mergeCell ref="E87:E88"/>
    <mergeCell ref="A110:E110"/>
    <mergeCell ref="A111:A112"/>
    <mergeCell ref="B111:B112"/>
    <mergeCell ref="C111:C112"/>
    <mergeCell ref="D111:D112"/>
    <mergeCell ref="E111:E112"/>
    <mergeCell ref="A87:A88"/>
    <mergeCell ref="B87:B88"/>
    <mergeCell ref="C87:C88"/>
    <mergeCell ref="D87:D88"/>
    <mergeCell ref="C44:C45"/>
    <mergeCell ref="D44:D45"/>
    <mergeCell ref="E44:E45"/>
    <mergeCell ref="A66:A67"/>
    <mergeCell ref="B66:B67"/>
    <mergeCell ref="C66:C67"/>
    <mergeCell ref="D66:D67"/>
    <mergeCell ref="E66:E67"/>
    <mergeCell ref="A44:A45"/>
    <mergeCell ref="B44:B45"/>
    <mergeCell ref="A4:E4"/>
    <mergeCell ref="A7:A8"/>
    <mergeCell ref="B7:B8"/>
    <mergeCell ref="C7:C8"/>
    <mergeCell ref="D7:D8"/>
    <mergeCell ref="E7:E8"/>
    <mergeCell ref="A6:D6"/>
    <mergeCell ref="A5:E5"/>
  </mergeCells>
  <printOptions/>
  <pageMargins left="0.33" right="0.19" top="0.54" bottom="0.46" header="0.5" footer="0.4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6">
      <selection activeCell="A31" sqref="A31:E31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8.75390625" style="0" customWidth="1"/>
    <col min="4" max="4" width="17.125" style="0" customWidth="1"/>
    <col min="5" max="5" width="18.25390625" style="0" customWidth="1"/>
    <col min="6" max="6" width="17.75390625" style="136" bestFit="1" customWidth="1"/>
    <col min="7" max="7" width="10.125" style="0" bestFit="1" customWidth="1"/>
  </cols>
  <sheetData>
    <row r="1" spans="1:5" ht="16.5">
      <c r="A1" s="27" t="s">
        <v>54</v>
      </c>
      <c r="B1" s="18"/>
      <c r="C1" s="18"/>
      <c r="D1" s="40"/>
      <c r="E1" s="40"/>
    </row>
    <row r="2" spans="1:5" ht="15.75">
      <c r="A2" s="28" t="s">
        <v>55</v>
      </c>
      <c r="B2" s="18"/>
      <c r="C2" s="18"/>
      <c r="D2" s="40"/>
      <c r="E2" s="40"/>
    </row>
    <row r="3" spans="1:5" ht="15.75">
      <c r="A3" s="28"/>
      <c r="B3" s="18"/>
      <c r="C3" s="18"/>
      <c r="D3" s="40"/>
      <c r="E3" s="40"/>
    </row>
    <row r="4" spans="1:5" ht="21.75">
      <c r="A4" s="184" t="s">
        <v>242</v>
      </c>
      <c r="B4" s="184"/>
      <c r="C4" s="184"/>
      <c r="D4" s="184"/>
      <c r="E4" s="184"/>
    </row>
    <row r="5" spans="1:5" ht="18">
      <c r="A5" s="195" t="s">
        <v>286</v>
      </c>
      <c r="B5" s="195"/>
      <c r="C5" s="195"/>
      <c r="D5" s="195"/>
      <c r="E5" s="195"/>
    </row>
    <row r="6" spans="1:5" ht="15.75">
      <c r="A6" s="18"/>
      <c r="B6" s="18"/>
      <c r="C6" s="18"/>
      <c r="D6" s="40"/>
      <c r="E6" s="41" t="s">
        <v>61</v>
      </c>
    </row>
    <row r="7" spans="1:5" ht="12.75">
      <c r="A7" s="182" t="s">
        <v>141</v>
      </c>
      <c r="B7" s="181" t="s">
        <v>57</v>
      </c>
      <c r="C7" s="183" t="s">
        <v>58</v>
      </c>
      <c r="D7" s="180" t="s">
        <v>59</v>
      </c>
      <c r="E7" s="180" t="s">
        <v>60</v>
      </c>
    </row>
    <row r="8" spans="1:5" ht="12.75">
      <c r="A8" s="182"/>
      <c r="B8" s="181"/>
      <c r="C8" s="183"/>
      <c r="D8" s="180"/>
      <c r="E8" s="180"/>
    </row>
    <row r="9" spans="1:5" ht="19.5" customHeight="1">
      <c r="A9" s="119">
        <v>1</v>
      </c>
      <c r="B9" s="120">
        <v>2</v>
      </c>
      <c r="C9" s="120">
        <v>3</v>
      </c>
      <c r="D9" s="121">
        <v>4</v>
      </c>
      <c r="E9" s="121">
        <v>5</v>
      </c>
    </row>
    <row r="10" spans="1:7" ht="19.5" customHeight="1">
      <c r="A10" s="117" t="s">
        <v>178</v>
      </c>
      <c r="B10" s="124" t="s">
        <v>197</v>
      </c>
      <c r="C10" s="122" t="s">
        <v>199</v>
      </c>
      <c r="D10" s="118">
        <f>'ban co ca nam 2010'!BJ49+'ban co ca nam 2010'!BJ50+'ban co ca nam 2010'!BJ51-7654727291</f>
        <v>105530509929</v>
      </c>
      <c r="E10" s="118">
        <v>62892263070</v>
      </c>
      <c r="F10" s="137"/>
      <c r="G10" s="19"/>
    </row>
    <row r="11" spans="1:5" ht="19.5" customHeight="1">
      <c r="A11" s="21" t="s">
        <v>179</v>
      </c>
      <c r="B11" s="125" t="s">
        <v>198</v>
      </c>
      <c r="C11" s="123"/>
      <c r="D11" s="50">
        <f>'ban co ca nam 2010'!BK52</f>
        <v>553183044</v>
      </c>
      <c r="E11" s="50">
        <v>6041088260</v>
      </c>
    </row>
    <row r="12" spans="1:5" ht="30">
      <c r="A12" s="45" t="s">
        <v>180</v>
      </c>
      <c r="B12" s="126">
        <v>10</v>
      </c>
      <c r="C12" s="123"/>
      <c r="D12" s="42">
        <f>D10-D11</f>
        <v>104977326885</v>
      </c>
      <c r="E12" s="42">
        <v>56851174810</v>
      </c>
    </row>
    <row r="13" spans="1:5" ht="19.5" customHeight="1">
      <c r="A13" s="21" t="s">
        <v>181</v>
      </c>
      <c r="B13" s="126">
        <v>11</v>
      </c>
      <c r="C13" s="123" t="s">
        <v>200</v>
      </c>
      <c r="D13" s="42">
        <f>'ban co ca nam 2010'!BH60-7037358043+309313283</f>
        <v>85084089705</v>
      </c>
      <c r="E13" s="42">
        <v>43153255008</v>
      </c>
    </row>
    <row r="14" spans="1:5" ht="30">
      <c r="A14" s="45" t="s">
        <v>182</v>
      </c>
      <c r="B14" s="126">
        <v>20</v>
      </c>
      <c r="C14" s="123"/>
      <c r="D14" s="42">
        <f>D12-D13</f>
        <v>19893237180</v>
      </c>
      <c r="E14" s="42">
        <v>13697919802</v>
      </c>
    </row>
    <row r="15" spans="1:6" ht="19.5" customHeight="1">
      <c r="A15" s="21" t="s">
        <v>183</v>
      </c>
      <c r="B15" s="126">
        <v>21</v>
      </c>
      <c r="C15" s="123" t="s">
        <v>202</v>
      </c>
      <c r="D15" s="42">
        <f>'ban co ca nam 2010'!BJ54</f>
        <v>3171069370</v>
      </c>
      <c r="E15" s="42">
        <v>1231248271</v>
      </c>
      <c r="F15" s="136">
        <f>D10+D21</f>
        <v>105899771292</v>
      </c>
    </row>
    <row r="16" spans="1:5" ht="19.5" customHeight="1">
      <c r="A16" s="21" t="s">
        <v>184</v>
      </c>
      <c r="B16" s="126">
        <v>22</v>
      </c>
      <c r="C16" s="123" t="s">
        <v>201</v>
      </c>
      <c r="D16" s="42"/>
      <c r="E16" s="42"/>
    </row>
    <row r="17" spans="1:5" ht="19.5" customHeight="1">
      <c r="A17" s="22" t="s">
        <v>185</v>
      </c>
      <c r="B17" s="126">
        <v>23</v>
      </c>
      <c r="C17" s="123"/>
      <c r="D17" s="42"/>
      <c r="E17" s="42"/>
    </row>
    <row r="18" spans="1:5" ht="19.5" customHeight="1">
      <c r="A18" s="21" t="s">
        <v>186</v>
      </c>
      <c r="B18" s="126">
        <v>24</v>
      </c>
      <c r="C18" s="123"/>
      <c r="D18" s="42">
        <f>'ban co ca nam 2010'!BH58</f>
        <v>1696725547</v>
      </c>
      <c r="E18" s="42">
        <v>1499425519</v>
      </c>
    </row>
    <row r="19" spans="1:6" ht="19.5" customHeight="1">
      <c r="A19" s="21" t="s">
        <v>187</v>
      </c>
      <c r="B19" s="126">
        <v>25</v>
      </c>
      <c r="C19" s="123"/>
      <c r="D19" s="42">
        <f>'DC BCDPS 17-6'!E55</f>
        <v>17540189983</v>
      </c>
      <c r="E19" s="42">
        <v>11887326004</v>
      </c>
      <c r="F19" s="137"/>
    </row>
    <row r="20" spans="1:5" ht="30.75">
      <c r="A20" s="45" t="s">
        <v>188</v>
      </c>
      <c r="B20" s="126">
        <v>30</v>
      </c>
      <c r="C20" s="123"/>
      <c r="D20" s="42">
        <f>D14+D15-D16-D18-D19</f>
        <v>3827391020</v>
      </c>
      <c r="E20" s="42">
        <v>1542416550</v>
      </c>
    </row>
    <row r="21" spans="1:5" ht="19.5" customHeight="1">
      <c r="A21" s="21" t="s">
        <v>189</v>
      </c>
      <c r="B21" s="126">
        <v>31</v>
      </c>
      <c r="C21" s="123"/>
      <c r="D21" s="42">
        <f>'ban co ca nam 2010'!BF63-399936741</f>
        <v>369261363</v>
      </c>
      <c r="E21" s="42">
        <v>972764782</v>
      </c>
    </row>
    <row r="22" spans="1:5" ht="19.5" customHeight="1">
      <c r="A22" s="21" t="s">
        <v>190</v>
      </c>
      <c r="B22" s="126">
        <v>32</v>
      </c>
      <c r="C22" s="123"/>
      <c r="D22" s="42">
        <f>'ban co ca nam 2010'!BH62</f>
        <v>437544938</v>
      </c>
      <c r="E22" s="42">
        <v>86888073</v>
      </c>
    </row>
    <row r="23" spans="1:5" ht="19.5" customHeight="1">
      <c r="A23" s="21" t="s">
        <v>191</v>
      </c>
      <c r="B23" s="126">
        <v>40</v>
      </c>
      <c r="C23" s="123"/>
      <c r="D23" s="42">
        <f>D21-D22</f>
        <v>-68283575</v>
      </c>
      <c r="E23" s="42">
        <v>885876709</v>
      </c>
    </row>
    <row r="24" spans="1:5" ht="19.5" customHeight="1">
      <c r="A24" s="21" t="s">
        <v>192</v>
      </c>
      <c r="B24" s="126">
        <v>50</v>
      </c>
      <c r="C24" s="123"/>
      <c r="D24" s="42">
        <f>D20+D23</f>
        <v>3759107445</v>
      </c>
      <c r="E24" s="42">
        <v>2428293259</v>
      </c>
    </row>
    <row r="25" spans="1:5" ht="19.5" customHeight="1">
      <c r="A25" s="21" t="s">
        <v>193</v>
      </c>
      <c r="B25" s="126">
        <v>51</v>
      </c>
      <c r="C25" s="123" t="s">
        <v>203</v>
      </c>
      <c r="D25" s="42">
        <v>1131796975</v>
      </c>
      <c r="E25" s="42">
        <v>424951319.75</v>
      </c>
    </row>
    <row r="26" spans="1:5" ht="19.5" customHeight="1">
      <c r="A26" s="21" t="s">
        <v>194</v>
      </c>
      <c r="B26" s="126">
        <v>52</v>
      </c>
      <c r="C26" s="123" t="s">
        <v>203</v>
      </c>
      <c r="D26" s="42"/>
      <c r="E26" s="42"/>
    </row>
    <row r="27" spans="1:5" ht="19.5" customHeight="1">
      <c r="A27" s="21" t="s">
        <v>195</v>
      </c>
      <c r="B27" s="126">
        <v>60</v>
      </c>
      <c r="C27" s="123"/>
      <c r="D27" s="42">
        <f>D24-D25</f>
        <v>2627310470</v>
      </c>
      <c r="E27" s="42">
        <v>2003341939.25</v>
      </c>
    </row>
    <row r="28" spans="1:5" ht="19.5" customHeight="1">
      <c r="A28" s="23" t="s">
        <v>196</v>
      </c>
      <c r="B28" s="127">
        <v>70</v>
      </c>
      <c r="C28" s="39"/>
      <c r="D28" s="44"/>
      <c r="E28" s="44"/>
    </row>
    <row r="29" spans="1:6" s="135" customFormat="1" ht="16.5">
      <c r="A29" s="2"/>
      <c r="B29" s="2"/>
      <c r="C29" s="189" t="s">
        <v>288</v>
      </c>
      <c r="D29" s="189"/>
      <c r="E29" s="189"/>
      <c r="F29" s="138"/>
    </row>
    <row r="30" spans="1:5" ht="15.75">
      <c r="A30" s="18"/>
      <c r="B30" s="18"/>
      <c r="C30" s="18"/>
      <c r="D30" s="134"/>
      <c r="E30" s="134"/>
    </row>
    <row r="31" spans="1:6" s="128" customFormat="1" ht="17.25">
      <c r="A31" s="190" t="s">
        <v>239</v>
      </c>
      <c r="B31" s="190"/>
      <c r="C31" s="190"/>
      <c r="D31" s="190"/>
      <c r="E31" s="190"/>
      <c r="F31" s="139"/>
    </row>
    <row r="48" spans="1:5" ht="16.5">
      <c r="A48" s="27" t="s">
        <v>54</v>
      </c>
      <c r="B48" s="18"/>
      <c r="C48" s="18"/>
      <c r="D48" s="40"/>
      <c r="E48" s="40"/>
    </row>
    <row r="49" spans="1:5" ht="15.75">
      <c r="A49" s="28" t="s">
        <v>55</v>
      </c>
      <c r="B49" s="18"/>
      <c r="C49" s="18"/>
      <c r="D49" s="40"/>
      <c r="E49" s="40"/>
    </row>
    <row r="50" spans="1:5" ht="15.75">
      <c r="A50" s="28"/>
      <c r="B50" s="18"/>
      <c r="C50" s="18"/>
      <c r="D50" s="40"/>
      <c r="E50" s="40"/>
    </row>
    <row r="51" spans="1:5" ht="21.75">
      <c r="A51" s="184" t="s">
        <v>214</v>
      </c>
      <c r="B51" s="184"/>
      <c r="C51" s="184"/>
      <c r="D51" s="184"/>
      <c r="E51" s="184"/>
    </row>
    <row r="52" spans="1:5" ht="15.75">
      <c r="A52" s="18"/>
      <c r="B52" s="18"/>
      <c r="C52" s="18"/>
      <c r="D52" s="40"/>
      <c r="E52" s="41" t="s">
        <v>61</v>
      </c>
    </row>
    <row r="53" spans="1:5" ht="12.75">
      <c r="A53" s="182" t="s">
        <v>141</v>
      </c>
      <c r="B53" s="181" t="s">
        <v>57</v>
      </c>
      <c r="C53" s="183" t="s">
        <v>58</v>
      </c>
      <c r="D53" s="180" t="s">
        <v>59</v>
      </c>
      <c r="E53" s="180" t="s">
        <v>60</v>
      </c>
    </row>
    <row r="54" spans="1:5" ht="12.75">
      <c r="A54" s="182"/>
      <c r="B54" s="181"/>
      <c r="C54" s="183"/>
      <c r="D54" s="180"/>
      <c r="E54" s="180"/>
    </row>
    <row r="55" spans="1:5" ht="20.25" customHeight="1">
      <c r="A55" s="46">
        <v>1</v>
      </c>
      <c r="B55" s="47">
        <v>2</v>
      </c>
      <c r="C55" s="47">
        <v>3</v>
      </c>
      <c r="D55" s="48">
        <v>4</v>
      </c>
      <c r="E55" s="48">
        <v>5</v>
      </c>
    </row>
    <row r="56" spans="1:7" ht="20.25" customHeight="1">
      <c r="A56" s="21" t="s">
        <v>178</v>
      </c>
      <c r="B56" s="49" t="s">
        <v>197</v>
      </c>
      <c r="C56" s="33" t="s">
        <v>199</v>
      </c>
      <c r="D56" s="52">
        <v>5084949992</v>
      </c>
      <c r="E56" s="50">
        <v>40629486334</v>
      </c>
      <c r="F56" s="137"/>
      <c r="G56" s="19"/>
    </row>
    <row r="57" spans="1:5" ht="20.25" customHeight="1">
      <c r="A57" s="21" t="s">
        <v>179</v>
      </c>
      <c r="B57" s="49" t="s">
        <v>198</v>
      </c>
      <c r="C57" s="33"/>
      <c r="D57" s="52">
        <f>'ban co ca nam 2010'!BK54</f>
        <v>3171069370</v>
      </c>
      <c r="E57" s="50">
        <v>7010000</v>
      </c>
    </row>
    <row r="58" spans="1:5" ht="30">
      <c r="A58" s="45" t="s">
        <v>180</v>
      </c>
      <c r="B58" s="33">
        <v>10</v>
      </c>
      <c r="C58" s="33"/>
      <c r="D58" s="50">
        <f>D56-D57</f>
        <v>1913880622</v>
      </c>
      <c r="E58" s="42">
        <f>E56-E57</f>
        <v>40622476334</v>
      </c>
    </row>
    <row r="59" spans="1:5" ht="20.25" customHeight="1">
      <c r="A59" s="21" t="s">
        <v>181</v>
      </c>
      <c r="B59" s="33">
        <v>11</v>
      </c>
      <c r="C59" s="33" t="s">
        <v>200</v>
      </c>
      <c r="D59" s="52">
        <v>4351767053</v>
      </c>
      <c r="E59" s="42">
        <v>34167679421</v>
      </c>
    </row>
    <row r="60" spans="1:5" ht="30">
      <c r="A60" s="45" t="s">
        <v>182</v>
      </c>
      <c r="B60" s="33">
        <v>20</v>
      </c>
      <c r="C60" s="33"/>
      <c r="D60" s="50">
        <f>D58-D59</f>
        <v>-2437886431</v>
      </c>
      <c r="E60" s="42">
        <f>E58-E59</f>
        <v>6454796913</v>
      </c>
    </row>
    <row r="61" spans="1:5" ht="20.25" customHeight="1">
      <c r="A61" s="21" t="s">
        <v>183</v>
      </c>
      <c r="B61" s="33">
        <v>21</v>
      </c>
      <c r="C61" s="33" t="s">
        <v>202</v>
      </c>
      <c r="D61" s="52">
        <f>'ban co ca nam 2010'!BL52</f>
        <v>553183044</v>
      </c>
      <c r="E61" s="42">
        <v>708283252</v>
      </c>
    </row>
    <row r="62" spans="1:5" ht="20.25" customHeight="1">
      <c r="A62" s="21" t="s">
        <v>184</v>
      </c>
      <c r="B62" s="33">
        <v>22</v>
      </c>
      <c r="C62" s="33" t="s">
        <v>201</v>
      </c>
      <c r="D62" s="52">
        <f>'ban co ca nam 2010'!BK62</f>
        <v>437544938</v>
      </c>
      <c r="E62" s="42"/>
    </row>
    <row r="63" spans="1:5" ht="20.25" customHeight="1">
      <c r="A63" s="22" t="s">
        <v>185</v>
      </c>
      <c r="B63" s="33">
        <v>23</v>
      </c>
      <c r="C63" s="33"/>
      <c r="D63" s="50"/>
      <c r="E63" s="42"/>
    </row>
    <row r="64" spans="1:5" ht="20.25" customHeight="1">
      <c r="A64" s="21" t="s">
        <v>186</v>
      </c>
      <c r="B64" s="33">
        <v>24</v>
      </c>
      <c r="C64" s="33"/>
      <c r="D64" s="52">
        <f>'ban co ca nam 2010'!BK58</f>
        <v>1696725547</v>
      </c>
      <c r="E64" s="42">
        <v>1101775704</v>
      </c>
    </row>
    <row r="65" spans="1:6" ht="20.25" customHeight="1">
      <c r="A65" s="21" t="s">
        <v>187</v>
      </c>
      <c r="B65" s="33">
        <v>25</v>
      </c>
      <c r="C65" s="33"/>
      <c r="D65" s="52">
        <f>2474439378-3179000</f>
        <v>2471260378</v>
      </c>
      <c r="E65" s="42">
        <v>5504634978</v>
      </c>
      <c r="F65" s="137"/>
    </row>
    <row r="66" spans="1:5" ht="30.75">
      <c r="A66" s="45" t="s">
        <v>188</v>
      </c>
      <c r="B66" s="33">
        <v>30</v>
      </c>
      <c r="C66" s="33"/>
      <c r="D66" s="42">
        <f>D60+D61-D62-D64-D65</f>
        <v>-6490234250</v>
      </c>
      <c r="E66" s="42">
        <f>E60+E61-E62-E64-E65</f>
        <v>556669483</v>
      </c>
    </row>
    <row r="67" spans="1:5" ht="20.25" customHeight="1">
      <c r="A67" s="21" t="s">
        <v>189</v>
      </c>
      <c r="B67" s="33">
        <v>31</v>
      </c>
      <c r="C67" s="33"/>
      <c r="D67" s="52">
        <f>'ban co ca nam 2010'!BL61</f>
        <v>769198104</v>
      </c>
      <c r="E67" s="42">
        <v>70001100</v>
      </c>
    </row>
    <row r="68" spans="1:5" ht="20.25" customHeight="1">
      <c r="A68" s="21" t="s">
        <v>190</v>
      </c>
      <c r="B68" s="33">
        <v>32</v>
      </c>
      <c r="C68" s="33"/>
      <c r="D68" s="50"/>
      <c r="E68" s="42">
        <v>7301421</v>
      </c>
    </row>
    <row r="69" spans="1:5" ht="20.25" customHeight="1">
      <c r="A69" s="21" t="s">
        <v>191</v>
      </c>
      <c r="B69" s="33">
        <v>40</v>
      </c>
      <c r="C69" s="33"/>
      <c r="D69" s="50">
        <f>D67-D68</f>
        <v>769198104</v>
      </c>
      <c r="E69" s="42">
        <f>E67-E68</f>
        <v>62699679</v>
      </c>
    </row>
    <row r="70" spans="1:5" ht="20.25" customHeight="1">
      <c r="A70" s="21" t="s">
        <v>192</v>
      </c>
      <c r="B70" s="33">
        <v>50</v>
      </c>
      <c r="C70" s="33"/>
      <c r="D70" s="50">
        <f>D66+D69</f>
        <v>-5721036146</v>
      </c>
      <c r="E70" s="42">
        <f>E66+E69</f>
        <v>619369162</v>
      </c>
    </row>
    <row r="71" spans="1:5" ht="20.25" customHeight="1">
      <c r="A71" s="21" t="s">
        <v>193</v>
      </c>
      <c r="B71" s="33">
        <v>51</v>
      </c>
      <c r="C71" s="33" t="s">
        <v>203</v>
      </c>
      <c r="D71" s="50"/>
      <c r="E71" s="42">
        <f>E70*28%</f>
        <v>173423365.36</v>
      </c>
    </row>
    <row r="72" spans="1:5" ht="20.25" customHeight="1">
      <c r="A72" s="21" t="s">
        <v>194</v>
      </c>
      <c r="B72" s="33">
        <v>52</v>
      </c>
      <c r="C72" s="33" t="s">
        <v>203</v>
      </c>
      <c r="D72" s="18"/>
      <c r="E72" s="42"/>
    </row>
    <row r="73" spans="1:5" ht="20.25" customHeight="1">
      <c r="A73" s="21" t="s">
        <v>195</v>
      </c>
      <c r="B73" s="33">
        <v>60</v>
      </c>
      <c r="C73" s="33"/>
      <c r="D73" s="50">
        <f>D70-D71</f>
        <v>-5721036146</v>
      </c>
      <c r="E73" s="42">
        <f>E70-E71</f>
        <v>445945796.64</v>
      </c>
    </row>
    <row r="74" spans="1:5" ht="20.25" customHeight="1">
      <c r="A74" s="23" t="s">
        <v>196</v>
      </c>
      <c r="B74" s="39">
        <v>70</v>
      </c>
      <c r="C74" s="39"/>
      <c r="D74" s="44"/>
      <c r="E74" s="44"/>
    </row>
    <row r="75" spans="1:5" ht="15.75">
      <c r="A75" s="18"/>
      <c r="B75" s="18"/>
      <c r="C75" s="18"/>
      <c r="D75" s="186" t="s">
        <v>213</v>
      </c>
      <c r="E75" s="186"/>
    </row>
    <row r="76" spans="1:5" ht="15.75">
      <c r="A76" s="25" t="s">
        <v>177</v>
      </c>
      <c r="B76" s="25"/>
      <c r="C76" s="25"/>
      <c r="D76" s="191" t="s">
        <v>176</v>
      </c>
      <c r="E76" s="191"/>
    </row>
  </sheetData>
  <mergeCells count="17">
    <mergeCell ref="D75:E75"/>
    <mergeCell ref="D76:E76"/>
    <mergeCell ref="C29:E29"/>
    <mergeCell ref="A31:E31"/>
    <mergeCell ref="A51:E51"/>
    <mergeCell ref="A53:A54"/>
    <mergeCell ref="B53:B54"/>
    <mergeCell ref="C53:C54"/>
    <mergeCell ref="D53:D54"/>
    <mergeCell ref="E53:E54"/>
    <mergeCell ref="A4:E4"/>
    <mergeCell ref="A7:A8"/>
    <mergeCell ref="B7:B8"/>
    <mergeCell ref="C7:C8"/>
    <mergeCell ref="D7:D8"/>
    <mergeCell ref="E7:E8"/>
    <mergeCell ref="A5:E5"/>
  </mergeCells>
  <printOptions/>
  <pageMargins left="0.34" right="0.43" top="0.38" bottom="0.55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34">
      <selection activeCell="B72" sqref="B72"/>
    </sheetView>
  </sheetViews>
  <sheetFormatPr defaultColWidth="9.00390625" defaultRowHeight="12.75"/>
  <cols>
    <col min="1" max="1" width="6.75390625" style="2" customWidth="1"/>
    <col min="2" max="2" width="24.375" style="2" customWidth="1"/>
    <col min="3" max="3" width="18.125" style="1" customWidth="1"/>
    <col min="4" max="4" width="17.75390625" style="1" customWidth="1"/>
    <col min="5" max="5" width="20.125" style="1" customWidth="1"/>
    <col min="6" max="6" width="19.875" style="1" customWidth="1"/>
    <col min="7" max="8" width="18.25390625" style="1" customWidth="1"/>
    <col min="9" max="9" width="24.375" style="1" customWidth="1"/>
    <col min="10" max="10" width="21.00390625" style="1" customWidth="1"/>
    <col min="11" max="11" width="19.00390625" style="1" customWidth="1"/>
    <col min="12" max="12" width="17.875" style="2" customWidth="1"/>
    <col min="13" max="13" width="23.25390625" style="2" customWidth="1"/>
    <col min="14" max="16384" width="8.875" style="2" customWidth="1"/>
  </cols>
  <sheetData>
    <row r="1" spans="1:11" s="18" customFormat="1" ht="23.25" customHeight="1">
      <c r="A1" s="175" t="s">
        <v>244</v>
      </c>
      <c r="B1" s="175"/>
      <c r="C1" s="175"/>
      <c r="D1" s="175"/>
      <c r="E1" s="175"/>
      <c r="F1" s="175"/>
      <c r="G1" s="175"/>
      <c r="H1" s="175"/>
      <c r="I1" s="14"/>
      <c r="J1" s="14"/>
      <c r="K1" s="14"/>
    </row>
    <row r="2" spans="1:11" s="16" customFormat="1" ht="16.5" customHeight="1">
      <c r="A2" s="173" t="s">
        <v>8</v>
      </c>
      <c r="B2" s="173" t="s">
        <v>9</v>
      </c>
      <c r="C2" s="176" t="s">
        <v>10</v>
      </c>
      <c r="D2" s="177"/>
      <c r="E2" s="176" t="s">
        <v>11</v>
      </c>
      <c r="F2" s="177"/>
      <c r="G2" s="176" t="s">
        <v>12</v>
      </c>
      <c r="H2" s="177"/>
      <c r="I2" s="145"/>
      <c r="J2" s="145"/>
      <c r="K2" s="145"/>
    </row>
    <row r="3" spans="1:11" s="16" customFormat="1" ht="16.5" customHeight="1">
      <c r="A3" s="174"/>
      <c r="B3" s="174"/>
      <c r="C3" s="15" t="s">
        <v>13</v>
      </c>
      <c r="D3" s="15" t="s">
        <v>14</v>
      </c>
      <c r="E3" s="17" t="s">
        <v>13</v>
      </c>
      <c r="F3" s="15" t="s">
        <v>14</v>
      </c>
      <c r="G3" s="15" t="s">
        <v>13</v>
      </c>
      <c r="H3" s="15" t="s">
        <v>14</v>
      </c>
      <c r="I3" s="145"/>
      <c r="J3" s="145"/>
      <c r="K3" s="145"/>
    </row>
    <row r="4" spans="1:8" ht="18.75" customHeight="1">
      <c r="A4" s="3">
        <v>1111</v>
      </c>
      <c r="B4" s="74" t="s">
        <v>15</v>
      </c>
      <c r="C4" s="7">
        <v>2347447429</v>
      </c>
      <c r="D4" s="7"/>
      <c r="E4" s="4">
        <f>'ban co ca nam 2010'!BK4</f>
        <v>69639855320</v>
      </c>
      <c r="F4" s="4">
        <f>'ban co ca nam 2010'!BL4</f>
        <v>69198022882</v>
      </c>
      <c r="G4" s="7">
        <f>IF((E4+C4)&gt;(F4+D4),(E4+C4)-(F4+D4),0)</f>
        <v>2789279867</v>
      </c>
      <c r="H4" s="7">
        <f aca="true" t="shared" si="0" ref="H4:H45">IF((F4+D4)&gt;(E4+C4),(F4+D4)-(E4+C4),0)</f>
        <v>0</v>
      </c>
    </row>
    <row r="5" spans="1:8" ht="18.75" customHeight="1">
      <c r="A5" s="5">
        <v>112</v>
      </c>
      <c r="B5" s="6" t="s">
        <v>16</v>
      </c>
      <c r="C5" s="7">
        <v>11201919376</v>
      </c>
      <c r="D5" s="7"/>
      <c r="E5" s="7">
        <f>'ban co ca nam 2010'!BK5+'ban co ca nam 2010'!BK6</f>
        <v>257236256983</v>
      </c>
      <c r="F5" s="7">
        <f>'ban co ca nam 2010'!BL5+'ban co ca nam 2010'!BL6</f>
        <v>241321343107</v>
      </c>
      <c r="G5" s="7">
        <f aca="true" t="shared" si="1" ref="G5:G58">IF((E5+C5)&gt;(F5+D5),(E5+C5)-(F5+D5),0)</f>
        <v>27116833252</v>
      </c>
      <c r="H5" s="7">
        <f t="shared" si="0"/>
        <v>0</v>
      </c>
    </row>
    <row r="6" spans="1:8" ht="18.75" customHeight="1">
      <c r="A6" s="5">
        <v>128</v>
      </c>
      <c r="B6" s="6" t="s">
        <v>17</v>
      </c>
      <c r="C6" s="7">
        <v>20000000000</v>
      </c>
      <c r="D6" s="7"/>
      <c r="E6" s="7">
        <f>'ban co ca nam 2010'!BK7</f>
        <v>147000000000</v>
      </c>
      <c r="F6" s="7">
        <f>'ban co ca nam 2010'!BL7</f>
        <v>123000000000</v>
      </c>
      <c r="G6" s="7">
        <f t="shared" si="1"/>
        <v>44000000000</v>
      </c>
      <c r="H6" s="7">
        <f t="shared" si="0"/>
        <v>0</v>
      </c>
    </row>
    <row r="7" spans="1:8" ht="18.75" customHeight="1">
      <c r="A7" s="5">
        <v>131</v>
      </c>
      <c r="B7" s="6" t="s">
        <v>18</v>
      </c>
      <c r="C7" s="7">
        <v>7291877168</v>
      </c>
      <c r="D7" s="7">
        <v>34895664084</v>
      </c>
      <c r="E7" s="7">
        <f>'ban co ca nam 2010'!BK8</f>
        <v>179238974278</v>
      </c>
      <c r="F7" s="7">
        <f>'ban co ca nam 2010'!BL8</f>
        <v>146798235301</v>
      </c>
      <c r="G7" s="7">
        <v>12715615504</v>
      </c>
      <c r="H7" s="7">
        <v>7878663443</v>
      </c>
    </row>
    <row r="8" spans="1:8" ht="18.75" customHeight="1">
      <c r="A8" s="5">
        <v>133</v>
      </c>
      <c r="B8" s="6" t="s">
        <v>19</v>
      </c>
      <c r="C8" s="7"/>
      <c r="D8" s="7"/>
      <c r="E8" s="7">
        <f>'ban co ca nam 2010'!BK9</f>
        <v>4315519784</v>
      </c>
      <c r="F8" s="7">
        <f>'ban co ca nam 2010'!BL9</f>
        <v>4315519784</v>
      </c>
      <c r="G8" s="7">
        <f t="shared" si="1"/>
        <v>0</v>
      </c>
      <c r="H8" s="7">
        <f t="shared" si="0"/>
        <v>0</v>
      </c>
    </row>
    <row r="9" spans="1:8" ht="18.75" customHeight="1">
      <c r="A9" s="5">
        <v>1388</v>
      </c>
      <c r="B9" s="6" t="s">
        <v>20</v>
      </c>
      <c r="C9" s="7">
        <v>38321021190</v>
      </c>
      <c r="D9" s="7"/>
      <c r="E9" s="7">
        <f>'ban co ca nam 2010'!BK10</f>
        <v>10000000000</v>
      </c>
      <c r="F9" s="7">
        <f>'ban co ca nam 2010'!BL10</f>
        <v>48321021190</v>
      </c>
      <c r="G9" s="7">
        <f t="shared" si="1"/>
        <v>0</v>
      </c>
      <c r="H9" s="7">
        <f t="shared" si="0"/>
        <v>0</v>
      </c>
    </row>
    <row r="10" spans="1:8" ht="18.75" customHeight="1">
      <c r="A10" s="5">
        <v>141</v>
      </c>
      <c r="B10" s="6" t="s">
        <v>21</v>
      </c>
      <c r="C10" s="7">
        <v>984877500</v>
      </c>
      <c r="D10" s="7"/>
      <c r="E10" s="7">
        <f>'ban co ca nam 2010'!BK11</f>
        <v>563000000</v>
      </c>
      <c r="F10" s="7">
        <f>'ban co ca nam 2010'!BL11</f>
        <v>671864500</v>
      </c>
      <c r="G10" s="7">
        <f t="shared" si="1"/>
        <v>876013000</v>
      </c>
      <c r="H10" s="7">
        <f t="shared" si="0"/>
        <v>0</v>
      </c>
    </row>
    <row r="11" spans="1:8" ht="18.75" customHeight="1">
      <c r="A11" s="5">
        <v>142</v>
      </c>
      <c r="B11" s="6" t="s">
        <v>22</v>
      </c>
      <c r="C11" s="7">
        <v>48239547</v>
      </c>
      <c r="D11" s="7"/>
      <c r="E11" s="7">
        <f>'ban co ca nam 2010'!BK12</f>
        <v>74750000</v>
      </c>
      <c r="F11" s="7">
        <f>'ban co ca nam 2010'!BL12</f>
        <v>122989547</v>
      </c>
      <c r="G11" s="7">
        <f t="shared" si="1"/>
        <v>0</v>
      </c>
      <c r="H11" s="7">
        <f t="shared" si="0"/>
        <v>0</v>
      </c>
    </row>
    <row r="12" spans="1:8" ht="18.75" customHeight="1">
      <c r="A12" s="5">
        <v>144</v>
      </c>
      <c r="B12" s="6" t="s">
        <v>225</v>
      </c>
      <c r="C12" s="7">
        <v>5110000</v>
      </c>
      <c r="D12" s="7"/>
      <c r="E12" s="7">
        <f>'ban co ca nam 2010'!BK13</f>
        <v>0</v>
      </c>
      <c r="F12" s="7">
        <f>'ban co ca nam 2010'!BL13</f>
        <v>0</v>
      </c>
      <c r="G12" s="7">
        <f t="shared" si="1"/>
        <v>5110000</v>
      </c>
      <c r="H12" s="7">
        <f t="shared" si="0"/>
        <v>0</v>
      </c>
    </row>
    <row r="13" spans="1:8" ht="18.75" customHeight="1">
      <c r="A13" s="5">
        <v>152</v>
      </c>
      <c r="B13" s="6" t="s">
        <v>23</v>
      </c>
      <c r="C13" s="7">
        <v>8316543210</v>
      </c>
      <c r="D13" s="7"/>
      <c r="E13" s="7">
        <f>'ban co ca nam 2010'!BK14</f>
        <v>12131496739</v>
      </c>
      <c r="F13" s="7">
        <f>'ban co ca nam 2010'!BL14</f>
        <v>13439321079</v>
      </c>
      <c r="G13" s="7">
        <f t="shared" si="1"/>
        <v>7008718870</v>
      </c>
      <c r="H13" s="7">
        <f t="shared" si="0"/>
        <v>0</v>
      </c>
    </row>
    <row r="14" spans="1:8" ht="18.75" customHeight="1">
      <c r="A14" s="5">
        <v>153</v>
      </c>
      <c r="B14" s="6" t="s">
        <v>24</v>
      </c>
      <c r="C14" s="7">
        <v>317423183</v>
      </c>
      <c r="D14" s="7"/>
      <c r="E14" s="7">
        <f>'ban co ca nam 2010'!BK15</f>
        <v>225137988</v>
      </c>
      <c r="F14" s="7">
        <f>'ban co ca nam 2010'!BL15</f>
        <v>503138775</v>
      </c>
      <c r="G14" s="7">
        <f t="shared" si="1"/>
        <v>39422396</v>
      </c>
      <c r="H14" s="7">
        <f t="shared" si="0"/>
        <v>0</v>
      </c>
    </row>
    <row r="15" spans="1:8" ht="18.75" customHeight="1">
      <c r="A15" s="5">
        <v>154</v>
      </c>
      <c r="B15" s="6" t="s">
        <v>25</v>
      </c>
      <c r="C15" s="7">
        <v>21962646780</v>
      </c>
      <c r="D15" s="7"/>
      <c r="E15" s="7">
        <f>'ban co ca nam 2010'!BK16</f>
        <v>129067171456</v>
      </c>
      <c r="F15" s="7">
        <f>'ban co ca nam 2010'!BL16</f>
        <v>89391915519</v>
      </c>
      <c r="G15" s="7">
        <f t="shared" si="1"/>
        <v>61637902717</v>
      </c>
      <c r="H15" s="7">
        <f t="shared" si="0"/>
        <v>0</v>
      </c>
    </row>
    <row r="16" spans="1:8" ht="18.75" customHeight="1">
      <c r="A16" s="5">
        <v>155</v>
      </c>
      <c r="B16" s="6" t="s">
        <v>26</v>
      </c>
      <c r="C16" s="7">
        <v>555880559</v>
      </c>
      <c r="D16" s="7"/>
      <c r="E16" s="7">
        <f>'ban co ca nam 2010'!BK17</f>
        <v>15989737023</v>
      </c>
      <c r="F16" s="7">
        <f>'ban co ca nam 2010'!BL17</f>
        <v>15513802400</v>
      </c>
      <c r="G16" s="7">
        <f t="shared" si="1"/>
        <v>1031815182</v>
      </c>
      <c r="H16" s="7">
        <f t="shared" si="0"/>
        <v>0</v>
      </c>
    </row>
    <row r="17" spans="1:8" ht="18.75" customHeight="1">
      <c r="A17" s="5">
        <v>156</v>
      </c>
      <c r="B17" s="6" t="s">
        <v>27</v>
      </c>
      <c r="C17" s="7"/>
      <c r="D17" s="7"/>
      <c r="E17" s="7">
        <f>'ban co ca nam 2010'!BK18</f>
        <v>3429810236</v>
      </c>
      <c r="F17" s="7">
        <f>'ban co ca nam 2010'!BL18</f>
        <v>2896153569</v>
      </c>
      <c r="G17" s="7">
        <f t="shared" si="1"/>
        <v>533656667</v>
      </c>
      <c r="H17" s="7">
        <f t="shared" si="0"/>
        <v>0</v>
      </c>
    </row>
    <row r="18" spans="1:8" ht="18.75" customHeight="1">
      <c r="A18" s="5">
        <v>159</v>
      </c>
      <c r="B18" s="6" t="s">
        <v>250</v>
      </c>
      <c r="C18" s="7"/>
      <c r="D18" s="7"/>
      <c r="E18" s="7">
        <f>'ban co ca nam 2010'!BK19</f>
        <v>0</v>
      </c>
      <c r="F18" s="7">
        <f>'ban co ca nam 2010'!BL19</f>
        <v>0</v>
      </c>
      <c r="G18" s="7">
        <f t="shared" si="1"/>
        <v>0</v>
      </c>
      <c r="H18" s="7">
        <f t="shared" si="0"/>
        <v>0</v>
      </c>
    </row>
    <row r="19" spans="1:8" ht="18.75" customHeight="1">
      <c r="A19" s="5">
        <v>211</v>
      </c>
      <c r="B19" s="6" t="s">
        <v>28</v>
      </c>
      <c r="C19" s="7">
        <v>23960779537</v>
      </c>
      <c r="D19" s="7"/>
      <c r="E19" s="7">
        <f>'ban co ca nam 2010'!BK20</f>
        <v>1930014909</v>
      </c>
      <c r="F19" s="7">
        <f>'ban co ca nam 2010'!BL20</f>
        <v>1923605887</v>
      </c>
      <c r="G19" s="7">
        <f>IF((E19+C19)&gt;(F19+D19),(E19+C19)-(F19+D19),0)</f>
        <v>23967188559</v>
      </c>
      <c r="H19" s="7">
        <f>IF((F19+D19)&gt;(E19+C19),(F19+D19)-(E19+C19),0)</f>
        <v>0</v>
      </c>
    </row>
    <row r="20" spans="1:8" ht="18.75" customHeight="1">
      <c r="A20" s="5">
        <v>214</v>
      </c>
      <c r="B20" s="6" t="s">
        <v>29</v>
      </c>
      <c r="C20" s="7"/>
      <c r="D20" s="7">
        <v>8301046405</v>
      </c>
      <c r="E20" s="7">
        <f>'ban co ca nam 2010'!BK21</f>
        <v>963913618</v>
      </c>
      <c r="F20" s="7">
        <f>'ban co ca nam 2010'!BL21</f>
        <v>1164992359</v>
      </c>
      <c r="G20" s="7">
        <f t="shared" si="1"/>
        <v>0</v>
      </c>
      <c r="H20" s="7">
        <f t="shared" si="0"/>
        <v>8502125146</v>
      </c>
    </row>
    <row r="21" spans="1:8" ht="18.75" customHeight="1">
      <c r="A21" s="5">
        <v>221</v>
      </c>
      <c r="B21" s="6" t="s">
        <v>224</v>
      </c>
      <c r="C21" s="7">
        <v>3125000000</v>
      </c>
      <c r="D21" s="7"/>
      <c r="E21" s="7">
        <f>'ban co ca nam 2010'!BK22</f>
        <v>0</v>
      </c>
      <c r="F21" s="7">
        <f>'ban co ca nam 2010'!BL22</f>
        <v>0</v>
      </c>
      <c r="G21" s="7">
        <f t="shared" si="1"/>
        <v>3125000000</v>
      </c>
      <c r="H21" s="7">
        <f t="shared" si="0"/>
        <v>0</v>
      </c>
    </row>
    <row r="22" spans="1:8" ht="18.75" customHeight="1">
      <c r="A22" s="5">
        <v>222</v>
      </c>
      <c r="B22" s="6" t="s">
        <v>211</v>
      </c>
      <c r="C22" s="7"/>
      <c r="D22" s="7">
        <v>9811306068</v>
      </c>
      <c r="E22" s="7">
        <f>'ban co ca nam 2010'!BK23</f>
        <v>11500000000</v>
      </c>
      <c r="F22" s="7">
        <f>'ban co ca nam 2010'!BL23</f>
        <v>2000000000</v>
      </c>
      <c r="G22" s="7">
        <f t="shared" si="1"/>
        <v>0</v>
      </c>
      <c r="H22" s="7">
        <f t="shared" si="0"/>
        <v>311306068</v>
      </c>
    </row>
    <row r="23" spans="1:8" ht="18.75" customHeight="1">
      <c r="A23" s="5">
        <v>241</v>
      </c>
      <c r="B23" s="6" t="s">
        <v>30</v>
      </c>
      <c r="C23" s="7"/>
      <c r="D23" s="7"/>
      <c r="E23" s="7">
        <f>'ban co ca nam 2010'!BK24</f>
        <v>0</v>
      </c>
      <c r="F23" s="7">
        <f>'ban co ca nam 2010'!BL24</f>
        <v>0</v>
      </c>
      <c r="G23" s="7">
        <f t="shared" si="1"/>
        <v>0</v>
      </c>
      <c r="H23" s="7">
        <f t="shared" si="0"/>
        <v>0</v>
      </c>
    </row>
    <row r="24" spans="1:8" ht="18.75" customHeight="1">
      <c r="A24" s="5">
        <v>242</v>
      </c>
      <c r="B24" s="6" t="s">
        <v>31</v>
      </c>
      <c r="C24" s="7"/>
      <c r="D24" s="7"/>
      <c r="E24" s="7">
        <f>'ban co ca nam 2010'!BK25</f>
        <v>0</v>
      </c>
      <c r="F24" s="7">
        <f>'ban co ca nam 2010'!BL25</f>
        <v>0</v>
      </c>
      <c r="G24" s="7">
        <f t="shared" si="1"/>
        <v>0</v>
      </c>
      <c r="H24" s="7">
        <f t="shared" si="0"/>
        <v>0</v>
      </c>
    </row>
    <row r="25" spans="1:8" ht="18.75" customHeight="1">
      <c r="A25" s="5">
        <v>311</v>
      </c>
      <c r="B25" s="6" t="s">
        <v>212</v>
      </c>
      <c r="C25" s="7"/>
      <c r="D25" s="7">
        <v>10000000000</v>
      </c>
      <c r="E25" s="7">
        <f>'ban co ca nam 2010'!BK26</f>
        <v>10000000000</v>
      </c>
      <c r="F25" s="7">
        <f>'ban co ca nam 2010'!BL26</f>
        <v>0</v>
      </c>
      <c r="G25" s="7">
        <f t="shared" si="1"/>
        <v>0</v>
      </c>
      <c r="H25" s="7">
        <f t="shared" si="0"/>
        <v>0</v>
      </c>
    </row>
    <row r="26" spans="1:9" ht="18.75" customHeight="1">
      <c r="A26" s="5">
        <v>331</v>
      </c>
      <c r="B26" s="6" t="s">
        <v>32</v>
      </c>
      <c r="C26" s="7">
        <v>12831340284</v>
      </c>
      <c r="D26" s="7">
        <v>7353212377</v>
      </c>
      <c r="E26" s="7">
        <f>'ban co ca nam 2010'!BK27</f>
        <v>59364341494</v>
      </c>
      <c r="F26" s="7">
        <f>'ban co ca nam 2010'!BL27</f>
        <v>92128271518</v>
      </c>
      <c r="G26" s="7">
        <v>157104579</v>
      </c>
      <c r="H26" s="7">
        <v>27442906696</v>
      </c>
      <c r="I26" s="1">
        <f>F26+D26-C26-E26+G26</f>
        <v>27442906696</v>
      </c>
    </row>
    <row r="27" spans="1:8" ht="18.75" customHeight="1">
      <c r="A27" s="5">
        <v>3331</v>
      </c>
      <c r="B27" s="6" t="s">
        <v>33</v>
      </c>
      <c r="C27" s="7"/>
      <c r="D27" s="7">
        <v>212357123</v>
      </c>
      <c r="E27" s="7">
        <f>'ban co ca nam 2010'!BK28</f>
        <v>11927753484</v>
      </c>
      <c r="F27" s="7">
        <f>'ban co ca nam 2010'!BL28</f>
        <v>14440819801</v>
      </c>
      <c r="G27" s="7">
        <f t="shared" si="1"/>
        <v>0</v>
      </c>
      <c r="H27" s="7">
        <f t="shared" si="0"/>
        <v>2725423440</v>
      </c>
    </row>
    <row r="28" spans="1:10" ht="18.75" customHeight="1">
      <c r="A28" s="5">
        <v>3334</v>
      </c>
      <c r="B28" s="6" t="s">
        <v>249</v>
      </c>
      <c r="C28" s="7">
        <v>832441818</v>
      </c>
      <c r="D28" s="7"/>
      <c r="E28" s="7">
        <f>'ban co ca nam 2010'!BK29</f>
        <v>1440361925</v>
      </c>
      <c r="F28" s="7">
        <f>'ban co ca nam 2010'!BL29</f>
        <v>1333958325</v>
      </c>
      <c r="G28" s="7">
        <f t="shared" si="1"/>
        <v>938845418</v>
      </c>
      <c r="H28" s="7">
        <f t="shared" si="0"/>
        <v>0</v>
      </c>
      <c r="I28" s="153">
        <f>H45*25/100-1054569967</f>
        <v>-1054569967</v>
      </c>
      <c r="J28" s="153" t="s">
        <v>260</v>
      </c>
    </row>
    <row r="29" spans="1:8" ht="18.75" customHeight="1">
      <c r="A29" s="5">
        <v>3335</v>
      </c>
      <c r="B29" s="6" t="s">
        <v>216</v>
      </c>
      <c r="C29" s="7"/>
      <c r="D29" s="7">
        <v>1560400</v>
      </c>
      <c r="E29" s="7">
        <f>'ban co ca nam 2010'!BK30</f>
        <v>17416186</v>
      </c>
      <c r="F29" s="7">
        <f>'ban co ca nam 2010'!BL30</f>
        <v>83105527</v>
      </c>
      <c r="G29" s="7">
        <f t="shared" si="1"/>
        <v>0</v>
      </c>
      <c r="H29" s="7">
        <f t="shared" si="0"/>
        <v>67249741</v>
      </c>
    </row>
    <row r="30" spans="1:8" ht="18.75" customHeight="1">
      <c r="A30" s="5">
        <v>3337</v>
      </c>
      <c r="B30" s="6" t="s">
        <v>34</v>
      </c>
      <c r="C30" s="7"/>
      <c r="D30" s="7">
        <v>37373800</v>
      </c>
      <c r="E30" s="7">
        <f>'ban co ca nam 2010'!BK31</f>
        <v>420675600</v>
      </c>
      <c r="F30" s="7">
        <f>'ban co ca nam 2010'!BL31</f>
        <v>383301800</v>
      </c>
      <c r="G30" s="7">
        <f t="shared" si="1"/>
        <v>0</v>
      </c>
      <c r="H30" s="7">
        <f t="shared" si="0"/>
        <v>0</v>
      </c>
    </row>
    <row r="31" spans="1:11" s="143" customFormat="1" ht="18.75" customHeight="1">
      <c r="A31" s="64">
        <v>334</v>
      </c>
      <c r="B31" s="65" t="s">
        <v>35</v>
      </c>
      <c r="C31" s="66"/>
      <c r="D31" s="66"/>
      <c r="E31" s="66">
        <f>'ban co ca nam 2010'!BK32</f>
        <v>10141027200</v>
      </c>
      <c r="F31" s="66">
        <f>'ban co ca nam 2010'!BL32</f>
        <v>12109735200</v>
      </c>
      <c r="G31" s="66">
        <f t="shared" si="1"/>
        <v>0</v>
      </c>
      <c r="H31" s="66">
        <f t="shared" si="0"/>
        <v>1968708000</v>
      </c>
      <c r="I31" s="146"/>
      <c r="J31" s="146"/>
      <c r="K31" s="146"/>
    </row>
    <row r="32" spans="1:8" ht="18.75" customHeight="1">
      <c r="A32" s="5">
        <v>3381</v>
      </c>
      <c r="B32" s="6" t="s">
        <v>217</v>
      </c>
      <c r="C32" s="7"/>
      <c r="D32" s="7"/>
      <c r="E32" s="7">
        <f>'ban co ca nam 2010'!BK33</f>
        <v>0</v>
      </c>
      <c r="F32" s="7">
        <f>'ban co ca nam 2010'!BL33</f>
        <v>0</v>
      </c>
      <c r="G32" s="7">
        <f t="shared" si="1"/>
        <v>0</v>
      </c>
      <c r="H32" s="7">
        <f t="shared" si="0"/>
        <v>0</v>
      </c>
    </row>
    <row r="33" spans="1:9" ht="18.75" customHeight="1">
      <c r="A33" s="5">
        <v>3382</v>
      </c>
      <c r="B33" s="6" t="s">
        <v>36</v>
      </c>
      <c r="C33" s="7"/>
      <c r="D33" s="7"/>
      <c r="E33" s="7">
        <f>'ban co ca nam 2010'!BK34</f>
        <v>102883600</v>
      </c>
      <c r="F33" s="7">
        <f>'ban co ca nam 2010'!BL34</f>
        <v>102883600</v>
      </c>
      <c r="G33" s="7">
        <f t="shared" si="1"/>
        <v>0</v>
      </c>
      <c r="H33" s="7">
        <f t="shared" si="0"/>
        <v>0</v>
      </c>
      <c r="I33" s="1">
        <f>E33-F33</f>
        <v>0</v>
      </c>
    </row>
    <row r="34" spans="1:10" ht="18.75" customHeight="1">
      <c r="A34" s="5">
        <v>3383</v>
      </c>
      <c r="B34" s="6" t="s">
        <v>37</v>
      </c>
      <c r="C34" s="7">
        <v>132465105</v>
      </c>
      <c r="D34" s="7"/>
      <c r="E34" s="7">
        <f>'ban co ca nam 2010'!BK35</f>
        <v>1530837620</v>
      </c>
      <c r="F34" s="7">
        <f>'ban co ca nam 2010'!BL35</f>
        <v>1487125193</v>
      </c>
      <c r="G34" s="7">
        <f t="shared" si="1"/>
        <v>176177532</v>
      </c>
      <c r="H34" s="7">
        <f t="shared" si="0"/>
        <v>0</v>
      </c>
      <c r="I34" s="1">
        <f>E34+E35+E38</f>
        <v>1871509814</v>
      </c>
      <c r="J34" s="1">
        <f>F34+F35+F38</f>
        <v>1827797387</v>
      </c>
    </row>
    <row r="35" spans="1:8" ht="18.75" customHeight="1">
      <c r="A35" s="5">
        <v>3384</v>
      </c>
      <c r="B35" s="6" t="s">
        <v>38</v>
      </c>
      <c r="C35" s="7"/>
      <c r="D35" s="7"/>
      <c r="E35" s="7">
        <f>'ban co ca nam 2010'!BK36</f>
        <v>237027779</v>
      </c>
      <c r="F35" s="7">
        <f>'ban co ca nam 2010'!BL36</f>
        <v>237027779</v>
      </c>
      <c r="G35" s="7">
        <f t="shared" si="1"/>
        <v>0</v>
      </c>
      <c r="H35" s="7">
        <f t="shared" si="0"/>
        <v>0</v>
      </c>
    </row>
    <row r="36" spans="1:8" ht="18.75" customHeight="1">
      <c r="A36" s="5">
        <v>3387</v>
      </c>
      <c r="B36" s="6" t="s">
        <v>39</v>
      </c>
      <c r="C36" s="7"/>
      <c r="D36" s="7">
        <v>34286263017</v>
      </c>
      <c r="E36" s="7">
        <f>'ban co ca nam 2010'!BK37</f>
        <v>2223793454</v>
      </c>
      <c r="F36" s="7">
        <f>'ban co ca nam 2010'!BL37</f>
        <v>47207990107</v>
      </c>
      <c r="G36" s="7">
        <f t="shared" si="1"/>
        <v>0</v>
      </c>
      <c r="H36" s="7">
        <f t="shared" si="0"/>
        <v>79270459670</v>
      </c>
    </row>
    <row r="37" spans="1:8" ht="18.75" customHeight="1">
      <c r="A37" s="64">
        <v>3388</v>
      </c>
      <c r="B37" s="65" t="s">
        <v>40</v>
      </c>
      <c r="C37" s="66"/>
      <c r="D37" s="66"/>
      <c r="E37" s="7">
        <f>'ban co ca nam 2010'!BK38</f>
        <v>22024625000</v>
      </c>
      <c r="F37" s="7">
        <f>'ban co ca nam 2010'!BL38</f>
        <v>22024625000</v>
      </c>
      <c r="G37" s="66">
        <f t="shared" si="1"/>
        <v>0</v>
      </c>
      <c r="H37" s="66">
        <f t="shared" si="0"/>
        <v>0</v>
      </c>
    </row>
    <row r="38" spans="1:8" ht="18.75" customHeight="1">
      <c r="A38" s="5">
        <v>3389</v>
      </c>
      <c r="B38" s="6" t="s">
        <v>221</v>
      </c>
      <c r="C38" s="7"/>
      <c r="D38" s="7"/>
      <c r="E38" s="7">
        <f>'ban co ca nam 2010'!BK39</f>
        <v>103644415</v>
      </c>
      <c r="F38" s="7">
        <f>'ban co ca nam 2010'!BL39</f>
        <v>103644415</v>
      </c>
      <c r="G38" s="7">
        <f t="shared" si="1"/>
        <v>0</v>
      </c>
      <c r="H38" s="7">
        <f t="shared" si="0"/>
        <v>0</v>
      </c>
    </row>
    <row r="39" spans="1:12" ht="18.75" customHeight="1">
      <c r="A39" s="5">
        <v>351</v>
      </c>
      <c r="B39" s="6" t="s">
        <v>226</v>
      </c>
      <c r="C39" s="7"/>
      <c r="D39" s="7">
        <v>426026080</v>
      </c>
      <c r="E39" s="7">
        <f>'ban co ca nam 2010'!BK40</f>
        <v>0</v>
      </c>
      <c r="F39" s="7">
        <f>'ban co ca nam 2010'!BL40</f>
        <v>0</v>
      </c>
      <c r="G39" s="7">
        <f t="shared" si="1"/>
        <v>0</v>
      </c>
      <c r="H39" s="7">
        <f t="shared" si="0"/>
        <v>426026080</v>
      </c>
      <c r="J39" s="1" t="s">
        <v>258</v>
      </c>
      <c r="K39" s="1" t="s">
        <v>256</v>
      </c>
      <c r="L39" s="2" t="s">
        <v>257</v>
      </c>
    </row>
    <row r="40" spans="1:8" ht="18.75" customHeight="1">
      <c r="A40" s="5">
        <v>411</v>
      </c>
      <c r="B40" s="6" t="s">
        <v>41</v>
      </c>
      <c r="C40" s="7"/>
      <c r="D40" s="7">
        <v>41813584381</v>
      </c>
      <c r="E40" s="7">
        <f>'ban co ca nam 2010'!BK41</f>
        <v>0</v>
      </c>
      <c r="F40" s="7">
        <f>'ban co ca nam 2010'!BL41</f>
        <v>9722960052</v>
      </c>
      <c r="G40" s="7">
        <f t="shared" si="1"/>
        <v>0</v>
      </c>
      <c r="H40" s="7">
        <f t="shared" si="0"/>
        <v>51536544433</v>
      </c>
    </row>
    <row r="41" spans="1:13" ht="18.75" customHeight="1">
      <c r="A41" s="5">
        <v>413</v>
      </c>
      <c r="B41" s="6" t="s">
        <v>219</v>
      </c>
      <c r="C41" s="7"/>
      <c r="D41" s="7"/>
      <c r="E41" s="7">
        <f>'ban co ca nam 2010'!BK42</f>
        <v>15400081</v>
      </c>
      <c r="F41" s="7">
        <f>'ban co ca nam 2010'!BL42</f>
        <v>15400081</v>
      </c>
      <c r="G41" s="7">
        <f>IF((E40+C40)&gt;(F40+D40),(E40+C40)-(F40+D40),0)</f>
        <v>0</v>
      </c>
      <c r="H41" s="7">
        <f t="shared" si="0"/>
        <v>0</v>
      </c>
      <c r="J41" s="1">
        <v>10909090896</v>
      </c>
      <c r="K41" s="1">
        <v>708301440</v>
      </c>
      <c r="L41" s="150">
        <v>1321482182</v>
      </c>
      <c r="M41" s="150"/>
    </row>
    <row r="42" spans="1:13" ht="18.75" customHeight="1">
      <c r="A42" s="5">
        <v>414</v>
      </c>
      <c r="B42" s="6" t="s">
        <v>42</v>
      </c>
      <c r="C42" s="7"/>
      <c r="D42" s="7">
        <v>3493059441</v>
      </c>
      <c r="E42" s="7">
        <f>'ban co ca nam 2010'!BK43</f>
        <v>0</v>
      </c>
      <c r="F42" s="7">
        <f>'ban co ca nam 2010'!BL43</f>
        <v>0</v>
      </c>
      <c r="G42" s="7">
        <f>IF((E41+C41)&gt;(F41+D41),(E41+C41)-(F41+D41),0)</f>
        <v>0</v>
      </c>
      <c r="H42" s="7">
        <f t="shared" si="0"/>
        <v>3493059441</v>
      </c>
      <c r="J42" s="1">
        <v>9873636359</v>
      </c>
      <c r="K42" s="1">
        <v>560847125</v>
      </c>
      <c r="L42" s="150">
        <v>991111636</v>
      </c>
      <c r="M42" s="150"/>
    </row>
    <row r="43" spans="1:13" ht="18.75" customHeight="1">
      <c r="A43" s="5">
        <v>415</v>
      </c>
      <c r="B43" s="6" t="s">
        <v>220</v>
      </c>
      <c r="C43" s="7"/>
      <c r="D43" s="7">
        <v>681960052</v>
      </c>
      <c r="E43" s="7">
        <f>'ban co ca nam 2010'!BK44</f>
        <v>0</v>
      </c>
      <c r="F43" s="7">
        <f>'ban co ca nam 2010'!BL44</f>
        <v>400105192</v>
      </c>
      <c r="G43" s="7">
        <f>IF((E42+C42)&gt;(F42+D42),(E42+C42)-(F42+D42),0)</f>
        <v>0</v>
      </c>
      <c r="H43" s="7">
        <f t="shared" si="0"/>
        <v>1082065244</v>
      </c>
      <c r="J43" s="1">
        <v>59898301654</v>
      </c>
      <c r="K43" s="1">
        <v>560847125</v>
      </c>
      <c r="L43" s="150">
        <v>655657091</v>
      </c>
      <c r="M43" s="150"/>
    </row>
    <row r="44" spans="1:13" ht="18.75" customHeight="1">
      <c r="A44" s="5">
        <v>418</v>
      </c>
      <c r="B44" s="6" t="s">
        <v>222</v>
      </c>
      <c r="C44" s="7"/>
      <c r="D44" s="7">
        <v>177861656</v>
      </c>
      <c r="E44" s="7">
        <f>'ban co ca nam 2010'!BK45</f>
        <v>0</v>
      </c>
      <c r="F44" s="7">
        <f>'ban co ca nam 2010'!BL45</f>
        <v>180047336</v>
      </c>
      <c r="G44" s="7">
        <f>IF((E43+C43)&gt;(F43+D43),(E43+C43)-(F43+D43),0)</f>
        <v>0</v>
      </c>
      <c r="H44" s="7">
        <f t="shared" si="0"/>
        <v>357908992</v>
      </c>
      <c r="K44" s="1">
        <v>547672388</v>
      </c>
      <c r="L44" s="150">
        <v>655657091</v>
      </c>
      <c r="M44" s="150"/>
    </row>
    <row r="45" spans="1:13" ht="18.75" customHeight="1">
      <c r="A45" s="5">
        <v>421</v>
      </c>
      <c r="B45" s="6" t="s">
        <v>43</v>
      </c>
      <c r="C45" s="7"/>
      <c r="D45" s="7"/>
      <c r="E45" s="7">
        <f>'ban co ca nam 2010'!BK46</f>
        <v>5335833297</v>
      </c>
      <c r="F45" s="7">
        <f>'ban co ca nam 2010'!BL46</f>
        <v>5335833297</v>
      </c>
      <c r="G45" s="7">
        <f>IF((E45+C45)&gt;(F45+D45),(E45+C45)-(F45+D45),0)</f>
        <v>0</v>
      </c>
      <c r="H45" s="144">
        <f t="shared" si="0"/>
        <v>0</v>
      </c>
      <c r="I45" s="1">
        <v>279182596</v>
      </c>
      <c r="K45" s="1">
        <v>550412260</v>
      </c>
      <c r="L45" s="150">
        <v>655657091</v>
      </c>
      <c r="M45" s="150"/>
    </row>
    <row r="46" spans="1:13" ht="18.75" customHeight="1">
      <c r="A46" s="5">
        <v>353</v>
      </c>
      <c r="B46" s="6" t="s">
        <v>44</v>
      </c>
      <c r="C46" s="7"/>
      <c r="D46" s="7">
        <v>743737802</v>
      </c>
      <c r="E46" s="7">
        <f>'ban co ca nam 2010'!BK47</f>
        <v>408590000</v>
      </c>
      <c r="F46" s="7">
        <f>'ban co ca nam 2010'!BL47</f>
        <v>721089347</v>
      </c>
      <c r="G46" s="7">
        <f t="shared" si="1"/>
        <v>0</v>
      </c>
      <c r="H46" s="7">
        <f>IF((F46+D46)&gt;(E46+C46),(F46+D46)-(E46+C46),0)</f>
        <v>1056237149</v>
      </c>
      <c r="I46" s="1">
        <f>H45-I45</f>
        <v>-279182596</v>
      </c>
      <c r="K46" s="1">
        <v>722788477</v>
      </c>
      <c r="L46" s="150">
        <v>857847273</v>
      </c>
      <c r="M46" s="150"/>
    </row>
    <row r="47" spans="1:13" ht="18.75" customHeight="1">
      <c r="A47" s="5">
        <v>441</v>
      </c>
      <c r="B47" s="6" t="s">
        <v>45</v>
      </c>
      <c r="C47" s="7"/>
      <c r="D47" s="7"/>
      <c r="E47" s="7">
        <f>'ban co ca nam 2010'!BK48</f>
        <v>0</v>
      </c>
      <c r="F47" s="7">
        <f>'ban co ca nam 2010'!BL48</f>
        <v>0</v>
      </c>
      <c r="G47" s="7">
        <f t="shared" si="1"/>
        <v>0</v>
      </c>
      <c r="H47" s="7">
        <f aca="true" t="shared" si="2" ref="H47:H58">IF((F47+D47)&gt;(E47+C47),(F47+D47)-(E47+C47),0)</f>
        <v>0</v>
      </c>
      <c r="K47" s="1">
        <v>644437315</v>
      </c>
      <c r="L47" s="150">
        <v>779325745</v>
      </c>
      <c r="M47" s="150"/>
    </row>
    <row r="48" spans="1:13" ht="18.75" customHeight="1">
      <c r="A48" s="5">
        <v>511</v>
      </c>
      <c r="B48" s="6" t="s">
        <v>46</v>
      </c>
      <c r="C48" s="7"/>
      <c r="D48" s="7"/>
      <c r="E48" s="7">
        <f>'ban co ca nam 2010'!BK50</f>
        <v>113185237220</v>
      </c>
      <c r="F48" s="7">
        <f>'ban co ca nam 2010'!BL49+'ban co ca nam 2010'!BL50+'ban co ca nam 2010'!BL51</f>
        <v>113185237220</v>
      </c>
      <c r="G48" s="7">
        <f t="shared" si="1"/>
        <v>0</v>
      </c>
      <c r="H48" s="7">
        <f t="shared" si="2"/>
        <v>0</v>
      </c>
      <c r="K48" s="1">
        <v>667796212</v>
      </c>
      <c r="L48" s="150">
        <v>1111896727</v>
      </c>
      <c r="M48" s="150"/>
    </row>
    <row r="49" spans="1:13" ht="18.75" customHeight="1">
      <c r="A49" s="5">
        <v>531</v>
      </c>
      <c r="B49" s="6" t="s">
        <v>47</v>
      </c>
      <c r="C49" s="7"/>
      <c r="D49" s="7"/>
      <c r="E49" s="7">
        <f>'ban co ca nam 2010'!BK52</f>
        <v>553183044</v>
      </c>
      <c r="F49" s="7">
        <f>'ban co ca nam 2010'!BL52</f>
        <v>553183044</v>
      </c>
      <c r="G49" s="7">
        <f t="shared" si="1"/>
        <v>0</v>
      </c>
      <c r="H49" s="7">
        <f t="shared" si="2"/>
        <v>0</v>
      </c>
      <c r="K49" s="1">
        <v>780950006</v>
      </c>
      <c r="L49" s="150">
        <v>1111896727</v>
      </c>
      <c r="M49" s="150"/>
    </row>
    <row r="50" spans="1:8" ht="18.75" customHeight="1">
      <c r="A50" s="5">
        <v>532</v>
      </c>
      <c r="B50" s="6" t="s">
        <v>223</v>
      </c>
      <c r="C50" s="7"/>
      <c r="D50" s="7"/>
      <c r="E50" s="7">
        <f>'ban co ca nam 2010'!BK53</f>
        <v>0</v>
      </c>
      <c r="F50" s="7">
        <f>'ban co ca nam 2010'!BL53</f>
        <v>0</v>
      </c>
      <c r="G50" s="7">
        <f t="shared" si="1"/>
        <v>0</v>
      </c>
      <c r="H50" s="7">
        <f t="shared" si="2"/>
        <v>0</v>
      </c>
    </row>
    <row r="51" spans="1:12" ht="18.75" customHeight="1">
      <c r="A51" s="5">
        <v>515</v>
      </c>
      <c r="B51" s="6" t="s">
        <v>245</v>
      </c>
      <c r="C51" s="7"/>
      <c r="D51" s="7"/>
      <c r="E51" s="7">
        <f>'ban co ca nam 2010'!BK54</f>
        <v>3171069370</v>
      </c>
      <c r="F51" s="7">
        <f>'ban co ca nam 2010'!BL54</f>
        <v>3171069370</v>
      </c>
      <c r="G51" s="7">
        <f t="shared" si="1"/>
        <v>0</v>
      </c>
      <c r="H51" s="7">
        <f t="shared" si="2"/>
        <v>0</v>
      </c>
      <c r="J51" s="149">
        <f>SUM(J41:J50)</f>
        <v>80681028909</v>
      </c>
      <c r="K51" s="149">
        <f>SUM(K41:K50)+582106744</f>
        <v>6326159092</v>
      </c>
      <c r="L51" s="151">
        <f>SUM(L41:L50)</f>
        <v>8140531563</v>
      </c>
    </row>
    <row r="52" spans="1:8" ht="18.75" customHeight="1">
      <c r="A52" s="5">
        <v>627</v>
      </c>
      <c r="B52" s="6" t="s">
        <v>48</v>
      </c>
      <c r="C52" s="7"/>
      <c r="D52" s="7"/>
      <c r="E52" s="7">
        <f>'ban co ca nam 2010'!BK55+'ban co ca nam 2010'!BK56+'ban co ca nam 2010'!BK57</f>
        <v>15989737023</v>
      </c>
      <c r="F52" s="7">
        <f>'ban co ca nam 2010'!BL55+'ban co ca nam 2010'!BL56+'ban co ca nam 2010'!BL57</f>
        <v>15989737023</v>
      </c>
      <c r="G52" s="7">
        <f t="shared" si="1"/>
        <v>0</v>
      </c>
      <c r="H52" s="7">
        <f t="shared" si="2"/>
        <v>0</v>
      </c>
    </row>
    <row r="53" spans="1:8" ht="18.75" customHeight="1">
      <c r="A53" s="5">
        <v>632</v>
      </c>
      <c r="B53" s="6" t="s">
        <v>51</v>
      </c>
      <c r="C53" s="7"/>
      <c r="D53" s="7"/>
      <c r="E53" s="7">
        <f>'ban co ca nam 2010'!BK60</f>
        <v>91812134465</v>
      </c>
      <c r="F53" s="7">
        <f>'ban co ca nam 2010'!BL60</f>
        <v>91812134465</v>
      </c>
      <c r="G53" s="7">
        <f t="shared" si="1"/>
        <v>0</v>
      </c>
      <c r="H53" s="7">
        <f t="shared" si="2"/>
        <v>0</v>
      </c>
    </row>
    <row r="54" spans="1:11" ht="18.75" customHeight="1">
      <c r="A54" s="5">
        <v>641</v>
      </c>
      <c r="B54" s="6" t="s">
        <v>49</v>
      </c>
      <c r="C54" s="7"/>
      <c r="D54" s="7"/>
      <c r="E54" s="7">
        <f>'ban co ca nam 2010'!BK58</f>
        <v>1696725547</v>
      </c>
      <c r="F54" s="7">
        <f>'ban co ca nam 2010'!BL58</f>
        <v>1696725547</v>
      </c>
      <c r="G54" s="7">
        <f t="shared" si="1"/>
        <v>0</v>
      </c>
      <c r="H54" s="7">
        <f t="shared" si="2"/>
        <v>0</v>
      </c>
      <c r="K54" s="152" t="s">
        <v>259</v>
      </c>
    </row>
    <row r="55" spans="1:11" ht="18.75" customHeight="1">
      <c r="A55" s="5">
        <v>642</v>
      </c>
      <c r="B55" s="6" t="s">
        <v>50</v>
      </c>
      <c r="C55" s="7"/>
      <c r="D55" s="7"/>
      <c r="E55" s="7">
        <f>'ban co ca nam 2010'!BK59</f>
        <v>17290083403</v>
      </c>
      <c r="F55" s="7">
        <f>'ban co ca nam 2010'!BL59</f>
        <v>17290083403</v>
      </c>
      <c r="G55" s="7">
        <f t="shared" si="1"/>
        <v>0</v>
      </c>
      <c r="H55" s="7">
        <f t="shared" si="2"/>
        <v>0</v>
      </c>
      <c r="K55" s="1">
        <v>582106744</v>
      </c>
    </row>
    <row r="56" spans="1:11" ht="18.75" customHeight="1">
      <c r="A56" s="5">
        <v>711</v>
      </c>
      <c r="B56" s="6" t="s">
        <v>246</v>
      </c>
      <c r="C56" s="7"/>
      <c r="D56" s="7"/>
      <c r="E56" s="7">
        <f>'ban co ca nam 2010'!BK61</f>
        <v>769198104</v>
      </c>
      <c r="F56" s="7">
        <f>'ban co ca nam 2010'!BL61</f>
        <v>769198104</v>
      </c>
      <c r="G56" s="7">
        <f t="shared" si="1"/>
        <v>0</v>
      </c>
      <c r="H56" s="7">
        <f t="shared" si="2"/>
        <v>0</v>
      </c>
      <c r="K56" s="1">
        <v>1448746218</v>
      </c>
    </row>
    <row r="57" spans="1:11" ht="18.75" customHeight="1">
      <c r="A57" s="5">
        <v>811</v>
      </c>
      <c r="B57" s="6" t="s">
        <v>247</v>
      </c>
      <c r="C57" s="7"/>
      <c r="D57" s="7"/>
      <c r="E57" s="7">
        <f>'ban co ca nam 2010'!BK62</f>
        <v>437544938</v>
      </c>
      <c r="F57" s="7">
        <f>'ban co ca nam 2010'!BL62</f>
        <v>437544938</v>
      </c>
      <c r="G57" s="7">
        <f t="shared" si="1"/>
        <v>0</v>
      </c>
      <c r="H57" s="7">
        <f t="shared" si="2"/>
        <v>0</v>
      </c>
      <c r="K57" s="1">
        <v>4295306130</v>
      </c>
    </row>
    <row r="58" spans="1:8" ht="18.75" customHeight="1">
      <c r="A58" s="9">
        <v>911</v>
      </c>
      <c r="B58" s="10" t="s">
        <v>248</v>
      </c>
      <c r="C58" s="7"/>
      <c r="D58" s="7"/>
      <c r="E58" s="7">
        <f>'ban co ca nam 2010'!BK63</f>
        <v>116572321650</v>
      </c>
      <c r="F58" s="7">
        <f>'ban co ca nam 2010'!BL63</f>
        <v>116572321650</v>
      </c>
      <c r="G58" s="7">
        <f t="shared" si="1"/>
        <v>0</v>
      </c>
      <c r="H58" s="7">
        <f t="shared" si="2"/>
        <v>0</v>
      </c>
    </row>
    <row r="59" spans="1:11" s="70" customFormat="1" ht="18.75" customHeight="1">
      <c r="A59" s="112"/>
      <c r="B59" s="112" t="s">
        <v>227</v>
      </c>
      <c r="C59" s="11">
        <f aca="true" t="shared" si="3" ref="C59:H59">SUM(C4:C58)</f>
        <v>152235012686</v>
      </c>
      <c r="D59" s="11">
        <f t="shared" si="3"/>
        <v>152235012686</v>
      </c>
      <c r="E59" s="11">
        <f t="shared" si="3"/>
        <v>1330077084233</v>
      </c>
      <c r="F59" s="11">
        <f t="shared" si="3"/>
        <v>1330077084233</v>
      </c>
      <c r="G59" s="11">
        <f t="shared" si="3"/>
        <v>186118683543</v>
      </c>
      <c r="H59" s="11">
        <f t="shared" si="3"/>
        <v>186118683543</v>
      </c>
      <c r="I59" s="148"/>
      <c r="J59" s="147"/>
      <c r="K59" s="147"/>
    </row>
    <row r="60" spans="2:11" s="12" customFormat="1" ht="16.5" customHeight="1">
      <c r="B60" s="178" t="s">
        <v>52</v>
      </c>
      <c r="C60" s="178"/>
      <c r="D60" s="116"/>
      <c r="E60" s="13"/>
      <c r="F60" s="172" t="s">
        <v>53</v>
      </c>
      <c r="G60" s="172"/>
      <c r="H60" s="13"/>
      <c r="I60" s="13"/>
      <c r="J60" s="13"/>
      <c r="K60" s="13">
        <f>SUM(K55:K59)</f>
        <v>6326159092</v>
      </c>
    </row>
    <row r="61" ht="16.5" customHeight="1">
      <c r="H61" s="14">
        <f>G59-H59</f>
        <v>0</v>
      </c>
    </row>
    <row r="62" spans="2:11" s="68" customFormat="1" ht="16.5" customHeight="1">
      <c r="B62" s="67"/>
      <c r="C62" s="69"/>
      <c r="D62" s="69"/>
      <c r="E62" s="69"/>
      <c r="F62" s="69"/>
      <c r="G62" s="69"/>
      <c r="H62" s="69"/>
      <c r="I62" s="72"/>
      <c r="J62" s="69"/>
      <c r="K62" s="73"/>
    </row>
    <row r="63" spans="2:11" s="68" customFormat="1" ht="16.5" customHeight="1">
      <c r="B63" s="67"/>
      <c r="C63" s="69"/>
      <c r="D63" s="69"/>
      <c r="E63" s="69"/>
      <c r="F63" s="69"/>
      <c r="G63" s="69"/>
      <c r="H63" s="69"/>
      <c r="I63" s="69"/>
      <c r="J63" s="69"/>
      <c r="K63" s="73"/>
    </row>
    <row r="64" spans="2:11" s="68" customFormat="1" ht="16.5" customHeight="1">
      <c r="B64" s="67">
        <f>B62-B63</f>
        <v>0</v>
      </c>
      <c r="C64" s="69"/>
      <c r="D64" s="69"/>
      <c r="E64" s="69"/>
      <c r="F64" s="69"/>
      <c r="G64" s="69"/>
      <c r="H64" s="69"/>
      <c r="I64" s="69"/>
      <c r="J64" s="69"/>
      <c r="K64" s="73"/>
    </row>
    <row r="65" ht="16.5">
      <c r="K65" s="73"/>
    </row>
    <row r="66" ht="16.5">
      <c r="E66" s="73">
        <f>E59-E63</f>
        <v>1330077084233</v>
      </c>
    </row>
  </sheetData>
  <mergeCells count="8">
    <mergeCell ref="F60:G60"/>
    <mergeCell ref="A2:A3"/>
    <mergeCell ref="A1:H1"/>
    <mergeCell ref="G2:H2"/>
    <mergeCell ref="E2:F2"/>
    <mergeCell ref="C2:D2"/>
    <mergeCell ref="B2:B3"/>
    <mergeCell ref="B60:C60"/>
  </mergeCells>
  <printOptions/>
  <pageMargins left="0.4" right="0.24" top="0.17" bottom="0.16" header="0.19" footer="0.19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85">
      <selection activeCell="A85" sqref="A1:IV16384"/>
    </sheetView>
  </sheetViews>
  <sheetFormatPr defaultColWidth="9.00390625" defaultRowHeight="12.75"/>
  <cols>
    <col min="1" max="1" width="46.875" style="18" customWidth="1"/>
    <col min="2" max="2" width="7.75390625" style="18" customWidth="1"/>
    <col min="3" max="3" width="6.375" style="18" customWidth="1"/>
    <col min="4" max="4" width="19.375" style="40" customWidth="1"/>
    <col min="5" max="5" width="18.75390625" style="40" customWidth="1"/>
    <col min="6" max="6" width="19.125" style="18" bestFit="1" customWidth="1"/>
    <col min="7" max="7" width="16.625" style="18" bestFit="1" customWidth="1"/>
    <col min="8" max="16384" width="9.125" style="18" customWidth="1"/>
  </cols>
  <sheetData>
    <row r="1" ht="16.5">
      <c r="A1" s="27" t="s">
        <v>54</v>
      </c>
    </row>
    <row r="2" ht="16.5">
      <c r="A2" s="27" t="s">
        <v>55</v>
      </c>
    </row>
    <row r="3" ht="15.75">
      <c r="A3" s="28"/>
    </row>
    <row r="4" spans="1:5" ht="24" customHeight="1">
      <c r="A4" s="184" t="s">
        <v>243</v>
      </c>
      <c r="B4" s="184"/>
      <c r="C4" s="184"/>
      <c r="D4" s="184"/>
      <c r="E4" s="184"/>
    </row>
    <row r="5" ht="15.75">
      <c r="E5" s="41" t="s">
        <v>61</v>
      </c>
    </row>
    <row r="6" spans="1:5" ht="15">
      <c r="A6" s="182" t="s">
        <v>56</v>
      </c>
      <c r="B6" s="181" t="s">
        <v>57</v>
      </c>
      <c r="C6" s="183" t="s">
        <v>58</v>
      </c>
      <c r="D6" s="180" t="s">
        <v>59</v>
      </c>
      <c r="E6" s="180" t="s">
        <v>60</v>
      </c>
    </row>
    <row r="7" spans="1:5" ht="15">
      <c r="A7" s="182"/>
      <c r="B7" s="181"/>
      <c r="C7" s="183"/>
      <c r="D7" s="180"/>
      <c r="E7" s="180"/>
    </row>
    <row r="8" spans="1:7" s="12" customFormat="1" ht="18.75" customHeight="1">
      <c r="A8" s="54" t="s">
        <v>149</v>
      </c>
      <c r="B8" s="30">
        <v>100</v>
      </c>
      <c r="C8" s="30"/>
      <c r="D8" s="53">
        <f>D10+D13+D16+D23+D26</f>
        <v>157911472034</v>
      </c>
      <c r="E8" s="53">
        <f>E10+E13+E16+E23+E26</f>
        <v>124184326226</v>
      </c>
      <c r="F8" s="57"/>
      <c r="G8" s="57"/>
    </row>
    <row r="9" spans="1:7" ht="18.75" customHeight="1">
      <c r="A9" s="29" t="s">
        <v>148</v>
      </c>
      <c r="B9" s="31"/>
      <c r="C9" s="31"/>
      <c r="D9" s="59"/>
      <c r="E9" s="59"/>
      <c r="F9" s="40"/>
      <c r="G9" s="40"/>
    </row>
    <row r="10" spans="1:7" s="25" customFormat="1" ht="18.75" customHeight="1">
      <c r="A10" s="24" t="s">
        <v>150</v>
      </c>
      <c r="B10" s="32">
        <v>110</v>
      </c>
      <c r="C10" s="32"/>
      <c r="D10" s="60">
        <f>SUM(D11:D12)</f>
        <v>29906113119</v>
      </c>
      <c r="E10" s="60">
        <f>SUM(E11:E12)</f>
        <v>13549366805</v>
      </c>
      <c r="F10" s="51"/>
      <c r="G10" s="51"/>
    </row>
    <row r="11" spans="1:7" ht="18.75" customHeight="1">
      <c r="A11" s="21" t="s">
        <v>62</v>
      </c>
      <c r="B11" s="33">
        <v>111</v>
      </c>
      <c r="C11" s="33" t="s">
        <v>153</v>
      </c>
      <c r="D11" s="58">
        <f>'BCDPS - 2010'!G4+'BCDPS - 2010'!G5</f>
        <v>29906113119</v>
      </c>
      <c r="E11" s="58">
        <f>'BCDPS - 2010'!C4+'BCDPS - 2010'!C5</f>
        <v>13549366805</v>
      </c>
      <c r="F11" s="40"/>
      <c r="G11" s="40"/>
    </row>
    <row r="12" spans="1:7" ht="18.75" customHeight="1">
      <c r="A12" s="21" t="s">
        <v>63</v>
      </c>
      <c r="B12" s="33">
        <v>112</v>
      </c>
      <c r="C12" s="33"/>
      <c r="D12" s="58"/>
      <c r="E12" s="58"/>
      <c r="F12" s="40"/>
      <c r="G12" s="40"/>
    </row>
    <row r="13" spans="1:7" s="25" customFormat="1" ht="18.75" customHeight="1">
      <c r="A13" s="24" t="s">
        <v>64</v>
      </c>
      <c r="B13" s="32">
        <v>120</v>
      </c>
      <c r="C13" s="32" t="s">
        <v>154</v>
      </c>
      <c r="D13" s="60">
        <f>D14</f>
        <v>44000000000</v>
      </c>
      <c r="E13" s="60">
        <f>E14</f>
        <v>20000000000</v>
      </c>
      <c r="F13" s="51"/>
      <c r="G13" s="51"/>
    </row>
    <row r="14" spans="1:7" ht="18.75" customHeight="1">
      <c r="A14" s="21" t="s">
        <v>65</v>
      </c>
      <c r="B14" s="33">
        <v>121</v>
      </c>
      <c r="C14" s="33"/>
      <c r="D14" s="58">
        <f>'BCDPS - 2010'!G6</f>
        <v>44000000000</v>
      </c>
      <c r="E14" s="58">
        <f>'BCDPS - 2010'!C6</f>
        <v>20000000000</v>
      </c>
      <c r="F14" s="40"/>
      <c r="G14" s="40"/>
    </row>
    <row r="15" spans="1:7" ht="18.75" customHeight="1">
      <c r="A15" s="21" t="s">
        <v>66</v>
      </c>
      <c r="B15" s="33">
        <v>129</v>
      </c>
      <c r="C15" s="33"/>
      <c r="D15" s="58"/>
      <c r="E15" s="58"/>
      <c r="F15" s="40"/>
      <c r="G15" s="40"/>
    </row>
    <row r="16" spans="1:7" s="25" customFormat="1" ht="18.75" customHeight="1">
      <c r="A16" s="24" t="s">
        <v>67</v>
      </c>
      <c r="B16" s="32">
        <v>130</v>
      </c>
      <c r="C16" s="32"/>
      <c r="D16" s="60">
        <f>SUM(D17:D22)</f>
        <v>12872720083</v>
      </c>
      <c r="E16" s="60">
        <f>SUM(E17:E22)</f>
        <v>58444238642</v>
      </c>
      <c r="F16" s="51"/>
      <c r="G16" s="51"/>
    </row>
    <row r="17" spans="1:7" ht="18.75" customHeight="1">
      <c r="A17" s="21" t="s">
        <v>68</v>
      </c>
      <c r="B17" s="33">
        <v>131</v>
      </c>
      <c r="C17" s="33"/>
      <c r="D17" s="58">
        <f>'BCDPS - 2010'!G7</f>
        <v>12715615504</v>
      </c>
      <c r="E17" s="58">
        <f>'BCDPS - 2010'!C7</f>
        <v>7291877168</v>
      </c>
      <c r="F17" s="40"/>
      <c r="G17" s="40"/>
    </row>
    <row r="18" spans="1:7" ht="18.75" customHeight="1">
      <c r="A18" s="21" t="s">
        <v>69</v>
      </c>
      <c r="B18" s="33">
        <v>132</v>
      </c>
      <c r="C18" s="33"/>
      <c r="D18" s="58">
        <f>'BCDPS - 2010'!G26</f>
        <v>157104579</v>
      </c>
      <c r="E18" s="58">
        <f>'BCDPS - 2010'!C26</f>
        <v>12831340284</v>
      </c>
      <c r="F18" s="40"/>
      <c r="G18" s="40"/>
    </row>
    <row r="19" spans="1:7" ht="18.75" customHeight="1">
      <c r="A19" s="21" t="s">
        <v>70</v>
      </c>
      <c r="B19" s="33">
        <v>133</v>
      </c>
      <c r="C19" s="33"/>
      <c r="D19" s="58"/>
      <c r="E19" s="58"/>
      <c r="F19" s="40"/>
      <c r="G19" s="40"/>
    </row>
    <row r="20" spans="1:5" ht="18.75" customHeight="1">
      <c r="A20" s="21" t="s">
        <v>71</v>
      </c>
      <c r="B20" s="33">
        <v>134</v>
      </c>
      <c r="C20" s="33"/>
      <c r="D20" s="58"/>
      <c r="E20" s="58"/>
    </row>
    <row r="21" spans="1:5" ht="18.75" customHeight="1">
      <c r="A21" s="21" t="s">
        <v>72</v>
      </c>
      <c r="B21" s="33">
        <v>135</v>
      </c>
      <c r="C21" s="33" t="s">
        <v>155</v>
      </c>
      <c r="D21" s="58">
        <f>'BCDPS - 2010'!G9</f>
        <v>0</v>
      </c>
      <c r="E21" s="58">
        <f>'BCDPS - 2010'!C9</f>
        <v>38321021190</v>
      </c>
    </row>
    <row r="22" spans="1:5" ht="18.75" customHeight="1">
      <c r="A22" s="21" t="s">
        <v>73</v>
      </c>
      <c r="B22" s="33">
        <v>139</v>
      </c>
      <c r="C22" s="33"/>
      <c r="D22" s="58"/>
      <c r="E22" s="58"/>
    </row>
    <row r="23" spans="1:5" s="25" customFormat="1" ht="18.75" customHeight="1">
      <c r="A23" s="24" t="s">
        <v>74</v>
      </c>
      <c r="B23" s="32">
        <v>140</v>
      </c>
      <c r="C23" s="32"/>
      <c r="D23" s="60">
        <f>SUM(D24:D25)</f>
        <v>70251515832</v>
      </c>
      <c r="E23" s="60">
        <f>SUM(E24:E25)</f>
        <v>31152493732</v>
      </c>
    </row>
    <row r="24" spans="1:5" ht="18.75" customHeight="1">
      <c r="A24" s="21" t="s">
        <v>75</v>
      </c>
      <c r="B24" s="33">
        <v>141</v>
      </c>
      <c r="C24" s="33" t="s">
        <v>156</v>
      </c>
      <c r="D24" s="58">
        <f>'BCDPS - 2010'!G13+'BCDPS - 2010'!G14+'BCDPS - 2010'!G15+'BCDPS - 2010'!G16+'BCDPS - 2010'!G17</f>
        <v>70251515832</v>
      </c>
      <c r="E24" s="58">
        <f>'BCDPS - 2010'!C13+'BCDPS - 2010'!C14+'BCDPS - 2010'!C15+'BCDPS - 2010'!C16</f>
        <v>31152493732</v>
      </c>
    </row>
    <row r="25" spans="1:5" ht="18.75" customHeight="1">
      <c r="A25" s="21" t="s">
        <v>76</v>
      </c>
      <c r="B25" s="33">
        <v>149</v>
      </c>
      <c r="C25" s="33"/>
      <c r="D25" s="58"/>
      <c r="E25" s="58"/>
    </row>
    <row r="26" spans="1:5" s="25" customFormat="1" ht="18.75" customHeight="1">
      <c r="A26" s="24" t="s">
        <v>77</v>
      </c>
      <c r="B26" s="32">
        <v>150</v>
      </c>
      <c r="C26" s="32"/>
      <c r="D26" s="60">
        <f>SUM(D27:D30)</f>
        <v>881123000</v>
      </c>
      <c r="E26" s="60">
        <f>SUM(E27:E30)</f>
        <v>1038227047</v>
      </c>
    </row>
    <row r="27" spans="1:5" ht="18.75" customHeight="1">
      <c r="A27" s="21" t="s">
        <v>78</v>
      </c>
      <c r="B27" s="33">
        <v>151</v>
      </c>
      <c r="C27" s="33"/>
      <c r="D27" s="58">
        <f>'BCDPS - 2010'!G11</f>
        <v>0</v>
      </c>
      <c r="E27" s="58">
        <f>'BCDPS - 2010'!C11</f>
        <v>48239547</v>
      </c>
    </row>
    <row r="28" spans="1:5" ht="18.75" customHeight="1">
      <c r="A28" s="21" t="s">
        <v>79</v>
      </c>
      <c r="B28" s="33">
        <v>152</v>
      </c>
      <c r="C28" s="33"/>
      <c r="D28" s="58"/>
      <c r="E28" s="58"/>
    </row>
    <row r="29" spans="1:5" ht="18.75" customHeight="1">
      <c r="A29" s="21" t="s">
        <v>80</v>
      </c>
      <c r="B29" s="33">
        <v>154</v>
      </c>
      <c r="C29" s="33" t="s">
        <v>157</v>
      </c>
      <c r="D29" s="58"/>
      <c r="E29" s="58"/>
    </row>
    <row r="30" spans="1:5" ht="18.75" customHeight="1">
      <c r="A30" s="21" t="s">
        <v>81</v>
      </c>
      <c r="B30" s="33">
        <v>158</v>
      </c>
      <c r="C30" s="33"/>
      <c r="D30" s="58">
        <f>'BCDPS - 2010'!G10+'BCDPS - 2010'!G12</f>
        <v>881123000</v>
      </c>
      <c r="E30" s="58">
        <f>'BCDPS - 2010'!C12+'BCDPS - 2010'!C10</f>
        <v>989987500</v>
      </c>
    </row>
    <row r="31" spans="1:5" s="12" customFormat="1" ht="18.75" customHeight="1">
      <c r="A31" s="55" t="s">
        <v>82</v>
      </c>
      <c r="B31" s="34">
        <v>200</v>
      </c>
      <c r="C31" s="34"/>
      <c r="D31" s="60">
        <f>D33+D39+D52+D55+D60</f>
        <v>18590063413</v>
      </c>
      <c r="E31" s="60">
        <f>E33+E39+E55</f>
        <v>18784733132</v>
      </c>
    </row>
    <row r="32" spans="1:5" ht="18.75" customHeight="1">
      <c r="A32" s="29" t="s">
        <v>83</v>
      </c>
      <c r="B32" s="33"/>
      <c r="C32" s="33"/>
      <c r="D32" s="58"/>
      <c r="E32" s="58"/>
    </row>
    <row r="33" spans="1:5" s="25" customFormat="1" ht="18.75" customHeight="1">
      <c r="A33" s="24" t="s">
        <v>84</v>
      </c>
      <c r="B33" s="32">
        <v>210</v>
      </c>
      <c r="C33" s="32"/>
      <c r="D33" s="60">
        <v>0</v>
      </c>
      <c r="E33" s="60">
        <f>E36</f>
        <v>0</v>
      </c>
    </row>
    <row r="34" spans="1:5" ht="18.75" customHeight="1">
      <c r="A34" s="21" t="s">
        <v>85</v>
      </c>
      <c r="B34" s="33">
        <v>211</v>
      </c>
      <c r="C34" s="33"/>
      <c r="D34" s="58"/>
      <c r="E34" s="58"/>
    </row>
    <row r="35" spans="1:5" ht="18.75" customHeight="1">
      <c r="A35" s="21" t="s">
        <v>86</v>
      </c>
      <c r="B35" s="33">
        <v>212</v>
      </c>
      <c r="C35" s="33"/>
      <c r="D35" s="58"/>
      <c r="E35" s="58"/>
    </row>
    <row r="36" spans="1:5" ht="18.75" customHeight="1">
      <c r="A36" s="21" t="s">
        <v>87</v>
      </c>
      <c r="B36" s="33">
        <v>213</v>
      </c>
      <c r="C36" s="33" t="s">
        <v>158</v>
      </c>
      <c r="D36" s="58"/>
      <c r="E36" s="58"/>
    </row>
    <row r="37" spans="1:5" ht="18.75" customHeight="1">
      <c r="A37" s="21" t="s">
        <v>88</v>
      </c>
      <c r="B37" s="33">
        <v>218</v>
      </c>
      <c r="C37" s="33" t="s">
        <v>159</v>
      </c>
      <c r="D37" s="58"/>
      <c r="E37" s="58"/>
    </row>
    <row r="38" spans="1:5" ht="18.75" customHeight="1">
      <c r="A38" s="21" t="s">
        <v>89</v>
      </c>
      <c r="B38" s="33">
        <v>219</v>
      </c>
      <c r="C38" s="33"/>
      <c r="D38" s="58"/>
      <c r="E38" s="58"/>
    </row>
    <row r="39" spans="1:5" s="25" customFormat="1" ht="18.75" customHeight="1">
      <c r="A39" s="24" t="s">
        <v>90</v>
      </c>
      <c r="B39" s="32">
        <v>220</v>
      </c>
      <c r="C39" s="32"/>
      <c r="D39" s="60">
        <f>D40+D51</f>
        <v>15465063413</v>
      </c>
      <c r="E39" s="60">
        <f>E40+E51</f>
        <v>15659733132</v>
      </c>
    </row>
    <row r="40" spans="1:6" ht="18.75" customHeight="1">
      <c r="A40" s="21" t="s">
        <v>91</v>
      </c>
      <c r="B40" s="33">
        <v>221</v>
      </c>
      <c r="C40" s="33" t="s">
        <v>160</v>
      </c>
      <c r="D40" s="58">
        <f>SUM(D41:D42)</f>
        <v>15465063413</v>
      </c>
      <c r="E40" s="58">
        <f>SUM(E41:E42)</f>
        <v>15659733132</v>
      </c>
      <c r="F40" s="40"/>
    </row>
    <row r="41" spans="1:5" ht="18.75" customHeight="1">
      <c r="A41" s="22" t="s">
        <v>92</v>
      </c>
      <c r="B41" s="33">
        <v>222</v>
      </c>
      <c r="C41" s="33"/>
      <c r="D41" s="58">
        <f>'BCDPS - 2010'!G19</f>
        <v>23967188559</v>
      </c>
      <c r="E41" s="58">
        <f>'BCDPS - 2010'!C19</f>
        <v>23960779537</v>
      </c>
    </row>
    <row r="42" spans="1:5" ht="18.75" customHeight="1">
      <c r="A42" s="22" t="s">
        <v>93</v>
      </c>
      <c r="B42" s="33">
        <v>223</v>
      </c>
      <c r="C42" s="33"/>
      <c r="D42" s="61">
        <f>-'BCDPS - 2010'!H20</f>
        <v>-8502125146</v>
      </c>
      <c r="E42" s="58">
        <f>-'BCDPS - 2010'!D20</f>
        <v>-8301046405</v>
      </c>
    </row>
    <row r="43" spans="1:5" ht="15">
      <c r="A43" s="182" t="s">
        <v>56</v>
      </c>
      <c r="B43" s="181" t="s">
        <v>57</v>
      </c>
      <c r="C43" s="183" t="s">
        <v>58</v>
      </c>
      <c r="D43" s="180" t="s">
        <v>59</v>
      </c>
      <c r="E43" s="180" t="s">
        <v>60</v>
      </c>
    </row>
    <row r="44" spans="1:5" ht="15">
      <c r="A44" s="182"/>
      <c r="B44" s="181"/>
      <c r="C44" s="183"/>
      <c r="D44" s="180"/>
      <c r="E44" s="180"/>
    </row>
    <row r="45" spans="1:5" ht="18.75" customHeight="1">
      <c r="A45" s="21" t="s">
        <v>94</v>
      </c>
      <c r="B45" s="33">
        <v>224</v>
      </c>
      <c r="C45" s="33" t="s">
        <v>161</v>
      </c>
      <c r="D45" s="58"/>
      <c r="E45" s="58"/>
    </row>
    <row r="46" spans="1:7" ht="18.75" customHeight="1">
      <c r="A46" s="22" t="s">
        <v>92</v>
      </c>
      <c r="B46" s="33">
        <v>225</v>
      </c>
      <c r="C46" s="33"/>
      <c r="D46" s="58"/>
      <c r="E46" s="58"/>
      <c r="F46" s="40"/>
      <c r="G46" s="40"/>
    </row>
    <row r="47" spans="1:5" ht="18.75" customHeight="1">
      <c r="A47" s="22" t="s">
        <v>93</v>
      </c>
      <c r="B47" s="33">
        <v>226</v>
      </c>
      <c r="C47" s="33"/>
      <c r="D47" s="58"/>
      <c r="E47" s="58"/>
    </row>
    <row r="48" spans="1:5" ht="18.75" customHeight="1">
      <c r="A48" s="21" t="s">
        <v>95</v>
      </c>
      <c r="B48" s="33">
        <v>227</v>
      </c>
      <c r="C48" s="33" t="s">
        <v>162</v>
      </c>
      <c r="D48" s="58"/>
      <c r="E48" s="58"/>
    </row>
    <row r="49" spans="1:5" ht="18.75" customHeight="1">
      <c r="A49" s="22" t="s">
        <v>92</v>
      </c>
      <c r="B49" s="33">
        <v>228</v>
      </c>
      <c r="C49" s="33"/>
      <c r="D49" s="58"/>
      <c r="E49" s="58"/>
    </row>
    <row r="50" spans="1:5" ht="18.75" customHeight="1">
      <c r="A50" s="22" t="s">
        <v>93</v>
      </c>
      <c r="B50" s="33">
        <v>229</v>
      </c>
      <c r="C50" s="33"/>
      <c r="D50" s="58"/>
      <c r="E50" s="58"/>
    </row>
    <row r="51" spans="1:5" ht="18.75" customHeight="1">
      <c r="A51" s="21" t="s">
        <v>96</v>
      </c>
      <c r="B51" s="33">
        <v>230</v>
      </c>
      <c r="C51" s="33" t="s">
        <v>163</v>
      </c>
      <c r="D51" s="61">
        <f>'BCDPS - 2010'!G23</f>
        <v>0</v>
      </c>
      <c r="E51" s="58">
        <f>'BCDPS - 2010'!C23</f>
        <v>0</v>
      </c>
    </row>
    <row r="52" spans="1:5" s="25" customFormat="1" ht="18.75" customHeight="1">
      <c r="A52" s="24" t="s">
        <v>97</v>
      </c>
      <c r="B52" s="32">
        <v>240</v>
      </c>
      <c r="C52" s="32" t="s">
        <v>164</v>
      </c>
      <c r="D52" s="60">
        <f>D53+D54</f>
        <v>0</v>
      </c>
      <c r="E52" s="60"/>
    </row>
    <row r="53" spans="1:5" ht="18.75" customHeight="1">
      <c r="A53" s="22" t="s">
        <v>92</v>
      </c>
      <c r="B53" s="33">
        <v>241</v>
      </c>
      <c r="C53" s="33"/>
      <c r="D53" s="58"/>
      <c r="E53" s="58"/>
    </row>
    <row r="54" spans="1:5" ht="18.75" customHeight="1">
      <c r="A54" s="22" t="s">
        <v>93</v>
      </c>
      <c r="B54" s="33">
        <v>242</v>
      </c>
      <c r="C54" s="33"/>
      <c r="D54" s="58"/>
      <c r="E54" s="58"/>
    </row>
    <row r="55" spans="1:5" s="25" customFormat="1" ht="18.75" customHeight="1">
      <c r="A55" s="24" t="s">
        <v>98</v>
      </c>
      <c r="B55" s="32">
        <v>250</v>
      </c>
      <c r="C55" s="32"/>
      <c r="D55" s="60">
        <f>SUM(D56:D59)</f>
        <v>3125000000</v>
      </c>
      <c r="E55" s="60">
        <f>E56</f>
        <v>3125000000</v>
      </c>
    </row>
    <row r="56" spans="1:5" ht="18.75" customHeight="1">
      <c r="A56" s="21" t="s">
        <v>99</v>
      </c>
      <c r="B56" s="33">
        <v>251</v>
      </c>
      <c r="C56" s="33"/>
      <c r="D56" s="58">
        <f>'BCDPS - 2010'!G21</f>
        <v>3125000000</v>
      </c>
      <c r="E56" s="58">
        <v>3125000000</v>
      </c>
    </row>
    <row r="57" spans="1:5" ht="18.75" customHeight="1">
      <c r="A57" s="21" t="s">
        <v>100</v>
      </c>
      <c r="B57" s="33">
        <v>252</v>
      </c>
      <c r="C57" s="33"/>
      <c r="D57" s="58"/>
      <c r="E57" s="58"/>
    </row>
    <row r="58" spans="1:5" ht="18.75" customHeight="1">
      <c r="A58" s="21" t="s">
        <v>101</v>
      </c>
      <c r="B58" s="33">
        <v>258</v>
      </c>
      <c r="C58" s="33" t="s">
        <v>165</v>
      </c>
      <c r="D58" s="58"/>
      <c r="E58" s="58"/>
    </row>
    <row r="59" spans="1:5" ht="18.75" customHeight="1">
      <c r="A59" s="21" t="s">
        <v>102</v>
      </c>
      <c r="B59" s="33">
        <v>259</v>
      </c>
      <c r="C59" s="33"/>
      <c r="D59" s="58"/>
      <c r="E59" s="58"/>
    </row>
    <row r="60" spans="1:5" s="25" customFormat="1" ht="18.75" customHeight="1">
      <c r="A60" s="24" t="s">
        <v>103</v>
      </c>
      <c r="B60" s="32">
        <v>260</v>
      </c>
      <c r="C60" s="32"/>
      <c r="D60" s="60">
        <f>SUM(D61:D63)</f>
        <v>0</v>
      </c>
      <c r="E60" s="60"/>
    </row>
    <row r="61" spans="1:5" ht="18.75" customHeight="1">
      <c r="A61" s="21" t="s">
        <v>104</v>
      </c>
      <c r="B61" s="33">
        <v>261</v>
      </c>
      <c r="C61" s="33" t="s">
        <v>166</v>
      </c>
      <c r="D61" s="58"/>
      <c r="E61" s="58"/>
    </row>
    <row r="62" spans="1:5" ht="18.75" customHeight="1">
      <c r="A62" s="21" t="s">
        <v>105</v>
      </c>
      <c r="B62" s="33">
        <v>262</v>
      </c>
      <c r="C62" s="33" t="s">
        <v>167</v>
      </c>
      <c r="D62" s="58"/>
      <c r="E62" s="58"/>
    </row>
    <row r="63" spans="1:5" ht="18.75" customHeight="1">
      <c r="A63" s="26" t="s">
        <v>106</v>
      </c>
      <c r="B63" s="35">
        <v>268</v>
      </c>
      <c r="C63" s="35"/>
      <c r="D63" s="62"/>
      <c r="E63" s="62"/>
    </row>
    <row r="64" spans="1:7" s="12" customFormat="1" ht="18.75" customHeight="1">
      <c r="A64" s="56" t="s">
        <v>207</v>
      </c>
      <c r="B64" s="36">
        <v>270</v>
      </c>
      <c r="C64" s="36"/>
      <c r="D64" s="63">
        <f>D31+D8</f>
        <v>176501535447</v>
      </c>
      <c r="E64" s="63">
        <f>E31+E8</f>
        <v>142969059358</v>
      </c>
      <c r="F64" s="57"/>
      <c r="G64" s="57"/>
    </row>
    <row r="65" spans="1:5" ht="10.5" customHeight="1">
      <c r="A65" s="182" t="s">
        <v>151</v>
      </c>
      <c r="B65" s="181"/>
      <c r="C65" s="181"/>
      <c r="D65" s="187"/>
      <c r="E65" s="187"/>
    </row>
    <row r="66" spans="1:5" ht="7.5" customHeight="1">
      <c r="A66" s="182"/>
      <c r="B66" s="181"/>
      <c r="C66" s="181"/>
      <c r="D66" s="187"/>
      <c r="E66" s="187"/>
    </row>
    <row r="67" spans="1:5" s="12" customFormat="1" ht="18.75" customHeight="1">
      <c r="A67" s="55" t="s">
        <v>208</v>
      </c>
      <c r="B67" s="34">
        <v>300</v>
      </c>
      <c r="C67" s="34"/>
      <c r="D67" s="60">
        <f>D68+D79</f>
        <v>118664414120</v>
      </c>
      <c r="E67" s="60">
        <f>E68+E79</f>
        <v>86247549958</v>
      </c>
    </row>
    <row r="68" spans="1:5" s="25" customFormat="1" ht="18.75" customHeight="1">
      <c r="A68" s="24" t="s">
        <v>107</v>
      </c>
      <c r="B68" s="32">
        <v>310</v>
      </c>
      <c r="C68" s="32"/>
      <c r="D68" s="60">
        <f>SUM(D69:D78)</f>
        <v>118238388040</v>
      </c>
      <c r="E68" s="60">
        <f>SUM(E69:E78)</f>
        <v>85821523878</v>
      </c>
    </row>
    <row r="69" spans="1:6" ht="18.75" customHeight="1">
      <c r="A69" s="21" t="s">
        <v>108</v>
      </c>
      <c r="B69" s="33">
        <v>311</v>
      </c>
      <c r="C69" s="33" t="s">
        <v>168</v>
      </c>
      <c r="D69" s="130">
        <f>'BCDPS - 2010'!H25</f>
        <v>0</v>
      </c>
      <c r="E69" s="58">
        <f>'BCDPS - 2010'!D25</f>
        <v>10000000000</v>
      </c>
      <c r="F69" s="40"/>
    </row>
    <row r="70" spans="1:7" ht="18.75" customHeight="1">
      <c r="A70" s="21" t="s">
        <v>109</v>
      </c>
      <c r="B70" s="33">
        <v>312</v>
      </c>
      <c r="C70" s="33"/>
      <c r="D70" s="130">
        <f>'BCDPS - 2010'!H26</f>
        <v>27442906696</v>
      </c>
      <c r="E70" s="58">
        <f>'BCDPS - 2010'!D26</f>
        <v>7353212377</v>
      </c>
      <c r="F70" s="40"/>
      <c r="G70" s="40"/>
    </row>
    <row r="71" spans="1:7" ht="18.75" customHeight="1">
      <c r="A71" s="21" t="s">
        <v>110</v>
      </c>
      <c r="B71" s="33">
        <v>313</v>
      </c>
      <c r="C71" s="33"/>
      <c r="D71" s="130">
        <f>'BCDPS - 2010'!H7+'BCDPS - 2010'!H36</f>
        <v>87149123113</v>
      </c>
      <c r="E71" s="58">
        <f>'BCDPS - 2010'!D7+'BCDPS - 2010'!D36</f>
        <v>69181927101</v>
      </c>
      <c r="F71" s="40"/>
      <c r="G71" s="40"/>
    </row>
    <row r="72" spans="1:7" ht="18.75" customHeight="1">
      <c r="A72" s="21" t="s">
        <v>111</v>
      </c>
      <c r="B72" s="33">
        <v>314</v>
      </c>
      <c r="C72" s="33" t="s">
        <v>169</v>
      </c>
      <c r="D72" s="58">
        <f>'BCDPS - 2010'!H27+'BCDPS - 2010'!H28+'BCDPS - 2010'!H29+'BCDPS - 2010'!H30-'BCDPS - 2010'!G28-'BCDPS - 2010'!G29</f>
        <v>1853827763</v>
      </c>
      <c r="E72" s="58">
        <f>'BCDPS - 2010'!D27+'BCDPS - 2010'!D28+'BCDPS - 2010'!D30+'BCDPS - 2010'!D29-'BCDPS - 2010'!C28</f>
        <v>-581150495</v>
      </c>
      <c r="F72" s="51"/>
      <c r="G72" s="51">
        <f>342065514-289075264</f>
        <v>52990250</v>
      </c>
    </row>
    <row r="73" spans="1:7" ht="18.75" customHeight="1">
      <c r="A73" s="21" t="s">
        <v>112</v>
      </c>
      <c r="B73" s="33">
        <v>315</v>
      </c>
      <c r="C73" s="33"/>
      <c r="D73" s="58">
        <f>'BCDPS - 2010'!H31</f>
        <v>1968708000</v>
      </c>
      <c r="E73" s="58"/>
      <c r="F73" s="40"/>
      <c r="G73" s="40"/>
    </row>
    <row r="74" spans="1:7" ht="18.75" customHeight="1">
      <c r="A74" s="21" t="s">
        <v>113</v>
      </c>
      <c r="B74" s="33">
        <v>316</v>
      </c>
      <c r="C74" s="33" t="s">
        <v>170</v>
      </c>
      <c r="D74" s="58"/>
      <c r="E74" s="58"/>
      <c r="F74" s="40"/>
      <c r="G74" s="40"/>
    </row>
    <row r="75" spans="1:7" ht="18.75" customHeight="1">
      <c r="A75" s="21" t="s">
        <v>114</v>
      </c>
      <c r="B75" s="33">
        <v>317</v>
      </c>
      <c r="C75" s="33"/>
      <c r="D75" s="58"/>
      <c r="E75" s="58"/>
      <c r="F75" s="51"/>
      <c r="G75" s="51"/>
    </row>
    <row r="76" spans="1:7" ht="18.75" customHeight="1">
      <c r="A76" s="21" t="s">
        <v>115</v>
      </c>
      <c r="B76" s="33">
        <v>318</v>
      </c>
      <c r="C76" s="33"/>
      <c r="D76" s="58"/>
      <c r="E76" s="58"/>
      <c r="F76" s="40"/>
      <c r="G76" s="40"/>
    </row>
    <row r="77" spans="1:7" ht="18.75" customHeight="1">
      <c r="A77" s="21" t="s">
        <v>116</v>
      </c>
      <c r="B77" s="33">
        <v>319</v>
      </c>
      <c r="C77" s="33" t="s">
        <v>171</v>
      </c>
      <c r="D77" s="58">
        <f>'BCDPS - 2010'!H33-'BCDPS - 2010'!G34+'BCDPS - 2010'!H35+'BCDPS - 2010'!H37+'BCDPS - 2010'!H38-'BCDPS - 2010'!G33-'BCDPS - 2010'!G35-'BCDPS - 2010'!G38</f>
        <v>-176177532</v>
      </c>
      <c r="E77" s="58">
        <f>-'BCDPS - 2010'!C34</f>
        <v>-132465105</v>
      </c>
      <c r="F77" s="40"/>
      <c r="G77" s="40"/>
    </row>
    <row r="78" spans="1:7" ht="18.75" customHeight="1">
      <c r="A78" s="21" t="s">
        <v>117</v>
      </c>
      <c r="B78" s="33">
        <v>320</v>
      </c>
      <c r="C78" s="33"/>
      <c r="D78" s="58"/>
      <c r="E78" s="58"/>
      <c r="F78" s="40"/>
      <c r="G78" s="40"/>
    </row>
    <row r="79" spans="1:7" s="25" customFormat="1" ht="18.75" customHeight="1">
      <c r="A79" s="24" t="s">
        <v>118</v>
      </c>
      <c r="B79" s="32">
        <v>330</v>
      </c>
      <c r="C79" s="32"/>
      <c r="D79" s="60">
        <f>D88</f>
        <v>426026080</v>
      </c>
      <c r="E79" s="60">
        <f>E88</f>
        <v>426026080</v>
      </c>
      <c r="F79" s="40"/>
      <c r="G79" s="40">
        <f>D79-214065080</f>
        <v>211961000</v>
      </c>
    </row>
    <row r="80" spans="1:5" ht="18.75" customHeight="1">
      <c r="A80" s="21" t="s">
        <v>119</v>
      </c>
      <c r="B80" s="33">
        <v>331</v>
      </c>
      <c r="C80" s="33"/>
      <c r="D80" s="58"/>
      <c r="E80" s="58"/>
    </row>
    <row r="81" spans="1:5" ht="18.75" customHeight="1">
      <c r="A81" s="21" t="s">
        <v>120</v>
      </c>
      <c r="B81" s="33">
        <v>332</v>
      </c>
      <c r="C81" s="33" t="s">
        <v>172</v>
      </c>
      <c r="D81" s="58"/>
      <c r="E81" s="58"/>
    </row>
    <row r="82" spans="1:5" ht="18.75" customHeight="1">
      <c r="A82" s="21" t="s">
        <v>121</v>
      </c>
      <c r="B82" s="33">
        <v>333</v>
      </c>
      <c r="C82" s="33"/>
      <c r="D82" s="58"/>
      <c r="E82" s="58"/>
    </row>
    <row r="83" spans="1:5" ht="18.75" customHeight="1">
      <c r="A83" s="21" t="s">
        <v>122</v>
      </c>
      <c r="B83" s="33">
        <v>334</v>
      </c>
      <c r="C83" s="33" t="s">
        <v>173</v>
      </c>
      <c r="D83" s="58"/>
      <c r="E83" s="58"/>
    </row>
    <row r="84" spans="1:5" ht="18.75" customHeight="1">
      <c r="A84" s="131"/>
      <c r="B84" s="132"/>
      <c r="C84" s="132"/>
      <c r="D84" s="133"/>
      <c r="E84" s="133"/>
    </row>
    <row r="85" spans="1:5" ht="15">
      <c r="A85" s="182" t="s">
        <v>151</v>
      </c>
      <c r="B85" s="181" t="s">
        <v>57</v>
      </c>
      <c r="C85" s="183" t="s">
        <v>58</v>
      </c>
      <c r="D85" s="180" t="s">
        <v>59</v>
      </c>
      <c r="E85" s="180" t="s">
        <v>60</v>
      </c>
    </row>
    <row r="86" spans="1:5" ht="15">
      <c r="A86" s="182"/>
      <c r="B86" s="181"/>
      <c r="C86" s="183"/>
      <c r="D86" s="180"/>
      <c r="E86" s="180"/>
    </row>
    <row r="87" spans="1:7" ht="18.75" customHeight="1">
      <c r="A87" s="21" t="s">
        <v>123</v>
      </c>
      <c r="B87" s="33">
        <v>335</v>
      </c>
      <c r="C87" s="33" t="s">
        <v>167</v>
      </c>
      <c r="D87" s="58"/>
      <c r="E87" s="58"/>
      <c r="F87" s="8"/>
      <c r="G87" s="8"/>
    </row>
    <row r="88" spans="1:5" ht="18.75" customHeight="1">
      <c r="A88" s="21" t="s">
        <v>238</v>
      </c>
      <c r="B88" s="33">
        <v>336</v>
      </c>
      <c r="C88" s="33"/>
      <c r="D88" s="61">
        <f>'BCDPS - 2010'!H39</f>
        <v>426026080</v>
      </c>
      <c r="E88" s="58">
        <f>'BCDPS - 2010'!D39</f>
        <v>426026080</v>
      </c>
    </row>
    <row r="89" spans="1:5" ht="18.75" customHeight="1">
      <c r="A89" s="21" t="s">
        <v>124</v>
      </c>
      <c r="B89" s="33">
        <v>337</v>
      </c>
      <c r="C89" s="33"/>
      <c r="D89" s="58"/>
      <c r="E89" s="58"/>
    </row>
    <row r="90" spans="1:5" s="12" customFormat="1" ht="18.75" customHeight="1">
      <c r="A90" s="55" t="s">
        <v>209</v>
      </c>
      <c r="B90" s="34">
        <v>400</v>
      </c>
      <c r="C90" s="34"/>
      <c r="D90" s="60">
        <f>D91+D103</f>
        <v>57837121327</v>
      </c>
      <c r="E90" s="60">
        <f>E91+E103</f>
        <v>56721509400</v>
      </c>
    </row>
    <row r="91" spans="1:5" s="25" customFormat="1" ht="18.75" customHeight="1">
      <c r="A91" s="24" t="s">
        <v>125</v>
      </c>
      <c r="B91" s="32">
        <v>410</v>
      </c>
      <c r="C91" s="32" t="s">
        <v>174</v>
      </c>
      <c r="D91" s="60">
        <f>SUM(D92:D102)</f>
        <v>56780884178</v>
      </c>
      <c r="E91" s="60">
        <f>SUM(E92:E102)</f>
        <v>55977771598</v>
      </c>
    </row>
    <row r="92" spans="1:5" ht="18.75" customHeight="1">
      <c r="A92" s="21" t="s">
        <v>126</v>
      </c>
      <c r="B92" s="33">
        <v>411</v>
      </c>
      <c r="C92" s="33"/>
      <c r="D92" s="61">
        <f>'BCDPS - 2010'!H40</f>
        <v>51536544433</v>
      </c>
      <c r="E92" s="58">
        <f>'BCDPS - 2010'!D40</f>
        <v>41813584381</v>
      </c>
    </row>
    <row r="93" spans="1:5" ht="18.75" customHeight="1">
      <c r="A93" s="21" t="s">
        <v>127</v>
      </c>
      <c r="B93" s="33">
        <v>412</v>
      </c>
      <c r="C93" s="33"/>
      <c r="D93" s="58"/>
      <c r="E93" s="58"/>
    </row>
    <row r="94" spans="1:5" ht="18.75" customHeight="1">
      <c r="A94" s="21" t="s">
        <v>128</v>
      </c>
      <c r="B94" s="33">
        <v>413</v>
      </c>
      <c r="C94" s="33"/>
      <c r="D94" s="61">
        <f>'BCDPS - 2010'!H22</f>
        <v>311306068</v>
      </c>
      <c r="E94" s="58">
        <f>'BCDPS - 2010'!D22</f>
        <v>9811306068</v>
      </c>
    </row>
    <row r="95" spans="1:5" ht="18.75" customHeight="1">
      <c r="A95" s="21" t="s">
        <v>129</v>
      </c>
      <c r="B95" s="33">
        <v>414</v>
      </c>
      <c r="C95" s="33"/>
      <c r="D95" s="58"/>
      <c r="E95" s="58"/>
    </row>
    <row r="96" spans="1:5" ht="18.75" customHeight="1">
      <c r="A96" s="21" t="s">
        <v>130</v>
      </c>
      <c r="B96" s="33">
        <v>415</v>
      </c>
      <c r="C96" s="33"/>
      <c r="D96" s="58"/>
      <c r="E96" s="58"/>
    </row>
    <row r="97" spans="1:5" ht="18.75" customHeight="1">
      <c r="A97" s="21" t="s">
        <v>131</v>
      </c>
      <c r="B97" s="33">
        <v>416</v>
      </c>
      <c r="C97" s="33"/>
      <c r="D97" s="58"/>
      <c r="E97" s="58"/>
    </row>
    <row r="98" spans="1:7" ht="18.75" customHeight="1">
      <c r="A98" s="21" t="s">
        <v>132</v>
      </c>
      <c r="B98" s="33">
        <v>417</v>
      </c>
      <c r="C98" s="33"/>
      <c r="D98" s="58">
        <f>'BCDPS - 2010'!H42</f>
        <v>3493059441</v>
      </c>
      <c r="E98" s="58">
        <f>'BCDPS - 2010'!D42</f>
        <v>3493059441</v>
      </c>
      <c r="G98" s="40">
        <f>D98-4062606143</f>
        <v>-569546702</v>
      </c>
    </row>
    <row r="99" spans="1:7" ht="18.75" customHeight="1">
      <c r="A99" s="21" t="s">
        <v>133</v>
      </c>
      <c r="B99" s="33">
        <v>418</v>
      </c>
      <c r="C99" s="33"/>
      <c r="D99" s="61">
        <f>'BCDPS - 2010'!H43</f>
        <v>1082065244</v>
      </c>
      <c r="E99" s="58">
        <f>'BCDPS - 2010'!D43</f>
        <v>681960052</v>
      </c>
      <c r="G99" s="40">
        <f>D99-769582621</f>
        <v>312482623</v>
      </c>
    </row>
    <row r="100" spans="1:7" ht="18.75" customHeight="1">
      <c r="A100" s="21" t="s">
        <v>134</v>
      </c>
      <c r="B100" s="33">
        <v>419</v>
      </c>
      <c r="C100" s="33"/>
      <c r="D100" s="58">
        <f>'BCDPS - 2010'!H44</f>
        <v>357908992</v>
      </c>
      <c r="E100" s="58">
        <f>'BCDPS - 2010'!D44</f>
        <v>177861656</v>
      </c>
      <c r="F100" s="57"/>
      <c r="G100" s="57"/>
    </row>
    <row r="101" spans="1:7" ht="18.75" customHeight="1">
      <c r="A101" s="21" t="s">
        <v>253</v>
      </c>
      <c r="B101" s="33">
        <v>420</v>
      </c>
      <c r="C101" s="33"/>
      <c r="D101" s="61">
        <f>'BCDPS - 2010'!H45</f>
        <v>0</v>
      </c>
      <c r="E101" s="58">
        <f>'BCDPS - 2010'!D45</f>
        <v>0</v>
      </c>
      <c r="F101" s="40"/>
      <c r="G101" s="40"/>
    </row>
    <row r="102" spans="1:5" ht="18.75" customHeight="1">
      <c r="A102" s="21" t="s">
        <v>135</v>
      </c>
      <c r="B102" s="33">
        <v>421</v>
      </c>
      <c r="C102" s="33"/>
      <c r="D102" s="58"/>
      <c r="E102" s="58"/>
    </row>
    <row r="103" spans="1:5" s="25" customFormat="1" ht="18.75" customHeight="1">
      <c r="A103" s="24" t="s">
        <v>136</v>
      </c>
      <c r="B103" s="32">
        <v>430</v>
      </c>
      <c r="C103" s="32"/>
      <c r="D103" s="60">
        <f>D104</f>
        <v>1056237149</v>
      </c>
      <c r="E103" s="60">
        <f>E104</f>
        <v>743737802</v>
      </c>
    </row>
    <row r="104" spans="1:7" ht="18.75" customHeight="1">
      <c r="A104" s="21" t="s">
        <v>137</v>
      </c>
      <c r="B104" s="33">
        <v>431</v>
      </c>
      <c r="C104" s="33"/>
      <c r="D104" s="61">
        <f>'BCDPS - 2010'!H46</f>
        <v>1056237149</v>
      </c>
      <c r="E104" s="58">
        <f>'BCDPS - 2010'!D46</f>
        <v>743737802</v>
      </c>
      <c r="G104" s="40">
        <f>D104-918982941</f>
        <v>137254208</v>
      </c>
    </row>
    <row r="105" spans="1:5" ht="18.75" customHeight="1">
      <c r="A105" s="21" t="s">
        <v>138</v>
      </c>
      <c r="B105" s="33">
        <v>432</v>
      </c>
      <c r="C105" s="33" t="s">
        <v>175</v>
      </c>
      <c r="D105" s="58"/>
      <c r="E105" s="58"/>
    </row>
    <row r="106" spans="1:7" ht="18.75" customHeight="1">
      <c r="A106" s="26" t="s">
        <v>139</v>
      </c>
      <c r="B106" s="35">
        <v>433</v>
      </c>
      <c r="C106" s="35"/>
      <c r="D106" s="62"/>
      <c r="E106" s="62"/>
      <c r="G106" s="51">
        <f>SUM(G72:G105)</f>
        <v>145141379</v>
      </c>
    </row>
    <row r="107" spans="1:7" s="25" customFormat="1" ht="18.75" customHeight="1">
      <c r="A107" s="56" t="s">
        <v>210</v>
      </c>
      <c r="B107" s="37">
        <v>440</v>
      </c>
      <c r="C107" s="37"/>
      <c r="D107" s="63">
        <f>D90+D67</f>
        <v>176501535447</v>
      </c>
      <c r="E107" s="63">
        <f>E90+E67</f>
        <v>142969059358</v>
      </c>
      <c r="F107" s="51"/>
      <c r="G107" s="51"/>
    </row>
    <row r="108" spans="1:5" ht="27.75" customHeight="1">
      <c r="A108" s="185" t="s">
        <v>140</v>
      </c>
      <c r="B108" s="185"/>
      <c r="C108" s="185"/>
      <c r="D108" s="185"/>
      <c r="E108" s="185"/>
    </row>
    <row r="109" spans="1:5" ht="15">
      <c r="A109" s="182" t="s">
        <v>141</v>
      </c>
      <c r="B109" s="181"/>
      <c r="C109" s="183" t="s">
        <v>58</v>
      </c>
      <c r="D109" s="180" t="s">
        <v>59</v>
      </c>
      <c r="E109" s="180" t="s">
        <v>60</v>
      </c>
    </row>
    <row r="110" spans="1:5" ht="15">
      <c r="A110" s="182"/>
      <c r="B110" s="181"/>
      <c r="C110" s="183"/>
      <c r="D110" s="180"/>
      <c r="E110" s="180"/>
    </row>
    <row r="111" spans="1:5" ht="18" customHeight="1">
      <c r="A111" s="20" t="s">
        <v>142</v>
      </c>
      <c r="B111" s="20"/>
      <c r="C111" s="38" t="s">
        <v>152</v>
      </c>
      <c r="D111" s="43"/>
      <c r="E111" s="43"/>
    </row>
    <row r="112" spans="1:6" ht="18" customHeight="1">
      <c r="A112" s="21" t="s">
        <v>143</v>
      </c>
      <c r="B112" s="21"/>
      <c r="C112" s="33"/>
      <c r="D112" s="42"/>
      <c r="E112" s="42"/>
      <c r="F112" s="40">
        <f>D107-D64</f>
        <v>0</v>
      </c>
    </row>
    <row r="113" spans="1:5" ht="18" customHeight="1">
      <c r="A113" s="21" t="s">
        <v>144</v>
      </c>
      <c r="B113" s="21"/>
      <c r="C113" s="33"/>
      <c r="D113" s="42"/>
      <c r="E113" s="42"/>
    </row>
    <row r="114" spans="1:5" ht="18" customHeight="1">
      <c r="A114" s="21" t="s">
        <v>145</v>
      </c>
      <c r="B114" s="21"/>
      <c r="C114" s="33"/>
      <c r="D114" s="42"/>
      <c r="E114" s="42"/>
    </row>
    <row r="115" spans="1:5" ht="18" customHeight="1">
      <c r="A115" s="21" t="s">
        <v>146</v>
      </c>
      <c r="B115" s="21"/>
      <c r="C115" s="33"/>
      <c r="D115" s="42"/>
      <c r="E115" s="42"/>
    </row>
    <row r="116" spans="1:5" ht="18" customHeight="1">
      <c r="A116" s="23" t="s">
        <v>147</v>
      </c>
      <c r="B116" s="23"/>
      <c r="C116" s="39"/>
      <c r="D116" s="44"/>
      <c r="E116" s="44"/>
    </row>
    <row r="117" spans="4:5" ht="15.75">
      <c r="D117" s="186" t="s">
        <v>254</v>
      </c>
      <c r="E117" s="186"/>
    </row>
    <row r="118" spans="1:5" s="25" customFormat="1" ht="17.25">
      <c r="A118" s="188" t="s">
        <v>240</v>
      </c>
      <c r="B118" s="188"/>
      <c r="C118" s="188"/>
      <c r="D118" s="188"/>
      <c r="E118" s="188"/>
    </row>
    <row r="121" ht="15">
      <c r="A121" s="40"/>
    </row>
    <row r="125" spans="1:5" s="140" customFormat="1" ht="17.25">
      <c r="A125" s="179" t="s">
        <v>241</v>
      </c>
      <c r="B125" s="179"/>
      <c r="C125" s="179"/>
      <c r="D125" s="179"/>
      <c r="E125" s="179"/>
    </row>
  </sheetData>
  <mergeCells count="30">
    <mergeCell ref="E43:E44"/>
    <mergeCell ref="A85:A86"/>
    <mergeCell ref="B85:B86"/>
    <mergeCell ref="C85:C86"/>
    <mergeCell ref="D85:D86"/>
    <mergeCell ref="E85:E86"/>
    <mergeCell ref="D117:E117"/>
    <mergeCell ref="D65:D66"/>
    <mergeCell ref="E65:E66"/>
    <mergeCell ref="A118:E118"/>
    <mergeCell ref="A4:E4"/>
    <mergeCell ref="A109:A110"/>
    <mergeCell ref="B109:B110"/>
    <mergeCell ref="C109:C110"/>
    <mergeCell ref="D109:D110"/>
    <mergeCell ref="E109:E110"/>
    <mergeCell ref="E6:E7"/>
    <mergeCell ref="A108:E108"/>
    <mergeCell ref="A65:A66"/>
    <mergeCell ref="B65:B66"/>
    <mergeCell ref="A125:E125"/>
    <mergeCell ref="D6:D7"/>
    <mergeCell ref="C65:C66"/>
    <mergeCell ref="A6:A7"/>
    <mergeCell ref="B6:B7"/>
    <mergeCell ref="C6:C7"/>
    <mergeCell ref="A43:A44"/>
    <mergeCell ref="B43:B44"/>
    <mergeCell ref="C43:C44"/>
    <mergeCell ref="D43:D44"/>
  </mergeCells>
  <printOptions/>
  <pageMargins left="0.54" right="0.24" top="0.18" bottom="0.28" header="0.18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6"/>
  <sheetViews>
    <sheetView workbookViewId="0" topLeftCell="A4">
      <selection activeCell="D14" sqref="D14"/>
    </sheetView>
  </sheetViews>
  <sheetFormatPr defaultColWidth="9.00390625" defaultRowHeight="12.75"/>
  <cols>
    <col min="1" max="1" width="45.125" style="0" customWidth="1"/>
    <col min="2" max="2" width="7.25390625" style="0" customWidth="1"/>
    <col min="3" max="3" width="8.75390625" style="0" customWidth="1"/>
    <col min="4" max="4" width="18.125" style="0" customWidth="1"/>
    <col min="5" max="5" width="17.875" style="0" customWidth="1"/>
    <col min="6" max="6" width="17.75390625" style="136" bestFit="1" customWidth="1"/>
    <col min="7" max="7" width="10.125" style="0" bestFit="1" customWidth="1"/>
  </cols>
  <sheetData>
    <row r="2" spans="1:5" ht="16.5">
      <c r="A2" s="27" t="s">
        <v>54</v>
      </c>
      <c r="B2" s="18"/>
      <c r="C2" s="18"/>
      <c r="D2" s="40"/>
      <c r="E2" s="40"/>
    </row>
    <row r="3" spans="1:5" ht="15.75">
      <c r="A3" s="28" t="s">
        <v>55</v>
      </c>
      <c r="B3" s="18"/>
      <c r="C3" s="18"/>
      <c r="D3" s="40"/>
      <c r="E3" s="40"/>
    </row>
    <row r="4" spans="1:5" ht="15.75">
      <c r="A4" s="28"/>
      <c r="B4" s="18"/>
      <c r="C4" s="18"/>
      <c r="D4" s="40"/>
      <c r="E4" s="40"/>
    </row>
    <row r="5" spans="1:5" ht="21.75">
      <c r="A5" s="184" t="s">
        <v>242</v>
      </c>
      <c r="B5" s="184"/>
      <c r="C5" s="184"/>
      <c r="D5" s="184"/>
      <c r="E5" s="184"/>
    </row>
    <row r="6" spans="1:5" ht="15.75">
      <c r="A6" s="18"/>
      <c r="B6" s="18"/>
      <c r="C6" s="18"/>
      <c r="D6" s="40"/>
      <c r="E6" s="41" t="s">
        <v>61</v>
      </c>
    </row>
    <row r="7" spans="1:5" ht="12.75">
      <c r="A7" s="182" t="s">
        <v>141</v>
      </c>
      <c r="B7" s="181" t="s">
        <v>57</v>
      </c>
      <c r="C7" s="183" t="s">
        <v>58</v>
      </c>
      <c r="D7" s="180" t="s">
        <v>59</v>
      </c>
      <c r="E7" s="180" t="s">
        <v>60</v>
      </c>
    </row>
    <row r="8" spans="1:5" ht="12.75">
      <c r="A8" s="182"/>
      <c r="B8" s="181"/>
      <c r="C8" s="183"/>
      <c r="D8" s="180"/>
      <c r="E8" s="180"/>
    </row>
    <row r="9" spans="1:5" ht="19.5" customHeight="1">
      <c r="A9" s="119">
        <v>1</v>
      </c>
      <c r="B9" s="120">
        <v>2</v>
      </c>
      <c r="C9" s="120">
        <v>3</v>
      </c>
      <c r="D9" s="121">
        <v>4</v>
      </c>
      <c r="E9" s="121">
        <v>5</v>
      </c>
    </row>
    <row r="10" spans="1:7" ht="19.5" customHeight="1">
      <c r="A10" s="117" t="s">
        <v>178</v>
      </c>
      <c r="B10" s="124" t="s">
        <v>197</v>
      </c>
      <c r="C10" s="122" t="s">
        <v>199</v>
      </c>
      <c r="D10" s="118">
        <f>'ban co ca nam 2010'!BJ49+'ban co ca nam 2010'!BJ50+'ban co ca nam 2010'!BJ51</f>
        <v>113185237220</v>
      </c>
      <c r="E10" s="118">
        <v>62892263070</v>
      </c>
      <c r="F10" s="137"/>
      <c r="G10" s="19"/>
    </row>
    <row r="11" spans="1:5" ht="19.5" customHeight="1">
      <c r="A11" s="21" t="s">
        <v>179</v>
      </c>
      <c r="B11" s="125" t="s">
        <v>198</v>
      </c>
      <c r="C11" s="123"/>
      <c r="D11" s="50">
        <f>'ban co ca nam 2010'!BK52</f>
        <v>553183044</v>
      </c>
      <c r="E11" s="50">
        <v>6441025001</v>
      </c>
    </row>
    <row r="12" spans="1:5" ht="30">
      <c r="A12" s="45" t="s">
        <v>180</v>
      </c>
      <c r="B12" s="126">
        <v>10</v>
      </c>
      <c r="C12" s="123"/>
      <c r="D12" s="42">
        <f>D10-D11</f>
        <v>112632054176</v>
      </c>
      <c r="E12" s="42">
        <f>E10-E11</f>
        <v>56451238069</v>
      </c>
    </row>
    <row r="13" spans="1:5" ht="19.5" customHeight="1">
      <c r="A13" s="21" t="s">
        <v>181</v>
      </c>
      <c r="B13" s="126">
        <v>11</v>
      </c>
      <c r="C13" s="123" t="s">
        <v>200</v>
      </c>
      <c r="D13" s="42">
        <f>'ban co ca nam 2010'!BH60</f>
        <v>91812134465</v>
      </c>
      <c r="E13" s="42">
        <v>43153255008</v>
      </c>
    </row>
    <row r="14" spans="1:5" ht="30">
      <c r="A14" s="45" t="s">
        <v>182</v>
      </c>
      <c r="B14" s="126">
        <v>20</v>
      </c>
      <c r="C14" s="123"/>
      <c r="D14" s="42">
        <f>D12-D13</f>
        <v>20819919711</v>
      </c>
      <c r="E14" s="42">
        <f>E12-E13</f>
        <v>13297983061</v>
      </c>
    </row>
    <row r="15" spans="1:5" ht="19.5" customHeight="1">
      <c r="A15" s="21" t="s">
        <v>183</v>
      </c>
      <c r="B15" s="126">
        <v>21</v>
      </c>
      <c r="C15" s="123" t="s">
        <v>202</v>
      </c>
      <c r="D15" s="42">
        <f>'ban co ca nam 2010'!BJ54</f>
        <v>3171069370</v>
      </c>
      <c r="E15" s="42">
        <v>1231248271</v>
      </c>
    </row>
    <row r="16" spans="1:5" ht="19.5" customHeight="1">
      <c r="A16" s="21" t="s">
        <v>184</v>
      </c>
      <c r="B16" s="126">
        <v>22</v>
      </c>
      <c r="C16" s="123" t="s">
        <v>201</v>
      </c>
      <c r="D16" s="42"/>
      <c r="E16" s="42"/>
    </row>
    <row r="17" spans="1:5" ht="19.5" customHeight="1">
      <c r="A17" s="22" t="s">
        <v>185</v>
      </c>
      <c r="B17" s="126">
        <v>23</v>
      </c>
      <c r="C17" s="123"/>
      <c r="D17" s="42"/>
      <c r="E17" s="42"/>
    </row>
    <row r="18" spans="1:5" ht="19.5" customHeight="1">
      <c r="A18" s="21" t="s">
        <v>186</v>
      </c>
      <c r="B18" s="126">
        <v>24</v>
      </c>
      <c r="C18" s="123"/>
      <c r="D18" s="42">
        <f>'ban co ca nam 2010'!BH58</f>
        <v>1696725547</v>
      </c>
      <c r="E18" s="42">
        <v>1499425519</v>
      </c>
    </row>
    <row r="19" spans="1:6" ht="19.5" customHeight="1">
      <c r="A19" s="21" t="s">
        <v>187</v>
      </c>
      <c r="B19" s="126">
        <v>25</v>
      </c>
      <c r="C19" s="123"/>
      <c r="D19" s="42">
        <f>'ban co ca nam 2010'!BH59</f>
        <v>17290083403</v>
      </c>
      <c r="E19" s="42">
        <v>11904381706</v>
      </c>
      <c r="F19" s="137"/>
    </row>
    <row r="20" spans="1:5" ht="30.75">
      <c r="A20" s="45" t="s">
        <v>188</v>
      </c>
      <c r="B20" s="126">
        <v>30</v>
      </c>
      <c r="C20" s="123"/>
      <c r="D20" s="42">
        <f>D14+D15-D16-D18-D19</f>
        <v>5004180131</v>
      </c>
      <c r="E20" s="42">
        <f>E14+E15-E16-E18-E19</f>
        <v>1125424107</v>
      </c>
    </row>
    <row r="21" spans="1:5" ht="19.5" customHeight="1">
      <c r="A21" s="21" t="s">
        <v>189</v>
      </c>
      <c r="B21" s="126">
        <v>31</v>
      </c>
      <c r="C21" s="123"/>
      <c r="D21" s="42">
        <f>'ban co ca nam 2010'!BF63</f>
        <v>769198104</v>
      </c>
      <c r="E21" s="42">
        <v>972764782</v>
      </c>
    </row>
    <row r="22" spans="1:5" ht="19.5" customHeight="1">
      <c r="A22" s="21" t="s">
        <v>190</v>
      </c>
      <c r="B22" s="126">
        <v>32</v>
      </c>
      <c r="C22" s="123"/>
      <c r="D22" s="42">
        <f>'ban co ca nam 2010'!BH62</f>
        <v>437544938</v>
      </c>
      <c r="E22" s="42">
        <v>86888073</v>
      </c>
    </row>
    <row r="23" spans="1:5" ht="19.5" customHeight="1">
      <c r="A23" s="21" t="s">
        <v>191</v>
      </c>
      <c r="B23" s="126">
        <v>40</v>
      </c>
      <c r="C23" s="123"/>
      <c r="D23" s="42">
        <f>D21-D22</f>
        <v>331653166</v>
      </c>
      <c r="E23" s="42">
        <f>E21-E22</f>
        <v>885876709</v>
      </c>
    </row>
    <row r="24" spans="1:5" ht="19.5" customHeight="1">
      <c r="A24" s="21" t="s">
        <v>192</v>
      </c>
      <c r="B24" s="126">
        <v>50</v>
      </c>
      <c r="C24" s="123"/>
      <c r="D24" s="42">
        <f>D20+D23</f>
        <v>5335833297</v>
      </c>
      <c r="E24" s="42">
        <f>E20+E23</f>
        <v>2011300816</v>
      </c>
    </row>
    <row r="25" spans="1:5" ht="19.5" customHeight="1">
      <c r="A25" s="21" t="s">
        <v>193</v>
      </c>
      <c r="B25" s="126">
        <v>51</v>
      </c>
      <c r="C25" s="123" t="s">
        <v>203</v>
      </c>
      <c r="D25" s="42">
        <f>D24*25%+1</f>
        <v>1333958325.25</v>
      </c>
      <c r="E25" s="42">
        <v>502825204</v>
      </c>
    </row>
    <row r="26" spans="1:5" ht="19.5" customHeight="1">
      <c r="A26" s="21" t="s">
        <v>194</v>
      </c>
      <c r="B26" s="126">
        <v>52</v>
      </c>
      <c r="C26" s="123" t="s">
        <v>203</v>
      </c>
      <c r="D26" s="42"/>
      <c r="E26" s="42"/>
    </row>
    <row r="27" spans="1:5" ht="19.5" customHeight="1">
      <c r="A27" s="21" t="s">
        <v>195</v>
      </c>
      <c r="B27" s="126">
        <v>60</v>
      </c>
      <c r="C27" s="123"/>
      <c r="D27" s="42">
        <f>D24-D25</f>
        <v>4001874971.75</v>
      </c>
      <c r="E27" s="42">
        <f>E24-E25</f>
        <v>1508475612</v>
      </c>
    </row>
    <row r="28" spans="1:5" ht="19.5" customHeight="1">
      <c r="A28" s="23" t="s">
        <v>196</v>
      </c>
      <c r="B28" s="127">
        <v>70</v>
      </c>
      <c r="C28" s="39"/>
      <c r="D28" s="44"/>
      <c r="E28" s="44"/>
    </row>
    <row r="29" spans="1:6" s="135" customFormat="1" ht="16.5">
      <c r="A29" s="2"/>
      <c r="B29" s="2"/>
      <c r="C29" s="2"/>
      <c r="D29" s="189" t="s">
        <v>251</v>
      </c>
      <c r="E29" s="189"/>
      <c r="F29" s="138"/>
    </row>
    <row r="30" spans="1:5" ht="15.75">
      <c r="A30" s="18"/>
      <c r="B30" s="18"/>
      <c r="C30" s="18"/>
      <c r="D30" s="134"/>
      <c r="E30" s="134"/>
    </row>
    <row r="31" spans="1:6" s="128" customFormat="1" ht="17.25">
      <c r="A31" s="190" t="s">
        <v>239</v>
      </c>
      <c r="B31" s="190"/>
      <c r="C31" s="190"/>
      <c r="D31" s="190"/>
      <c r="E31" s="190"/>
      <c r="F31" s="139"/>
    </row>
    <row r="48" spans="1:5" ht="16.5">
      <c r="A48" s="27" t="s">
        <v>54</v>
      </c>
      <c r="B48" s="18"/>
      <c r="C48" s="18"/>
      <c r="D48" s="40"/>
      <c r="E48" s="40"/>
    </row>
    <row r="49" spans="1:5" ht="15.75">
      <c r="A49" s="28" t="s">
        <v>55</v>
      </c>
      <c r="B49" s="18"/>
      <c r="C49" s="18"/>
      <c r="D49" s="40"/>
      <c r="E49" s="40"/>
    </row>
    <row r="50" spans="1:5" ht="15.75">
      <c r="A50" s="28"/>
      <c r="B50" s="18"/>
      <c r="C50" s="18"/>
      <c r="D50" s="40"/>
      <c r="E50" s="40"/>
    </row>
    <row r="51" spans="1:5" ht="21.75">
      <c r="A51" s="184" t="s">
        <v>214</v>
      </c>
      <c r="B51" s="184"/>
      <c r="C51" s="184"/>
      <c r="D51" s="184"/>
      <c r="E51" s="184"/>
    </row>
    <row r="52" spans="1:5" ht="15.75">
      <c r="A52" s="18"/>
      <c r="B52" s="18"/>
      <c r="C52" s="18"/>
      <c r="D52" s="40"/>
      <c r="E52" s="41" t="s">
        <v>61</v>
      </c>
    </row>
    <row r="53" spans="1:5" ht="12.75">
      <c r="A53" s="182" t="s">
        <v>141</v>
      </c>
      <c r="B53" s="181" t="s">
        <v>57</v>
      </c>
      <c r="C53" s="183" t="s">
        <v>58</v>
      </c>
      <c r="D53" s="180" t="s">
        <v>59</v>
      </c>
      <c r="E53" s="180" t="s">
        <v>60</v>
      </c>
    </row>
    <row r="54" spans="1:5" ht="12.75">
      <c r="A54" s="182"/>
      <c r="B54" s="181"/>
      <c r="C54" s="183"/>
      <c r="D54" s="180"/>
      <c r="E54" s="180"/>
    </row>
    <row r="55" spans="1:5" ht="20.25" customHeight="1">
      <c r="A55" s="46">
        <v>1</v>
      </c>
      <c r="B55" s="47">
        <v>2</v>
      </c>
      <c r="C55" s="47">
        <v>3</v>
      </c>
      <c r="D55" s="48">
        <v>4</v>
      </c>
      <c r="E55" s="48">
        <v>5</v>
      </c>
    </row>
    <row r="56" spans="1:7" ht="20.25" customHeight="1">
      <c r="A56" s="21" t="s">
        <v>178</v>
      </c>
      <c r="B56" s="49" t="s">
        <v>197</v>
      </c>
      <c r="C56" s="33" t="s">
        <v>199</v>
      </c>
      <c r="D56" s="52">
        <v>5084949992</v>
      </c>
      <c r="E56" s="50">
        <v>40629486334</v>
      </c>
      <c r="F56" s="137"/>
      <c r="G56" s="19"/>
    </row>
    <row r="57" spans="1:5" ht="20.25" customHeight="1">
      <c r="A57" s="21" t="s">
        <v>179</v>
      </c>
      <c r="B57" s="49" t="s">
        <v>198</v>
      </c>
      <c r="C57" s="33"/>
      <c r="D57" s="52">
        <f>'ban co ca nam 2010'!BK54</f>
        <v>3171069370</v>
      </c>
      <c r="E57" s="50">
        <v>7010000</v>
      </c>
    </row>
    <row r="58" spans="1:5" ht="30">
      <c r="A58" s="45" t="s">
        <v>180</v>
      </c>
      <c r="B58" s="33">
        <v>10</v>
      </c>
      <c r="C58" s="33"/>
      <c r="D58" s="50">
        <f>D56-D57</f>
        <v>1913880622</v>
      </c>
      <c r="E58" s="42">
        <f>E56-E57</f>
        <v>40622476334</v>
      </c>
    </row>
    <row r="59" spans="1:5" ht="20.25" customHeight="1">
      <c r="A59" s="21" t="s">
        <v>181</v>
      </c>
      <c r="B59" s="33">
        <v>11</v>
      </c>
      <c r="C59" s="33" t="s">
        <v>200</v>
      </c>
      <c r="D59" s="52">
        <v>4351767053</v>
      </c>
      <c r="E59" s="42">
        <v>34167679421</v>
      </c>
    </row>
    <row r="60" spans="1:5" ht="30">
      <c r="A60" s="45" t="s">
        <v>182</v>
      </c>
      <c r="B60" s="33">
        <v>20</v>
      </c>
      <c r="C60" s="33"/>
      <c r="D60" s="50">
        <f>D58-D59</f>
        <v>-2437886431</v>
      </c>
      <c r="E60" s="42">
        <f>E58-E59</f>
        <v>6454796913</v>
      </c>
    </row>
    <row r="61" spans="1:5" ht="20.25" customHeight="1">
      <c r="A61" s="21" t="s">
        <v>183</v>
      </c>
      <c r="B61" s="33">
        <v>21</v>
      </c>
      <c r="C61" s="33" t="s">
        <v>202</v>
      </c>
      <c r="D61" s="52">
        <f>'ban co ca nam 2010'!BL52</f>
        <v>553183044</v>
      </c>
      <c r="E61" s="42">
        <v>708283252</v>
      </c>
    </row>
    <row r="62" spans="1:5" ht="20.25" customHeight="1">
      <c r="A62" s="21" t="s">
        <v>184</v>
      </c>
      <c r="B62" s="33">
        <v>22</v>
      </c>
      <c r="C62" s="33" t="s">
        <v>201</v>
      </c>
      <c r="D62" s="52">
        <f>'ban co ca nam 2010'!BK62</f>
        <v>437544938</v>
      </c>
      <c r="E62" s="42"/>
    </row>
    <row r="63" spans="1:5" ht="20.25" customHeight="1">
      <c r="A63" s="22" t="s">
        <v>185</v>
      </c>
      <c r="B63" s="33">
        <v>23</v>
      </c>
      <c r="C63" s="33"/>
      <c r="D63" s="50"/>
      <c r="E63" s="42"/>
    </row>
    <row r="64" spans="1:5" ht="20.25" customHeight="1">
      <c r="A64" s="21" t="s">
        <v>186</v>
      </c>
      <c r="B64" s="33">
        <v>24</v>
      </c>
      <c r="C64" s="33"/>
      <c r="D64" s="52">
        <f>'ban co ca nam 2010'!BK58</f>
        <v>1696725547</v>
      </c>
      <c r="E64" s="42">
        <v>1101775704</v>
      </c>
    </row>
    <row r="65" spans="1:6" ht="20.25" customHeight="1">
      <c r="A65" s="21" t="s">
        <v>187</v>
      </c>
      <c r="B65" s="33">
        <v>25</v>
      </c>
      <c r="C65" s="33"/>
      <c r="D65" s="52">
        <f>2474439378-3179000</f>
        <v>2471260378</v>
      </c>
      <c r="E65" s="42">
        <v>5504634978</v>
      </c>
      <c r="F65" s="137"/>
    </row>
    <row r="66" spans="1:5" ht="30.75">
      <c r="A66" s="45" t="s">
        <v>188</v>
      </c>
      <c r="B66" s="33">
        <v>30</v>
      </c>
      <c r="C66" s="33"/>
      <c r="D66" s="42">
        <f>D60+D61-D62-D64-D65</f>
        <v>-6490234250</v>
      </c>
      <c r="E66" s="42">
        <f>E60+E61-E62-E64-E65</f>
        <v>556669483</v>
      </c>
    </row>
    <row r="67" spans="1:5" ht="20.25" customHeight="1">
      <c r="A67" s="21" t="s">
        <v>189</v>
      </c>
      <c r="B67" s="33">
        <v>31</v>
      </c>
      <c r="C67" s="33"/>
      <c r="D67" s="52">
        <f>'ban co ca nam 2010'!BL61</f>
        <v>769198104</v>
      </c>
      <c r="E67" s="42">
        <v>70001100</v>
      </c>
    </row>
    <row r="68" spans="1:5" ht="20.25" customHeight="1">
      <c r="A68" s="21" t="s">
        <v>190</v>
      </c>
      <c r="B68" s="33">
        <v>32</v>
      </c>
      <c r="C68" s="33"/>
      <c r="D68" s="50"/>
      <c r="E68" s="42">
        <v>7301421</v>
      </c>
    </row>
    <row r="69" spans="1:5" ht="20.25" customHeight="1">
      <c r="A69" s="21" t="s">
        <v>191</v>
      </c>
      <c r="B69" s="33">
        <v>40</v>
      </c>
      <c r="C69" s="33"/>
      <c r="D69" s="50">
        <f>D67-D68</f>
        <v>769198104</v>
      </c>
      <c r="E69" s="42">
        <f>E67-E68</f>
        <v>62699679</v>
      </c>
    </row>
    <row r="70" spans="1:5" ht="20.25" customHeight="1">
      <c r="A70" s="21" t="s">
        <v>192</v>
      </c>
      <c r="B70" s="33">
        <v>50</v>
      </c>
      <c r="C70" s="33"/>
      <c r="D70" s="50">
        <f>D66+D69</f>
        <v>-5721036146</v>
      </c>
      <c r="E70" s="42">
        <f>E66+E69</f>
        <v>619369162</v>
      </c>
    </row>
    <row r="71" spans="1:5" ht="20.25" customHeight="1">
      <c r="A71" s="21" t="s">
        <v>193</v>
      </c>
      <c r="B71" s="33">
        <v>51</v>
      </c>
      <c r="C71" s="33" t="s">
        <v>203</v>
      </c>
      <c r="D71" s="50"/>
      <c r="E71" s="42">
        <f>E70*28%</f>
        <v>173423365.36</v>
      </c>
    </row>
    <row r="72" spans="1:5" ht="20.25" customHeight="1">
      <c r="A72" s="21" t="s">
        <v>194</v>
      </c>
      <c r="B72" s="33">
        <v>52</v>
      </c>
      <c r="C72" s="33" t="s">
        <v>203</v>
      </c>
      <c r="D72" s="18"/>
      <c r="E72" s="42"/>
    </row>
    <row r="73" spans="1:5" ht="20.25" customHeight="1">
      <c r="A73" s="21" t="s">
        <v>195</v>
      </c>
      <c r="B73" s="33">
        <v>60</v>
      </c>
      <c r="C73" s="33"/>
      <c r="D73" s="50">
        <f>D70-D71</f>
        <v>-5721036146</v>
      </c>
      <c r="E73" s="42">
        <f>E70-E71</f>
        <v>445945796.64</v>
      </c>
    </row>
    <row r="74" spans="1:5" ht="20.25" customHeight="1">
      <c r="A74" s="23" t="s">
        <v>196</v>
      </c>
      <c r="B74" s="39">
        <v>70</v>
      </c>
      <c r="C74" s="39"/>
      <c r="D74" s="44"/>
      <c r="E74" s="44"/>
    </row>
    <row r="75" spans="1:5" ht="15.75">
      <c r="A75" s="18"/>
      <c r="B75" s="18"/>
      <c r="C75" s="18"/>
      <c r="D75" s="186" t="s">
        <v>213</v>
      </c>
      <c r="E75" s="186"/>
    </row>
    <row r="76" spans="1:5" ht="15.75">
      <c r="A76" s="25" t="s">
        <v>177</v>
      </c>
      <c r="B76" s="25"/>
      <c r="C76" s="25"/>
      <c r="D76" s="191" t="s">
        <v>176</v>
      </c>
      <c r="E76" s="191"/>
    </row>
  </sheetData>
  <mergeCells count="16">
    <mergeCell ref="A31:E31"/>
    <mergeCell ref="D75:E75"/>
    <mergeCell ref="D76:E76"/>
    <mergeCell ref="A51:E51"/>
    <mergeCell ref="A53:A54"/>
    <mergeCell ref="B53:B54"/>
    <mergeCell ref="C53:C54"/>
    <mergeCell ref="D53:D54"/>
    <mergeCell ref="E53:E54"/>
    <mergeCell ref="D29:E29"/>
    <mergeCell ref="A5:E5"/>
    <mergeCell ref="A7:A8"/>
    <mergeCell ref="B7:B8"/>
    <mergeCell ref="C7:C8"/>
    <mergeCell ref="D7:D8"/>
    <mergeCell ref="E7:E8"/>
  </mergeCells>
  <printOptions/>
  <pageMargins left="0.53" right="0.24" top="0.2" bottom="0.17" header="0.39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88"/>
  <sheetViews>
    <sheetView zoomScale="120" zoomScaleNormal="12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47" sqref="AS47"/>
    </sheetView>
  </sheetViews>
  <sheetFormatPr defaultColWidth="9.00390625" defaultRowHeight="17.25" customHeight="1"/>
  <cols>
    <col min="1" max="1" width="10.75390625" style="75" bestFit="1" customWidth="1"/>
    <col min="2" max="2" width="7.625" style="75" bestFit="1" customWidth="1"/>
    <col min="3" max="3" width="14.00390625" style="75" customWidth="1"/>
    <col min="4" max="5" width="16.875" style="75" customWidth="1"/>
    <col min="6" max="6" width="15.375" style="75" customWidth="1"/>
    <col min="7" max="7" width="16.625" style="75" customWidth="1"/>
    <col min="8" max="8" width="13.875" style="75" customWidth="1"/>
    <col min="9" max="10" width="14.125" style="75" customWidth="1"/>
    <col min="11" max="11" width="12.875" style="75" customWidth="1"/>
    <col min="12" max="12" width="12.00390625" style="75" bestFit="1" customWidth="1"/>
    <col min="13" max="13" width="14.375" style="75" bestFit="1" customWidth="1"/>
    <col min="14" max="14" width="12.00390625" style="75" bestFit="1" customWidth="1"/>
    <col min="15" max="16" width="14.375" style="75" bestFit="1" customWidth="1"/>
    <col min="17" max="17" width="13.375" style="75" bestFit="1" customWidth="1"/>
    <col min="18" max="18" width="4.75390625" style="75" bestFit="1" customWidth="1"/>
    <col min="19" max="19" width="14.375" style="75" bestFit="1" customWidth="1"/>
    <col min="20" max="20" width="12.00390625" style="75" bestFit="1" customWidth="1"/>
    <col min="21" max="21" width="12.00390625" style="75" customWidth="1"/>
    <col min="22" max="22" width="16.00390625" style="75" customWidth="1"/>
    <col min="23" max="23" width="15.75390625" style="75" customWidth="1"/>
    <col min="24" max="24" width="5.125" style="75" bestFit="1" customWidth="1"/>
    <col min="25" max="25" width="14.00390625" style="75" customWidth="1"/>
    <col min="26" max="27" width="15.25390625" style="75" customWidth="1"/>
    <col min="28" max="28" width="14.25390625" style="75" customWidth="1"/>
    <col min="29" max="29" width="11.875" style="75" customWidth="1"/>
    <col min="30" max="30" width="16.25390625" style="75" customWidth="1"/>
    <col min="31" max="31" width="15.25390625" style="75" customWidth="1"/>
    <col min="32" max="32" width="13.75390625" style="75" customWidth="1"/>
    <col min="33" max="33" width="12.375" style="75" customWidth="1"/>
    <col min="34" max="34" width="15.625" style="75" customWidth="1"/>
    <col min="35" max="35" width="13.125" style="75" customWidth="1"/>
    <col min="36" max="36" width="13.625" style="75" bestFit="1" customWidth="1"/>
    <col min="37" max="38" width="15.625" style="75" customWidth="1"/>
    <col min="39" max="39" width="12.875" style="75" customWidth="1"/>
    <col min="40" max="40" width="5.125" style="75" bestFit="1" customWidth="1"/>
    <col min="41" max="41" width="11.125" style="75" bestFit="1" customWidth="1"/>
    <col min="42" max="43" width="4.75390625" style="75" bestFit="1" customWidth="1"/>
    <col min="44" max="44" width="5.125" style="75" bestFit="1" customWidth="1"/>
    <col min="45" max="45" width="13.375" style="75" bestFit="1" customWidth="1"/>
    <col min="46" max="46" width="13.75390625" style="75" customWidth="1"/>
    <col min="47" max="47" width="4.75390625" style="75" bestFit="1" customWidth="1"/>
    <col min="48" max="48" width="15.375" style="75" bestFit="1" customWidth="1"/>
    <col min="49" max="49" width="15.25390625" style="75" customWidth="1"/>
    <col min="50" max="50" width="10.75390625" style="75" bestFit="1" customWidth="1"/>
    <col min="51" max="51" width="13.375" style="75" bestFit="1" customWidth="1"/>
    <col min="52" max="52" width="15.00390625" style="75" customWidth="1"/>
    <col min="53" max="53" width="14.125" style="75" customWidth="1"/>
    <col min="54" max="54" width="16.375" style="75" customWidth="1"/>
    <col min="55" max="55" width="17.75390625" style="75" customWidth="1"/>
    <col min="56" max="56" width="18.625" style="75" customWidth="1"/>
    <col min="57" max="57" width="15.375" style="75" customWidth="1"/>
    <col min="58" max="58" width="13.875" style="75" customWidth="1"/>
    <col min="59" max="59" width="14.75390625" style="75" customWidth="1"/>
    <col min="60" max="60" width="15.375" style="75" bestFit="1" customWidth="1"/>
    <col min="61" max="61" width="5.375" style="75" customWidth="1"/>
    <col min="62" max="62" width="17.25390625" style="76" customWidth="1"/>
    <col min="63" max="63" width="17.375" style="75" customWidth="1"/>
    <col min="64" max="64" width="17.00390625" style="75" customWidth="1"/>
    <col min="65" max="65" width="16.375" style="75" customWidth="1"/>
    <col min="66" max="66" width="14.625" style="75" customWidth="1"/>
    <col min="67" max="67" width="10.375" style="75" bestFit="1" customWidth="1"/>
    <col min="68" max="68" width="8.875" style="75" customWidth="1"/>
    <col min="69" max="69" width="13.625" style="75" customWidth="1"/>
    <col min="70" max="70" width="16.375" style="75" customWidth="1"/>
    <col min="71" max="71" width="15.25390625" style="75" customWidth="1"/>
    <col min="72" max="16384" width="8.875" style="75" customWidth="1"/>
  </cols>
  <sheetData>
    <row r="1" spans="1:16" ht="17.25" customHeight="1">
      <c r="A1" s="171" t="s">
        <v>262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ht="17.25" customHeight="1">
      <c r="O2" s="75" t="s">
        <v>206</v>
      </c>
    </row>
    <row r="3" spans="1:64" s="77" customFormat="1" ht="17.25" customHeight="1">
      <c r="A3" s="78"/>
      <c r="B3" s="79" t="s">
        <v>0</v>
      </c>
      <c r="C3" s="79">
        <v>111</v>
      </c>
      <c r="D3" s="101">
        <v>1121</v>
      </c>
      <c r="E3" s="101">
        <v>1122</v>
      </c>
      <c r="F3" s="79">
        <v>128</v>
      </c>
      <c r="G3" s="79">
        <v>131</v>
      </c>
      <c r="H3" s="79">
        <v>133</v>
      </c>
      <c r="I3" s="79">
        <v>1388</v>
      </c>
      <c r="J3" s="79">
        <v>141</v>
      </c>
      <c r="K3" s="79">
        <v>142</v>
      </c>
      <c r="L3" s="79">
        <v>144</v>
      </c>
      <c r="M3" s="79">
        <v>152</v>
      </c>
      <c r="N3" s="79">
        <v>153</v>
      </c>
      <c r="O3" s="79">
        <v>154</v>
      </c>
      <c r="P3" s="79">
        <v>155</v>
      </c>
      <c r="Q3" s="79">
        <v>156</v>
      </c>
      <c r="R3" s="79">
        <v>159</v>
      </c>
      <c r="S3" s="79">
        <v>211</v>
      </c>
      <c r="T3" s="79">
        <v>214</v>
      </c>
      <c r="U3" s="79">
        <v>221</v>
      </c>
      <c r="V3" s="79">
        <v>222</v>
      </c>
      <c r="W3" s="79">
        <v>241</v>
      </c>
      <c r="X3" s="79">
        <v>242</v>
      </c>
      <c r="Y3" s="79">
        <v>311</v>
      </c>
      <c r="Z3" s="79">
        <v>331</v>
      </c>
      <c r="AA3" s="79">
        <v>3331</v>
      </c>
      <c r="AB3" s="79">
        <v>3334</v>
      </c>
      <c r="AC3" s="79">
        <v>3335</v>
      </c>
      <c r="AD3" s="79">
        <v>3337</v>
      </c>
      <c r="AE3" s="79">
        <v>334</v>
      </c>
      <c r="AF3" s="79">
        <v>3381</v>
      </c>
      <c r="AG3" s="79">
        <v>3382</v>
      </c>
      <c r="AH3" s="79">
        <v>3383</v>
      </c>
      <c r="AI3" s="79">
        <v>3384</v>
      </c>
      <c r="AJ3" s="79">
        <v>3387</v>
      </c>
      <c r="AK3" s="79">
        <v>3388</v>
      </c>
      <c r="AL3" s="79">
        <v>3389</v>
      </c>
      <c r="AM3" s="79">
        <v>351</v>
      </c>
      <c r="AN3" s="79">
        <v>411</v>
      </c>
      <c r="AO3" s="79">
        <v>413</v>
      </c>
      <c r="AP3" s="79">
        <v>414</v>
      </c>
      <c r="AQ3" s="79">
        <v>415</v>
      </c>
      <c r="AR3" s="79">
        <v>418</v>
      </c>
      <c r="AS3" s="79">
        <v>421</v>
      </c>
      <c r="AT3" s="79">
        <v>353</v>
      </c>
      <c r="AU3" s="79">
        <v>441</v>
      </c>
      <c r="AV3" s="79">
        <v>511</v>
      </c>
      <c r="AW3" s="79">
        <v>531</v>
      </c>
      <c r="AX3" s="79">
        <v>532</v>
      </c>
      <c r="AY3" s="79">
        <v>515</v>
      </c>
      <c r="AZ3" s="79" t="s">
        <v>1</v>
      </c>
      <c r="BA3" s="79" t="s">
        <v>215</v>
      </c>
      <c r="BB3" s="79" t="s">
        <v>3</v>
      </c>
      <c r="BC3" s="79">
        <v>641</v>
      </c>
      <c r="BD3" s="79">
        <v>642</v>
      </c>
      <c r="BE3" s="79">
        <v>632</v>
      </c>
      <c r="BF3" s="79">
        <v>711</v>
      </c>
      <c r="BG3" s="79">
        <v>811</v>
      </c>
      <c r="BH3" s="79">
        <v>911</v>
      </c>
      <c r="BI3" s="79"/>
      <c r="BJ3" s="79" t="s">
        <v>4</v>
      </c>
      <c r="BK3" s="79" t="s">
        <v>5</v>
      </c>
      <c r="BL3" s="80" t="s">
        <v>6</v>
      </c>
    </row>
    <row r="4" spans="1:65" ht="17.25" customHeight="1">
      <c r="A4" s="102">
        <v>1111</v>
      </c>
      <c r="B4" s="79">
        <v>1111</v>
      </c>
      <c r="C4" s="103"/>
      <c r="D4" s="103">
        <v>20017500000</v>
      </c>
      <c r="E4" s="81"/>
      <c r="F4" s="81">
        <v>1000000000</v>
      </c>
      <c r="G4" s="81">
        <v>5865147500</v>
      </c>
      <c r="H4" s="81">
        <v>305759458</v>
      </c>
      <c r="I4" s="81"/>
      <c r="J4" s="81">
        <v>563000000</v>
      </c>
      <c r="K4" s="81">
        <v>74750000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>
        <v>3100000000</v>
      </c>
      <c r="W4" s="81"/>
      <c r="X4" s="81"/>
      <c r="Y4" s="81">
        <v>10000000000</v>
      </c>
      <c r="Z4" s="81">
        <v>14083905498</v>
      </c>
      <c r="AA4" s="81"/>
      <c r="AB4" s="81"/>
      <c r="AC4" s="81"/>
      <c r="AD4" s="81"/>
      <c r="AE4" s="81">
        <v>8948785090</v>
      </c>
      <c r="AF4" s="81"/>
      <c r="AG4" s="81">
        <v>102883600</v>
      </c>
      <c r="AH4" s="81">
        <v>49044275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>
        <v>298590000</v>
      </c>
      <c r="AU4" s="81"/>
      <c r="AV4" s="81"/>
      <c r="AW4" s="81"/>
      <c r="AX4" s="81"/>
      <c r="AY4" s="81"/>
      <c r="AZ4" s="81">
        <v>241403300</v>
      </c>
      <c r="BA4" s="81">
        <v>134240400</v>
      </c>
      <c r="BB4" s="81">
        <v>47681792</v>
      </c>
      <c r="BC4" s="81">
        <v>234566730</v>
      </c>
      <c r="BD4" s="81">
        <v>4130765239</v>
      </c>
      <c r="BE4" s="81"/>
      <c r="BF4" s="81"/>
      <c r="BG4" s="81"/>
      <c r="BH4" s="81"/>
      <c r="BI4" s="81"/>
      <c r="BJ4" s="82">
        <f aca="true" t="shared" si="0" ref="BJ4:BJ64">SUM(C4:BI4)</f>
        <v>69198022882</v>
      </c>
      <c r="BK4" s="82">
        <f>C65</f>
        <v>69639855320</v>
      </c>
      <c r="BL4" s="103">
        <f>BJ4</f>
        <v>69198022882</v>
      </c>
      <c r="BM4" s="75">
        <f>BK4-BL4</f>
        <v>441832438</v>
      </c>
    </row>
    <row r="5" spans="1:65" ht="17.25" customHeight="1">
      <c r="A5" s="83">
        <v>1121</v>
      </c>
      <c r="B5" s="79">
        <v>1121</v>
      </c>
      <c r="C5" s="104"/>
      <c r="D5" s="84"/>
      <c r="E5" s="84"/>
      <c r="F5" s="84">
        <v>146000000000</v>
      </c>
      <c r="G5" s="84"/>
      <c r="H5" s="84">
        <v>3936336300</v>
      </c>
      <c r="I5" s="84">
        <v>10000000000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>
        <v>41270544933</v>
      </c>
      <c r="AA5" s="84">
        <v>7612233700</v>
      </c>
      <c r="AB5" s="84">
        <v>1440361925</v>
      </c>
      <c r="AC5" s="84">
        <v>17416186</v>
      </c>
      <c r="AD5" s="84">
        <v>420675600</v>
      </c>
      <c r="AE5" s="84">
        <v>1192242110</v>
      </c>
      <c r="AF5" s="84"/>
      <c r="AG5" s="84"/>
      <c r="AH5" s="84">
        <v>1481793345</v>
      </c>
      <c r="AI5" s="84">
        <v>237027779</v>
      </c>
      <c r="AJ5" s="84"/>
      <c r="AK5" s="84">
        <v>22024625000</v>
      </c>
      <c r="AL5" s="84">
        <v>103644415</v>
      </c>
      <c r="AM5" s="84"/>
      <c r="AN5" s="84"/>
      <c r="AO5" s="84"/>
      <c r="AP5" s="84"/>
      <c r="AQ5" s="84"/>
      <c r="AR5" s="84"/>
      <c r="AS5" s="84">
        <v>823045</v>
      </c>
      <c r="AT5" s="84">
        <v>110000000</v>
      </c>
      <c r="AU5" s="84"/>
      <c r="AV5" s="84"/>
      <c r="AW5" s="84"/>
      <c r="AX5" s="84"/>
      <c r="AY5" s="84"/>
      <c r="AZ5" s="84">
        <v>8042130</v>
      </c>
      <c r="BA5" s="84">
        <v>100592045</v>
      </c>
      <c r="BB5" s="84"/>
      <c r="BC5" s="84">
        <v>12757431</v>
      </c>
      <c r="BD5" s="84">
        <v>5340718027</v>
      </c>
      <c r="BE5" s="84"/>
      <c r="BF5" s="84"/>
      <c r="BG5" s="84">
        <v>11509136</v>
      </c>
      <c r="BH5" s="84"/>
      <c r="BI5" s="81"/>
      <c r="BJ5" s="82">
        <f t="shared" si="0"/>
        <v>241321343107</v>
      </c>
      <c r="BK5" s="85">
        <f>D65</f>
        <v>257235970924</v>
      </c>
      <c r="BL5" s="84">
        <f>BJ5</f>
        <v>241321343107</v>
      </c>
      <c r="BM5" s="75">
        <f aca="true" t="shared" si="1" ref="BM5:BM62">BK5-BL5</f>
        <v>15914627817</v>
      </c>
    </row>
    <row r="6" spans="1:64" ht="17.25" customHeight="1">
      <c r="A6" s="83">
        <v>1122</v>
      </c>
      <c r="B6" s="79">
        <v>1122</v>
      </c>
      <c r="C6" s="104"/>
      <c r="D6" s="105"/>
      <c r="E6" s="105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1"/>
      <c r="BJ6" s="82">
        <f t="shared" si="0"/>
        <v>0</v>
      </c>
      <c r="BK6" s="85">
        <f>E65</f>
        <v>286059</v>
      </c>
      <c r="BL6" s="84">
        <f>BJ6</f>
        <v>0</v>
      </c>
    </row>
    <row r="7" spans="1:65" ht="17.25" customHeight="1">
      <c r="A7" s="83">
        <v>128</v>
      </c>
      <c r="B7" s="79">
        <v>128</v>
      </c>
      <c r="C7" s="104"/>
      <c r="D7" s="105">
        <v>123000000000</v>
      </c>
      <c r="E7" s="105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1"/>
      <c r="BJ7" s="82">
        <f t="shared" si="0"/>
        <v>123000000000</v>
      </c>
      <c r="BK7" s="85">
        <f>F65</f>
        <v>147000000000</v>
      </c>
      <c r="BL7" s="84">
        <f aca="true" t="shared" si="2" ref="BL7:BL64">BJ7</f>
        <v>123000000000</v>
      </c>
      <c r="BM7" s="75">
        <f t="shared" si="1"/>
        <v>24000000000</v>
      </c>
    </row>
    <row r="8" spans="1:65" ht="17.25" customHeight="1">
      <c r="A8" s="83">
        <v>131</v>
      </c>
      <c r="B8" s="79">
        <v>131</v>
      </c>
      <c r="C8" s="104">
        <f>65393778530+3100000000</f>
        <v>68493778530</v>
      </c>
      <c r="D8" s="105">
        <v>69334344571</v>
      </c>
      <c r="E8" s="105"/>
      <c r="F8" s="84"/>
      <c r="G8" s="84"/>
      <c r="H8" s="162">
        <f>16928956</f>
        <v>16928956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>
        <v>553183044</v>
      </c>
      <c r="AX8" s="84"/>
      <c r="AY8" s="84"/>
      <c r="AZ8" s="84"/>
      <c r="BA8" s="84"/>
      <c r="BB8" s="84"/>
      <c r="BC8" s="84"/>
      <c r="BD8" s="84"/>
      <c r="BE8" s="84"/>
      <c r="BF8" s="84"/>
      <c r="BG8" s="84">
        <v>200</v>
      </c>
      <c r="BH8" s="84"/>
      <c r="BI8" s="81"/>
      <c r="BJ8" s="82">
        <f t="shared" si="0"/>
        <v>138398235301</v>
      </c>
      <c r="BK8" s="85">
        <f>G65</f>
        <v>170838974278</v>
      </c>
      <c r="BL8" s="84">
        <f t="shared" si="2"/>
        <v>138398235301</v>
      </c>
      <c r="BM8" s="75">
        <f t="shared" si="1"/>
        <v>32440738977</v>
      </c>
    </row>
    <row r="9" spans="1:65" ht="17.25" customHeight="1">
      <c r="A9" s="83">
        <v>133</v>
      </c>
      <c r="B9" s="79">
        <v>133</v>
      </c>
      <c r="C9" s="104"/>
      <c r="D9" s="105"/>
      <c r="E9" s="105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>
        <f>H65</f>
        <v>4315519784</v>
      </c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1"/>
      <c r="BJ9" s="82">
        <f t="shared" si="0"/>
        <v>4315519784</v>
      </c>
      <c r="BK9" s="85">
        <f>H65</f>
        <v>4315519784</v>
      </c>
      <c r="BL9" s="84">
        <f t="shared" si="2"/>
        <v>4315519784</v>
      </c>
      <c r="BM9" s="75">
        <f t="shared" si="1"/>
        <v>0</v>
      </c>
    </row>
    <row r="10" spans="1:65" ht="17.25" customHeight="1">
      <c r="A10" s="83">
        <v>1388</v>
      </c>
      <c r="B10" s="79">
        <v>1388</v>
      </c>
      <c r="C10" s="104"/>
      <c r="D10" s="105">
        <v>10000000000</v>
      </c>
      <c r="E10" s="105"/>
      <c r="F10" s="84"/>
      <c r="G10" s="84"/>
      <c r="H10" s="84"/>
      <c r="I10" s="84"/>
      <c r="J10" s="84"/>
      <c r="K10" s="84"/>
      <c r="L10" s="84"/>
      <c r="M10" s="84"/>
      <c r="N10" s="84"/>
      <c r="O10" s="84">
        <v>38321021190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1"/>
      <c r="BJ10" s="82">
        <f t="shared" si="0"/>
        <v>48321021190</v>
      </c>
      <c r="BK10" s="85">
        <f>I65</f>
        <v>10000000000</v>
      </c>
      <c r="BL10" s="84">
        <f t="shared" si="2"/>
        <v>48321021190</v>
      </c>
      <c r="BM10" s="75">
        <f t="shared" si="1"/>
        <v>-38321021190</v>
      </c>
    </row>
    <row r="11" spans="1:65" ht="17.25" customHeight="1">
      <c r="A11" s="83">
        <v>141</v>
      </c>
      <c r="B11" s="79">
        <v>141</v>
      </c>
      <c r="C11" s="104">
        <v>671864500</v>
      </c>
      <c r="D11" s="105"/>
      <c r="E11" s="105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1"/>
      <c r="BJ11" s="82">
        <f t="shared" si="0"/>
        <v>671864500</v>
      </c>
      <c r="BK11" s="85">
        <f>J65</f>
        <v>563000000</v>
      </c>
      <c r="BL11" s="84">
        <f t="shared" si="2"/>
        <v>671864500</v>
      </c>
      <c r="BM11" s="75">
        <f t="shared" si="1"/>
        <v>-108864500</v>
      </c>
    </row>
    <row r="12" spans="1:65" ht="17.25" customHeight="1">
      <c r="A12" s="83">
        <v>142</v>
      </c>
      <c r="B12" s="79">
        <v>142</v>
      </c>
      <c r="C12" s="104"/>
      <c r="D12" s="105"/>
      <c r="E12" s="105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>
        <v>16785000</v>
      </c>
      <c r="BA12" s="84"/>
      <c r="BB12" s="84"/>
      <c r="BC12" s="84">
        <v>31454547</v>
      </c>
      <c r="BD12" s="84">
        <v>74750000</v>
      </c>
      <c r="BE12" s="84"/>
      <c r="BF12" s="84"/>
      <c r="BG12" s="84"/>
      <c r="BH12" s="84"/>
      <c r="BI12" s="81"/>
      <c r="BJ12" s="82">
        <f t="shared" si="0"/>
        <v>122989547</v>
      </c>
      <c r="BK12" s="85">
        <f>K65</f>
        <v>74750000</v>
      </c>
      <c r="BL12" s="84">
        <f t="shared" si="2"/>
        <v>122989547</v>
      </c>
      <c r="BM12" s="75">
        <f t="shared" si="1"/>
        <v>-48239547</v>
      </c>
    </row>
    <row r="13" spans="1:65" ht="17.25" customHeight="1">
      <c r="A13" s="83">
        <v>144</v>
      </c>
      <c r="B13" s="79">
        <v>144</v>
      </c>
      <c r="C13" s="104"/>
      <c r="D13" s="105"/>
      <c r="E13" s="10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1"/>
      <c r="BJ13" s="82">
        <f t="shared" si="0"/>
        <v>0</v>
      </c>
      <c r="BK13" s="85">
        <f>L65</f>
        <v>0</v>
      </c>
      <c r="BL13" s="84">
        <f t="shared" si="2"/>
        <v>0</v>
      </c>
      <c r="BM13" s="75">
        <f t="shared" si="1"/>
        <v>0</v>
      </c>
    </row>
    <row r="14" spans="1:65" ht="17.25" customHeight="1">
      <c r="A14" s="83">
        <v>152</v>
      </c>
      <c r="B14" s="79">
        <v>152</v>
      </c>
      <c r="C14" s="104"/>
      <c r="D14" s="105"/>
      <c r="E14" s="10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>
        <v>3642004288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>
        <v>7008092594</v>
      </c>
      <c r="BA14" s="84">
        <v>1838175879</v>
      </c>
      <c r="BB14" s="84">
        <v>951048318</v>
      </c>
      <c r="BC14" s="84"/>
      <c r="BD14" s="84"/>
      <c r="BE14" s="84"/>
      <c r="BF14" s="84"/>
      <c r="BG14" s="84"/>
      <c r="BH14" s="84"/>
      <c r="BI14" s="81"/>
      <c r="BJ14" s="82">
        <f t="shared" si="0"/>
        <v>13439321079</v>
      </c>
      <c r="BK14" s="85">
        <f>M65</f>
        <v>12131496739</v>
      </c>
      <c r="BL14" s="84">
        <f t="shared" si="2"/>
        <v>13439321079</v>
      </c>
      <c r="BM14" s="75">
        <f t="shared" si="1"/>
        <v>-1307824340</v>
      </c>
    </row>
    <row r="15" spans="1:65" ht="17.25" customHeight="1">
      <c r="A15" s="83">
        <v>153</v>
      </c>
      <c r="B15" s="79">
        <v>153</v>
      </c>
      <c r="C15" s="104"/>
      <c r="D15" s="105"/>
      <c r="E15" s="10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>
        <v>343846775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>
        <v>50000000</v>
      </c>
      <c r="BA15" s="84">
        <v>30792000</v>
      </c>
      <c r="BB15" s="84">
        <v>3500000</v>
      </c>
      <c r="BC15" s="84">
        <v>25000000</v>
      </c>
      <c r="BD15" s="84">
        <v>50000000</v>
      </c>
      <c r="BE15" s="84"/>
      <c r="BF15" s="84"/>
      <c r="BG15" s="84"/>
      <c r="BH15" s="84"/>
      <c r="BI15" s="81"/>
      <c r="BJ15" s="82">
        <f t="shared" si="0"/>
        <v>503138775</v>
      </c>
      <c r="BK15" s="85">
        <f>N65</f>
        <v>225137988</v>
      </c>
      <c r="BL15" s="84">
        <f t="shared" si="2"/>
        <v>503138775</v>
      </c>
      <c r="BM15" s="75">
        <f t="shared" si="1"/>
        <v>-278000787</v>
      </c>
    </row>
    <row r="16" spans="1:65" ht="17.25" customHeight="1">
      <c r="A16" s="83">
        <v>154</v>
      </c>
      <c r="B16" s="79">
        <v>154</v>
      </c>
      <c r="C16" s="104"/>
      <c r="D16" s="105"/>
      <c r="E16" s="10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>
        <v>15989737023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>
        <f>21962646780+449037257+2040450140+6974170058+76795744+36733529172+1060133545+1881622346+2223793454-7037358043</f>
        <v>66364820453</v>
      </c>
      <c r="BF16" s="84"/>
      <c r="BG16" s="84"/>
      <c r="BH16" s="84"/>
      <c r="BI16" s="81"/>
      <c r="BJ16" s="82">
        <f t="shared" si="0"/>
        <v>82354557476</v>
      </c>
      <c r="BK16" s="85">
        <f>O65</f>
        <v>122029813413</v>
      </c>
      <c r="BL16" s="84">
        <f>BJ16</f>
        <v>82354557476</v>
      </c>
      <c r="BM16" s="75">
        <f t="shared" si="1"/>
        <v>39675255937</v>
      </c>
    </row>
    <row r="17" spans="1:65" ht="17.25" customHeight="1">
      <c r="A17" s="83">
        <v>155</v>
      </c>
      <c r="B17" s="79">
        <v>155</v>
      </c>
      <c r="C17" s="104"/>
      <c r="D17" s="105"/>
      <c r="E17" s="105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>
        <v>15513802400</v>
      </c>
      <c r="BF17" s="84"/>
      <c r="BG17" s="84"/>
      <c r="BH17" s="84"/>
      <c r="BI17" s="81"/>
      <c r="BJ17" s="82">
        <f t="shared" si="0"/>
        <v>15513802400</v>
      </c>
      <c r="BK17" s="85">
        <f>P65</f>
        <v>15989737023</v>
      </c>
      <c r="BL17" s="84">
        <f t="shared" si="2"/>
        <v>15513802400</v>
      </c>
      <c r="BM17" s="75">
        <f t="shared" si="1"/>
        <v>475934623</v>
      </c>
    </row>
    <row r="18" spans="1:65" ht="17.25" customHeight="1">
      <c r="A18" s="83">
        <v>156</v>
      </c>
      <c r="B18" s="79">
        <v>156</v>
      </c>
      <c r="C18" s="104"/>
      <c r="D18" s="105"/>
      <c r="E18" s="105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>
        <v>2896153569</v>
      </c>
      <c r="BF18" s="84"/>
      <c r="BG18" s="84"/>
      <c r="BH18" s="84"/>
      <c r="BI18" s="81"/>
      <c r="BJ18" s="82">
        <f t="shared" si="0"/>
        <v>2896153569</v>
      </c>
      <c r="BK18" s="85">
        <f>Q65</f>
        <v>3429810236</v>
      </c>
      <c r="BL18" s="84">
        <f t="shared" si="2"/>
        <v>2896153569</v>
      </c>
      <c r="BM18" s="75">
        <f t="shared" si="1"/>
        <v>533656667</v>
      </c>
    </row>
    <row r="19" spans="1:65" ht="17.25" customHeight="1">
      <c r="A19" s="83">
        <v>159</v>
      </c>
      <c r="B19" s="79">
        <v>159</v>
      </c>
      <c r="C19" s="104"/>
      <c r="D19" s="105"/>
      <c r="E19" s="105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1"/>
      <c r="BJ19" s="82">
        <f t="shared" si="0"/>
        <v>0</v>
      </c>
      <c r="BK19" s="85">
        <f>R65</f>
        <v>0</v>
      </c>
      <c r="BL19" s="84">
        <f t="shared" si="2"/>
        <v>0</v>
      </c>
      <c r="BM19" s="75">
        <f t="shared" si="1"/>
        <v>0</v>
      </c>
    </row>
    <row r="20" spans="1:65" ht="17.25" customHeight="1">
      <c r="A20" s="83">
        <v>211</v>
      </c>
      <c r="B20" s="79">
        <v>211</v>
      </c>
      <c r="C20" s="104"/>
      <c r="D20" s="105"/>
      <c r="E20" s="105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>
        <v>533656667</v>
      </c>
      <c r="R20" s="84"/>
      <c r="S20" s="84"/>
      <c r="T20" s="84">
        <f>598887974+289914913+75110731</f>
        <v>963913618</v>
      </c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>
        <f>129692192+253617285+42726125</f>
        <v>426035602</v>
      </c>
      <c r="BH20" s="84"/>
      <c r="BI20" s="81"/>
      <c r="BJ20" s="82">
        <f t="shared" si="0"/>
        <v>1923605887</v>
      </c>
      <c r="BK20" s="85">
        <f>S65</f>
        <v>1930014909</v>
      </c>
      <c r="BL20" s="84">
        <f t="shared" si="2"/>
        <v>1923605887</v>
      </c>
      <c r="BM20" s="75">
        <f t="shared" si="1"/>
        <v>6409022</v>
      </c>
    </row>
    <row r="21" spans="1:71" ht="17.25" customHeight="1">
      <c r="A21" s="83">
        <v>214</v>
      </c>
      <c r="B21" s="79">
        <v>214</v>
      </c>
      <c r="C21" s="104"/>
      <c r="D21" s="105"/>
      <c r="E21" s="105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>
        <v>293474821</v>
      </c>
      <c r="BA21" s="84">
        <v>92871240</v>
      </c>
      <c r="BB21" s="84">
        <v>7000000</v>
      </c>
      <c r="BC21" s="84">
        <v>234313998</v>
      </c>
      <c r="BD21" s="84">
        <v>537332300</v>
      </c>
      <c r="BE21" s="84"/>
      <c r="BF21" s="84"/>
      <c r="BG21" s="84"/>
      <c r="BH21" s="84"/>
      <c r="BI21" s="81"/>
      <c r="BJ21" s="82">
        <f t="shared" si="0"/>
        <v>1164992359</v>
      </c>
      <c r="BK21" s="85">
        <f>T65</f>
        <v>963913618</v>
      </c>
      <c r="BL21" s="84">
        <f t="shared" si="2"/>
        <v>1164992359</v>
      </c>
      <c r="BM21" s="75">
        <f t="shared" si="1"/>
        <v>-201078741</v>
      </c>
      <c r="BS21" s="75">
        <f>BQ21+BR21</f>
        <v>0</v>
      </c>
    </row>
    <row r="22" spans="1:64" ht="17.25" customHeight="1">
      <c r="A22" s="83">
        <v>221</v>
      </c>
      <c r="B22" s="79">
        <v>221</v>
      </c>
      <c r="C22" s="104"/>
      <c r="D22" s="105"/>
      <c r="E22" s="105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1"/>
      <c r="BJ22" s="82">
        <f t="shared" si="0"/>
        <v>0</v>
      </c>
      <c r="BK22" s="85">
        <f>U65</f>
        <v>0</v>
      </c>
      <c r="BL22" s="84">
        <f>BJ22</f>
        <v>0</v>
      </c>
    </row>
    <row r="23" spans="1:65" ht="17.25" customHeight="1">
      <c r="A23" s="83">
        <v>222</v>
      </c>
      <c r="B23" s="79">
        <v>222</v>
      </c>
      <c r="C23" s="104"/>
      <c r="D23" s="105">
        <v>2000000000</v>
      </c>
      <c r="E23" s="105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1"/>
      <c r="BJ23" s="82">
        <f t="shared" si="0"/>
        <v>2000000000</v>
      </c>
      <c r="BK23" s="85">
        <f>V65</f>
        <v>10137358043</v>
      </c>
      <c r="BL23" s="84">
        <f t="shared" si="2"/>
        <v>2000000000</v>
      </c>
      <c r="BM23" s="75">
        <f t="shared" si="1"/>
        <v>8137358043</v>
      </c>
    </row>
    <row r="24" spans="1:65" ht="17.25" customHeight="1">
      <c r="A24" s="83">
        <v>241</v>
      </c>
      <c r="B24" s="79">
        <v>241</v>
      </c>
      <c r="C24" s="104"/>
      <c r="D24" s="105"/>
      <c r="E24" s="10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>
        <v>7037358043</v>
      </c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1"/>
      <c r="BJ24" s="82">
        <f t="shared" si="0"/>
        <v>7037358043</v>
      </c>
      <c r="BK24" s="85">
        <f>W65</f>
        <v>7037358043</v>
      </c>
      <c r="BL24" s="84">
        <f t="shared" si="2"/>
        <v>7037358043</v>
      </c>
      <c r="BM24" s="75">
        <f t="shared" si="1"/>
        <v>0</v>
      </c>
    </row>
    <row r="25" spans="1:65" ht="17.25" customHeight="1">
      <c r="A25" s="83">
        <v>242</v>
      </c>
      <c r="B25" s="79">
        <v>242</v>
      </c>
      <c r="C25" s="104"/>
      <c r="D25" s="105"/>
      <c r="E25" s="10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1"/>
      <c r="BJ25" s="82">
        <f t="shared" si="0"/>
        <v>0</v>
      </c>
      <c r="BK25" s="85">
        <f>X65</f>
        <v>0</v>
      </c>
      <c r="BL25" s="84">
        <f>BJ25</f>
        <v>0</v>
      </c>
      <c r="BM25" s="75">
        <f t="shared" si="1"/>
        <v>0</v>
      </c>
    </row>
    <row r="26" spans="1:65" ht="17.25" customHeight="1">
      <c r="A26" s="83">
        <v>311</v>
      </c>
      <c r="B26" s="79">
        <v>311</v>
      </c>
      <c r="C26" s="104"/>
      <c r="D26" s="105"/>
      <c r="E26" s="10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1"/>
      <c r="BJ26" s="82">
        <f t="shared" si="0"/>
        <v>0</v>
      </c>
      <c r="BK26" s="85">
        <f>Y65</f>
        <v>10000000000</v>
      </c>
      <c r="BL26" s="84">
        <f t="shared" si="2"/>
        <v>0</v>
      </c>
      <c r="BM26" s="75">
        <f t="shared" si="1"/>
        <v>10000000000</v>
      </c>
    </row>
    <row r="27" spans="1:65" ht="17.25" customHeight="1">
      <c r="A27" s="83">
        <v>331</v>
      </c>
      <c r="B27" s="79">
        <v>331</v>
      </c>
      <c r="C27" s="104"/>
      <c r="D27" s="105">
        <v>132560000</v>
      </c>
      <c r="E27" s="105"/>
      <c r="F27" s="84"/>
      <c r="G27" s="84"/>
      <c r="H27" s="84">
        <v>56495070</v>
      </c>
      <c r="I27" s="84"/>
      <c r="J27" s="84"/>
      <c r="K27" s="84"/>
      <c r="L27" s="84"/>
      <c r="M27" s="84">
        <f>11810227503+321269236</f>
        <v>12131496739</v>
      </c>
      <c r="N27" s="84">
        <v>225137988</v>
      </c>
      <c r="O27" s="84">
        <f>74756413243-7037358043</f>
        <v>67719055200</v>
      </c>
      <c r="P27" s="84"/>
      <c r="Q27" s="84">
        <v>2896153569</v>
      </c>
      <c r="R27" s="84"/>
      <c r="S27" s="84">
        <f>8967372952-7037358043</f>
        <v>1930014909</v>
      </c>
      <c r="T27" s="84"/>
      <c r="U27" s="84"/>
      <c r="V27" s="84"/>
      <c r="W27" s="84">
        <v>7037358043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1"/>
      <c r="BJ27" s="82">
        <f t="shared" si="0"/>
        <v>92128271518</v>
      </c>
      <c r="BK27" s="85">
        <f>Z65</f>
        <v>59364341494</v>
      </c>
      <c r="BL27" s="84">
        <f t="shared" si="2"/>
        <v>92128271518</v>
      </c>
      <c r="BM27" s="75">
        <f t="shared" si="1"/>
        <v>-32763930024</v>
      </c>
    </row>
    <row r="28" spans="1:65" ht="17.25" customHeight="1">
      <c r="A28" s="83">
        <v>3331</v>
      </c>
      <c r="B28" s="79">
        <v>3331</v>
      </c>
      <c r="C28" s="104"/>
      <c r="D28" s="105"/>
      <c r="E28" s="105"/>
      <c r="F28" s="84"/>
      <c r="G28" s="84">
        <v>13695547092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1"/>
      <c r="BJ28" s="82">
        <f t="shared" si="0"/>
        <v>13695547092</v>
      </c>
      <c r="BK28" s="85">
        <f>AA65</f>
        <v>11927753484</v>
      </c>
      <c r="BL28" s="84">
        <f t="shared" si="2"/>
        <v>13695547092</v>
      </c>
      <c r="BM28" s="75">
        <f t="shared" si="1"/>
        <v>-1767793608</v>
      </c>
    </row>
    <row r="29" spans="1:65" ht="17.25" customHeight="1">
      <c r="A29" s="83">
        <v>3334</v>
      </c>
      <c r="B29" s="79">
        <v>3334</v>
      </c>
      <c r="C29" s="104"/>
      <c r="D29" s="105"/>
      <c r="E29" s="105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>
        <v>1179616012</v>
      </c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1"/>
      <c r="BJ29" s="82">
        <f t="shared" si="0"/>
        <v>1179616012</v>
      </c>
      <c r="BK29" s="85">
        <f>AB65</f>
        <v>1440361925</v>
      </c>
      <c r="BL29" s="84">
        <f>BJ29</f>
        <v>1179616012</v>
      </c>
      <c r="BM29" s="75">
        <f t="shared" si="1"/>
        <v>260745913</v>
      </c>
    </row>
    <row r="30" spans="1:65" ht="17.25" customHeight="1">
      <c r="A30" s="83">
        <v>3335</v>
      </c>
      <c r="B30" s="79">
        <v>3335</v>
      </c>
      <c r="C30" s="104">
        <f>4222580+11493106+67389841</f>
        <v>83105527</v>
      </c>
      <c r="D30" s="105"/>
      <c r="E30" s="105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1"/>
      <c r="BJ30" s="82">
        <f t="shared" si="0"/>
        <v>83105527</v>
      </c>
      <c r="BK30" s="85">
        <f>AC65</f>
        <v>17416186</v>
      </c>
      <c r="BL30" s="84">
        <f t="shared" si="2"/>
        <v>83105527</v>
      </c>
      <c r="BM30" s="75">
        <f t="shared" si="1"/>
        <v>-65689341</v>
      </c>
    </row>
    <row r="31" spans="1:65" ht="17.25" customHeight="1">
      <c r="A31" s="83">
        <v>3337</v>
      </c>
      <c r="B31" s="79">
        <v>3337</v>
      </c>
      <c r="C31" s="104"/>
      <c r="D31" s="105">
        <v>111760000</v>
      </c>
      <c r="E31" s="10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>
        <v>24040000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>
        <v>175980800</v>
      </c>
      <c r="BD31" s="84">
        <f>71521000</f>
        <v>71521000</v>
      </c>
      <c r="BE31" s="84"/>
      <c r="BF31" s="84"/>
      <c r="BG31" s="84"/>
      <c r="BH31" s="84"/>
      <c r="BI31" s="81"/>
      <c r="BJ31" s="82">
        <f t="shared" si="0"/>
        <v>383301800</v>
      </c>
      <c r="BK31" s="85">
        <f>AD65</f>
        <v>420675600</v>
      </c>
      <c r="BL31" s="84">
        <f t="shared" si="2"/>
        <v>383301800</v>
      </c>
      <c r="BM31" s="75">
        <f t="shared" si="1"/>
        <v>37373800</v>
      </c>
    </row>
    <row r="32" spans="1:65" ht="17.25" customHeight="1">
      <c r="A32" s="83">
        <v>334</v>
      </c>
      <c r="B32" s="79">
        <v>334</v>
      </c>
      <c r="C32" s="104">
        <v>15960000</v>
      </c>
      <c r="D32" s="105"/>
      <c r="E32" s="105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>
        <f>3325667900</f>
        <v>3325667900</v>
      </c>
      <c r="BA32" s="84">
        <v>921277700</v>
      </c>
      <c r="BB32" s="84">
        <v>517493500</v>
      </c>
      <c r="BC32" s="84">
        <v>890132650</v>
      </c>
      <c r="BD32" s="84">
        <f>4470495450+1759534000+209174000</f>
        <v>6439203450</v>
      </c>
      <c r="BE32" s="84"/>
      <c r="BF32" s="84"/>
      <c r="BG32" s="84"/>
      <c r="BH32" s="84"/>
      <c r="BI32" s="81"/>
      <c r="BJ32" s="82">
        <f t="shared" si="0"/>
        <v>12109735200</v>
      </c>
      <c r="BK32" s="85">
        <f>AE65</f>
        <v>10141027200</v>
      </c>
      <c r="BL32" s="84">
        <f t="shared" si="2"/>
        <v>12109735200</v>
      </c>
      <c r="BM32" s="75">
        <f t="shared" si="1"/>
        <v>-1968708000</v>
      </c>
    </row>
    <row r="33" spans="1:64" ht="17.25" customHeight="1">
      <c r="A33" s="83">
        <v>3381</v>
      </c>
      <c r="B33" s="79">
        <v>3381</v>
      </c>
      <c r="C33" s="104"/>
      <c r="D33" s="129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 t="s">
        <v>252</v>
      </c>
      <c r="BE33" s="84"/>
      <c r="BF33" s="84"/>
      <c r="BG33" s="84"/>
      <c r="BH33" s="84"/>
      <c r="BI33" s="81"/>
      <c r="BJ33" s="82">
        <f t="shared" si="0"/>
        <v>0</v>
      </c>
      <c r="BK33" s="85">
        <f>AF65</f>
        <v>0</v>
      </c>
      <c r="BL33" s="84">
        <f>BJ33</f>
        <v>0</v>
      </c>
    </row>
    <row r="34" spans="1:65" ht="17.25" customHeight="1">
      <c r="A34" s="83">
        <v>3382</v>
      </c>
      <c r="B34" s="79">
        <v>3382</v>
      </c>
      <c r="C34" s="104"/>
      <c r="E34" s="8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>
        <v>29384964</v>
      </c>
      <c r="BA34" s="84">
        <v>3733008</v>
      </c>
      <c r="BB34" s="84">
        <v>3390792</v>
      </c>
      <c r="BC34" s="84">
        <f>7065936+2025066</f>
        <v>9091002</v>
      </c>
      <c r="BD34" s="84">
        <f>57283834</f>
        <v>57283834</v>
      </c>
      <c r="BE34" s="84"/>
      <c r="BF34" s="84"/>
      <c r="BG34" s="84"/>
      <c r="BH34" s="84"/>
      <c r="BI34" s="81"/>
      <c r="BJ34" s="82">
        <f t="shared" si="0"/>
        <v>102883600</v>
      </c>
      <c r="BK34" s="85">
        <f>AG65</f>
        <v>102883600</v>
      </c>
      <c r="BL34" s="84">
        <f t="shared" si="2"/>
        <v>102883600</v>
      </c>
      <c r="BM34" s="75">
        <f t="shared" si="1"/>
        <v>0</v>
      </c>
    </row>
    <row r="35" spans="1:65" ht="17.25" customHeight="1">
      <c r="A35" s="83">
        <v>3383</v>
      </c>
      <c r="B35" s="79">
        <v>3383</v>
      </c>
      <c r="C35" s="104">
        <v>264633882</v>
      </c>
      <c r="D35" s="105">
        <v>415623042</v>
      </c>
      <c r="E35" s="105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>
        <v>235079712</v>
      </c>
      <c r="BA35" s="84">
        <v>29864064</v>
      </c>
      <c r="BB35" s="84">
        <v>27126336</v>
      </c>
      <c r="BC35" s="84">
        <f>56527488</f>
        <v>56527488</v>
      </c>
      <c r="BD35" s="84">
        <v>458270669</v>
      </c>
      <c r="BE35" s="84"/>
      <c r="BF35" s="84"/>
      <c r="BG35" s="84"/>
      <c r="BH35" s="84"/>
      <c r="BI35" s="81"/>
      <c r="BJ35" s="82">
        <f t="shared" si="0"/>
        <v>1487125193</v>
      </c>
      <c r="BK35" s="85">
        <f>AH65</f>
        <v>1530837620</v>
      </c>
      <c r="BL35" s="84">
        <f t="shared" si="2"/>
        <v>1487125193</v>
      </c>
      <c r="BM35" s="75">
        <f t="shared" si="1"/>
        <v>43712427</v>
      </c>
    </row>
    <row r="36" spans="1:65" ht="17.25" customHeight="1">
      <c r="A36" s="83">
        <v>3384</v>
      </c>
      <c r="B36" s="80">
        <v>3384</v>
      </c>
      <c r="C36" s="104">
        <v>66053969</v>
      </c>
      <c r="D36" s="106"/>
      <c r="E36" s="10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4">
        <v>44077446</v>
      </c>
      <c r="BA36" s="84">
        <v>5599512</v>
      </c>
      <c r="BB36" s="84">
        <v>5088188</v>
      </c>
      <c r="BC36" s="84">
        <f>10598904+12769029</f>
        <v>23367933</v>
      </c>
      <c r="BD36" s="84">
        <f>85925750+6914981</f>
        <v>92840731</v>
      </c>
      <c r="BE36" s="84"/>
      <c r="BF36" s="86"/>
      <c r="BG36" s="86"/>
      <c r="BH36" s="86"/>
      <c r="BI36" s="87"/>
      <c r="BJ36" s="82">
        <f t="shared" si="0"/>
        <v>237027779</v>
      </c>
      <c r="BK36" s="85">
        <f>AI65</f>
        <v>237027779</v>
      </c>
      <c r="BL36" s="84">
        <f t="shared" si="2"/>
        <v>237027779</v>
      </c>
      <c r="BM36" s="75">
        <f t="shared" si="1"/>
        <v>0</v>
      </c>
    </row>
    <row r="37" spans="1:65" ht="17.25" customHeight="1">
      <c r="A37" s="83">
        <v>3387</v>
      </c>
      <c r="B37" s="80">
        <v>3387</v>
      </c>
      <c r="C37" s="104"/>
      <c r="D37" s="106"/>
      <c r="E37" s="106"/>
      <c r="F37" s="86"/>
      <c r="G37" s="86">
        <v>47207990107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7"/>
      <c r="BJ37" s="82">
        <f t="shared" si="0"/>
        <v>47207990107</v>
      </c>
      <c r="BK37" s="88">
        <f>AJ65</f>
        <v>2223793454</v>
      </c>
      <c r="BL37" s="84">
        <f>BJ37</f>
        <v>47207990107</v>
      </c>
      <c r="BM37" s="75">
        <f t="shared" si="1"/>
        <v>-44984196653</v>
      </c>
    </row>
    <row r="38" spans="1:64" ht="17.25" customHeight="1">
      <c r="A38" s="83">
        <v>3388</v>
      </c>
      <c r="B38" s="80">
        <v>3388</v>
      </c>
      <c r="C38" s="104"/>
      <c r="D38" s="106">
        <v>22024625000</v>
      </c>
      <c r="E38" s="10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7"/>
      <c r="BJ38" s="82">
        <f t="shared" si="0"/>
        <v>22024625000</v>
      </c>
      <c r="BK38" s="88">
        <f>AK65</f>
        <v>22024625000</v>
      </c>
      <c r="BL38" s="84">
        <f t="shared" si="2"/>
        <v>22024625000</v>
      </c>
    </row>
    <row r="39" spans="1:65" ht="17.25" customHeight="1">
      <c r="A39" s="83">
        <v>3389</v>
      </c>
      <c r="B39" s="79">
        <v>3389</v>
      </c>
      <c r="C39" s="104">
        <v>44458912</v>
      </c>
      <c r="D39" s="105"/>
      <c r="E39" s="10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>
        <v>14692482</v>
      </c>
      <c r="BA39" s="84">
        <v>1866504</v>
      </c>
      <c r="BB39" s="84">
        <v>1695396</v>
      </c>
      <c r="BC39" s="84">
        <v>3532968</v>
      </c>
      <c r="BD39" s="84">
        <f>28641917+8756236</f>
        <v>37398153</v>
      </c>
      <c r="BE39" s="84"/>
      <c r="BF39" s="84"/>
      <c r="BG39" s="84"/>
      <c r="BH39" s="84"/>
      <c r="BI39" s="81"/>
      <c r="BJ39" s="82">
        <f t="shared" si="0"/>
        <v>103644415</v>
      </c>
      <c r="BK39" s="85">
        <f>AL65</f>
        <v>103644415</v>
      </c>
      <c r="BL39" s="84">
        <f t="shared" si="2"/>
        <v>103644415</v>
      </c>
      <c r="BM39" s="75">
        <f t="shared" si="1"/>
        <v>0</v>
      </c>
    </row>
    <row r="40" spans="1:64" ht="17.25" customHeight="1">
      <c r="A40" s="83">
        <v>351</v>
      </c>
      <c r="B40" s="79">
        <v>351</v>
      </c>
      <c r="C40" s="104"/>
      <c r="D40" s="105"/>
      <c r="E40" s="105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1"/>
      <c r="BJ40" s="82">
        <f t="shared" si="0"/>
        <v>0</v>
      </c>
      <c r="BK40" s="85">
        <f>AM65</f>
        <v>0</v>
      </c>
      <c r="BL40" s="84">
        <f t="shared" si="2"/>
        <v>0</v>
      </c>
    </row>
    <row r="41" spans="1:65" ht="17.25" customHeight="1">
      <c r="A41" s="83">
        <v>411</v>
      </c>
      <c r="B41" s="79">
        <v>411</v>
      </c>
      <c r="C41" s="104"/>
      <c r="D41" s="105">
        <v>7022250000</v>
      </c>
      <c r="E41" s="105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>
        <v>2388166871</v>
      </c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1"/>
      <c r="BJ41" s="82">
        <f t="shared" si="0"/>
        <v>9410416871</v>
      </c>
      <c r="BK41" s="85">
        <f>AN65</f>
        <v>0</v>
      </c>
      <c r="BL41" s="84">
        <f t="shared" si="2"/>
        <v>9410416871</v>
      </c>
      <c r="BM41" s="75">
        <f t="shared" si="1"/>
        <v>-9410416871</v>
      </c>
    </row>
    <row r="42" spans="1:65" ht="17.25" customHeight="1">
      <c r="A42" s="83">
        <v>413</v>
      </c>
      <c r="B42" s="79">
        <v>413</v>
      </c>
      <c r="C42" s="104"/>
      <c r="D42" s="105">
        <v>15400081</v>
      </c>
      <c r="E42" s="105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1"/>
      <c r="BJ42" s="82">
        <f t="shared" si="0"/>
        <v>15400081</v>
      </c>
      <c r="BK42" s="85">
        <f>AO65</f>
        <v>15400081</v>
      </c>
      <c r="BL42" s="84">
        <f t="shared" si="2"/>
        <v>15400081</v>
      </c>
      <c r="BM42" s="75">
        <f t="shared" si="1"/>
        <v>0</v>
      </c>
    </row>
    <row r="43" spans="1:65" ht="17.25" customHeight="1">
      <c r="A43" s="83">
        <v>414</v>
      </c>
      <c r="B43" s="79">
        <v>414</v>
      </c>
      <c r="C43" s="104"/>
      <c r="D43" s="105"/>
      <c r="E43" s="105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1"/>
      <c r="BJ43" s="82">
        <f t="shared" si="0"/>
        <v>0</v>
      </c>
      <c r="BK43" s="85">
        <f>AP65</f>
        <v>0</v>
      </c>
      <c r="BL43" s="84">
        <f t="shared" si="2"/>
        <v>0</v>
      </c>
      <c r="BM43" s="75">
        <f t="shared" si="1"/>
        <v>0</v>
      </c>
    </row>
    <row r="44" spans="1:65" ht="17.25" customHeight="1">
      <c r="A44" s="83">
        <v>415</v>
      </c>
      <c r="B44" s="79">
        <v>415</v>
      </c>
      <c r="C44" s="104"/>
      <c r="D44" s="105"/>
      <c r="E44" s="105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>
        <v>353802499</v>
      </c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1"/>
      <c r="BJ44" s="82">
        <f t="shared" si="0"/>
        <v>353802499</v>
      </c>
      <c r="BK44" s="85">
        <f>AQ65</f>
        <v>0</v>
      </c>
      <c r="BL44" s="84">
        <f>BJ44</f>
        <v>353802499</v>
      </c>
      <c r="BM44" s="75">
        <f t="shared" si="1"/>
        <v>-353802499</v>
      </c>
    </row>
    <row r="45" spans="1:65" ht="17.25" customHeight="1">
      <c r="A45" s="83">
        <v>418</v>
      </c>
      <c r="B45" s="79">
        <v>418</v>
      </c>
      <c r="C45" s="104"/>
      <c r="D45" s="105"/>
      <c r="E45" s="10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v>159211124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115"/>
      <c r="BE45" s="84"/>
      <c r="BF45" s="84"/>
      <c r="BG45" s="84"/>
      <c r="BH45" s="84"/>
      <c r="BI45" s="81"/>
      <c r="BJ45" s="82">
        <f t="shared" si="0"/>
        <v>159211124</v>
      </c>
      <c r="BK45" s="85">
        <f>AR65</f>
        <v>0</v>
      </c>
      <c r="BL45" s="84">
        <f t="shared" si="2"/>
        <v>159211124</v>
      </c>
      <c r="BM45" s="75">
        <f t="shared" si="1"/>
        <v>-159211124</v>
      </c>
    </row>
    <row r="46" spans="1:65" ht="17.25" customHeight="1">
      <c r="A46" s="83">
        <v>421</v>
      </c>
      <c r="B46" s="79">
        <v>421</v>
      </c>
      <c r="C46" s="104"/>
      <c r="D46" s="105"/>
      <c r="E46" s="105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>
        <v>4718464049</v>
      </c>
      <c r="BI46" s="81"/>
      <c r="BJ46" s="82">
        <f t="shared" si="0"/>
        <v>4718464049</v>
      </c>
      <c r="BK46" s="85">
        <f>AS65</f>
        <v>4718464049</v>
      </c>
      <c r="BL46" s="84">
        <f t="shared" si="2"/>
        <v>4718464049</v>
      </c>
      <c r="BM46" s="75">
        <f t="shared" si="1"/>
        <v>0</v>
      </c>
    </row>
    <row r="47" spans="1:65" ht="17.25" customHeight="1">
      <c r="A47" s="83">
        <v>431</v>
      </c>
      <c r="B47" s="79">
        <v>353</v>
      </c>
      <c r="C47" s="104"/>
      <c r="D47" s="105">
        <v>900000</v>
      </c>
      <c r="E47" s="105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>
        <v>636844498</v>
      </c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1"/>
      <c r="BJ47" s="82">
        <f t="shared" si="0"/>
        <v>637744498</v>
      </c>
      <c r="BK47" s="85">
        <f>AT65</f>
        <v>408590000</v>
      </c>
      <c r="BL47" s="84">
        <f t="shared" si="2"/>
        <v>637744498</v>
      </c>
      <c r="BM47" s="75">
        <f t="shared" si="1"/>
        <v>-229154498</v>
      </c>
    </row>
    <row r="48" spans="1:65" ht="17.25" customHeight="1">
      <c r="A48" s="83">
        <v>441</v>
      </c>
      <c r="B48" s="79">
        <v>441</v>
      </c>
      <c r="C48" s="104"/>
      <c r="D48" s="105"/>
      <c r="E48" s="10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1"/>
      <c r="BJ48" s="82">
        <f t="shared" si="0"/>
        <v>0</v>
      </c>
      <c r="BK48" s="85">
        <f>AU65</f>
        <v>0</v>
      </c>
      <c r="BL48" s="84">
        <f t="shared" si="2"/>
        <v>0</v>
      </c>
      <c r="BM48" s="75">
        <f t="shared" si="1"/>
        <v>0</v>
      </c>
    </row>
    <row r="49" spans="1:66" ht="17.25" customHeight="1">
      <c r="A49" s="83">
        <v>511</v>
      </c>
      <c r="B49" s="79">
        <v>5111</v>
      </c>
      <c r="C49" s="104"/>
      <c r="D49" s="105"/>
      <c r="E49" s="105"/>
      <c r="F49" s="84"/>
      <c r="G49" s="84">
        <v>3398692379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1"/>
      <c r="BJ49" s="82">
        <f t="shared" si="0"/>
        <v>3398692379</v>
      </c>
      <c r="BK49" s="85"/>
      <c r="BL49" s="84"/>
      <c r="BM49" s="75">
        <f t="shared" si="1"/>
        <v>0</v>
      </c>
      <c r="BN49" s="75">
        <f>SUM(BJ49:BJ51)</f>
        <v>105530509929</v>
      </c>
    </row>
    <row r="50" spans="1:65" ht="17.25" customHeight="1">
      <c r="A50" s="83"/>
      <c r="B50" s="79">
        <v>5112</v>
      </c>
      <c r="C50" s="104"/>
      <c r="D50" s="105"/>
      <c r="E50" s="105"/>
      <c r="F50" s="84"/>
      <c r="G50" s="84">
        <f>103306716475-G49-G51</f>
        <v>86971065790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>
        <v>2223793454</v>
      </c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1"/>
      <c r="BJ50" s="82">
        <f t="shared" si="0"/>
        <v>89194859244</v>
      </c>
      <c r="BK50" s="85">
        <f>AV65</f>
        <v>105530509929</v>
      </c>
      <c r="BL50" s="84">
        <f>BJ49+BJ50+BJ51</f>
        <v>105530509929</v>
      </c>
      <c r="BM50" s="75">
        <f t="shared" si="1"/>
        <v>0</v>
      </c>
    </row>
    <row r="51" spans="1:65" ht="17.25" customHeight="1">
      <c r="A51" s="83"/>
      <c r="B51" s="79">
        <v>5113</v>
      </c>
      <c r="C51" s="104"/>
      <c r="D51" s="84"/>
      <c r="E51" s="84"/>
      <c r="F51" s="84"/>
      <c r="G51" s="84">
        <v>12936958306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1"/>
      <c r="BJ51" s="82">
        <f t="shared" si="0"/>
        <v>12936958306</v>
      </c>
      <c r="BK51" s="85"/>
      <c r="BL51" s="84"/>
      <c r="BM51" s="75">
        <f t="shared" si="1"/>
        <v>0</v>
      </c>
    </row>
    <row r="52" spans="1:65" ht="17.25" customHeight="1">
      <c r="A52" s="83">
        <v>531</v>
      </c>
      <c r="B52" s="79">
        <v>531</v>
      </c>
      <c r="C52" s="10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>
        <f>AW65</f>
        <v>553183044</v>
      </c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1"/>
      <c r="BJ52" s="82">
        <f t="shared" si="0"/>
        <v>553183044</v>
      </c>
      <c r="BK52" s="85">
        <f>AW65</f>
        <v>553183044</v>
      </c>
      <c r="BL52" s="84">
        <f t="shared" si="2"/>
        <v>553183044</v>
      </c>
      <c r="BM52" s="75">
        <f t="shared" si="1"/>
        <v>0</v>
      </c>
    </row>
    <row r="53" spans="1:65" ht="17.25" customHeight="1">
      <c r="A53" s="83">
        <v>532</v>
      </c>
      <c r="B53" s="79">
        <v>532</v>
      </c>
      <c r="C53" s="104"/>
      <c r="D53" s="105"/>
      <c r="E53" s="105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1"/>
      <c r="BJ53" s="82">
        <f t="shared" si="0"/>
        <v>0</v>
      </c>
      <c r="BK53" s="85">
        <f>AX65</f>
        <v>0</v>
      </c>
      <c r="BL53" s="84">
        <f t="shared" si="2"/>
        <v>0</v>
      </c>
      <c r="BM53" s="75">
        <f t="shared" si="1"/>
        <v>0</v>
      </c>
    </row>
    <row r="54" spans="1:65" ht="17.25" customHeight="1">
      <c r="A54" s="83">
        <v>515</v>
      </c>
      <c r="B54" s="79">
        <v>515</v>
      </c>
      <c r="C54" s="104"/>
      <c r="D54" s="105">
        <f>3155669289-286059</f>
        <v>3155383230</v>
      </c>
      <c r="E54" s="105">
        <v>286059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>
        <v>15400081</v>
      </c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1"/>
      <c r="BJ54" s="82">
        <f t="shared" si="0"/>
        <v>3171069370</v>
      </c>
      <c r="BK54" s="85">
        <f>AY65</f>
        <v>3171069370</v>
      </c>
      <c r="BL54" s="84">
        <f t="shared" si="2"/>
        <v>3171069370</v>
      </c>
      <c r="BM54" s="75">
        <f t="shared" si="1"/>
        <v>0</v>
      </c>
    </row>
    <row r="55" spans="1:65" ht="17.25" customHeight="1">
      <c r="A55" s="83">
        <v>627</v>
      </c>
      <c r="B55" s="79" t="s">
        <v>1</v>
      </c>
      <c r="C55" s="104"/>
      <c r="D55" s="105"/>
      <c r="E55" s="105"/>
      <c r="F55" s="84"/>
      <c r="G55" s="84"/>
      <c r="H55" s="84"/>
      <c r="I55" s="84"/>
      <c r="J55" s="84"/>
      <c r="K55" s="84"/>
      <c r="L55" s="84"/>
      <c r="M55" s="84"/>
      <c r="N55" s="84"/>
      <c r="O55" s="84">
        <f>AZ65</f>
        <v>11266700349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1"/>
      <c r="BJ55" s="82">
        <f t="shared" si="0"/>
        <v>11266700349</v>
      </c>
      <c r="BK55" s="85">
        <f>AZ65</f>
        <v>11266700349</v>
      </c>
      <c r="BL55" s="84">
        <f>BJ55</f>
        <v>11266700349</v>
      </c>
      <c r="BM55" s="75">
        <f t="shared" si="1"/>
        <v>0</v>
      </c>
    </row>
    <row r="56" spans="1:65" ht="17.25" customHeight="1">
      <c r="A56" s="83"/>
      <c r="B56" s="79" t="s">
        <v>2</v>
      </c>
      <c r="C56" s="104"/>
      <c r="D56" s="105"/>
      <c r="E56" s="105"/>
      <c r="F56" s="84"/>
      <c r="G56" s="84"/>
      <c r="H56" s="84"/>
      <c r="I56" s="84"/>
      <c r="J56" s="84"/>
      <c r="K56" s="84"/>
      <c r="L56" s="84"/>
      <c r="M56" s="84"/>
      <c r="N56" s="84"/>
      <c r="O56" s="84">
        <f>BA65</f>
        <v>3159012352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1"/>
      <c r="BJ56" s="82">
        <f t="shared" si="0"/>
        <v>3159012352</v>
      </c>
      <c r="BK56" s="85">
        <f>BA65</f>
        <v>3159012352</v>
      </c>
      <c r="BL56" s="84">
        <f t="shared" si="2"/>
        <v>3159012352</v>
      </c>
      <c r="BM56" s="75">
        <f t="shared" si="1"/>
        <v>0</v>
      </c>
    </row>
    <row r="57" spans="1:65" ht="17.25" customHeight="1">
      <c r="A57" s="83"/>
      <c r="B57" s="79" t="s">
        <v>3</v>
      </c>
      <c r="C57" s="104"/>
      <c r="D57" s="105"/>
      <c r="E57" s="105"/>
      <c r="F57" s="84"/>
      <c r="G57" s="84"/>
      <c r="H57" s="84"/>
      <c r="I57" s="84"/>
      <c r="J57" s="84"/>
      <c r="K57" s="84"/>
      <c r="L57" s="84"/>
      <c r="M57" s="84"/>
      <c r="N57" s="84"/>
      <c r="O57" s="84">
        <f>BB65</f>
        <v>1564024322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1"/>
      <c r="BJ57" s="82">
        <f t="shared" si="0"/>
        <v>1564024322</v>
      </c>
      <c r="BK57" s="85">
        <f>BB65</f>
        <v>1564024322</v>
      </c>
      <c r="BL57" s="84">
        <f t="shared" si="2"/>
        <v>1564024322</v>
      </c>
      <c r="BM57" s="75">
        <f t="shared" si="1"/>
        <v>0</v>
      </c>
    </row>
    <row r="58" spans="1:65" ht="17.25" customHeight="1">
      <c r="A58" s="83">
        <v>641</v>
      </c>
      <c r="B58" s="79">
        <v>641</v>
      </c>
      <c r="C58" s="104"/>
      <c r="D58" s="105"/>
      <c r="E58" s="105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1">
        <f>BC65</f>
        <v>1696725547</v>
      </c>
      <c r="BI58" s="81"/>
      <c r="BJ58" s="82">
        <f t="shared" si="0"/>
        <v>1696725547</v>
      </c>
      <c r="BK58" s="85">
        <f>BC65</f>
        <v>1696725547</v>
      </c>
      <c r="BL58" s="84">
        <f t="shared" si="2"/>
        <v>1696725547</v>
      </c>
      <c r="BM58" s="75">
        <f t="shared" si="1"/>
        <v>0</v>
      </c>
    </row>
    <row r="59" spans="1:65" ht="17.25" customHeight="1">
      <c r="A59" s="83">
        <v>642</v>
      </c>
      <c r="B59" s="79">
        <v>642</v>
      </c>
      <c r="C59" s="104"/>
      <c r="D59" s="105"/>
      <c r="E59" s="105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1">
        <f>BD65</f>
        <v>17290083403</v>
      </c>
      <c r="BI59" s="81"/>
      <c r="BJ59" s="82">
        <f t="shared" si="0"/>
        <v>17290083403</v>
      </c>
      <c r="BK59" s="85">
        <f>BD65</f>
        <v>17290083403</v>
      </c>
      <c r="BL59" s="84">
        <f t="shared" si="2"/>
        <v>17290083403</v>
      </c>
      <c r="BM59" s="75">
        <f t="shared" si="1"/>
        <v>0</v>
      </c>
    </row>
    <row r="60" spans="1:65" ht="17.25" customHeight="1">
      <c r="A60" s="83">
        <v>632</v>
      </c>
      <c r="B60" s="79">
        <v>632</v>
      </c>
      <c r="C60" s="104"/>
      <c r="D60" s="105"/>
      <c r="E60" s="105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>
        <f>BE65</f>
        <v>84774776422</v>
      </c>
      <c r="BI60" s="81"/>
      <c r="BJ60" s="82">
        <f t="shared" si="0"/>
        <v>84774776422</v>
      </c>
      <c r="BK60" s="85">
        <f>BE65</f>
        <v>84774776422</v>
      </c>
      <c r="BL60" s="84">
        <f>BJ60</f>
        <v>84774776422</v>
      </c>
      <c r="BM60" s="75">
        <f t="shared" si="1"/>
        <v>0</v>
      </c>
    </row>
    <row r="61" spans="1:65" ht="17.25" customHeight="1">
      <c r="A61" s="83">
        <v>711</v>
      </c>
      <c r="B61" s="79">
        <v>711</v>
      </c>
      <c r="C61" s="104"/>
      <c r="D61" s="105">
        <v>5625000</v>
      </c>
      <c r="E61" s="105"/>
      <c r="F61" s="84"/>
      <c r="G61" s="84">
        <v>763573104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1"/>
      <c r="BJ61" s="82">
        <f t="shared" si="0"/>
        <v>769198104</v>
      </c>
      <c r="BK61" s="85">
        <f>BF65</f>
        <v>769198104</v>
      </c>
      <c r="BL61" s="84">
        <f t="shared" si="2"/>
        <v>769198104</v>
      </c>
      <c r="BM61" s="75">
        <f t="shared" si="1"/>
        <v>0</v>
      </c>
    </row>
    <row r="62" spans="1:65" ht="17.25" customHeight="1">
      <c r="A62" s="83">
        <v>811</v>
      </c>
      <c r="B62" s="79">
        <v>811</v>
      </c>
      <c r="C62" s="104"/>
      <c r="D62" s="105"/>
      <c r="E62" s="105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>
        <f>BG65</f>
        <v>437544938</v>
      </c>
      <c r="BI62" s="81"/>
      <c r="BJ62" s="82">
        <f t="shared" si="0"/>
        <v>437544938</v>
      </c>
      <c r="BK62" s="85">
        <f>BG65</f>
        <v>437544938</v>
      </c>
      <c r="BL62" s="84">
        <f t="shared" si="2"/>
        <v>437544938</v>
      </c>
      <c r="BM62" s="75">
        <f t="shared" si="1"/>
        <v>0</v>
      </c>
    </row>
    <row r="63" spans="1:65" ht="17.25" customHeight="1">
      <c r="A63" s="89">
        <v>911</v>
      </c>
      <c r="B63" s="79">
        <v>911</v>
      </c>
      <c r="C63" s="107"/>
      <c r="D63" s="105"/>
      <c r="E63" s="105"/>
      <c r="F63" s="105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>
        <f>103306716475-AV52+2223793454</f>
        <v>104977326885</v>
      </c>
      <c r="AW63" s="84"/>
      <c r="AX63" s="84"/>
      <c r="AY63" s="84">
        <f>BJ54</f>
        <v>3171069370</v>
      </c>
      <c r="AZ63" s="84"/>
      <c r="BA63" s="84"/>
      <c r="BB63" s="84"/>
      <c r="BC63" s="84"/>
      <c r="BD63" s="84"/>
      <c r="BE63" s="84"/>
      <c r="BF63" s="84">
        <f>BJ61</f>
        <v>769198104</v>
      </c>
      <c r="BG63" s="84"/>
      <c r="BH63" s="84"/>
      <c r="BI63" s="81"/>
      <c r="BJ63" s="82">
        <f t="shared" si="0"/>
        <v>108917594359</v>
      </c>
      <c r="BK63" s="88">
        <f>BH65</f>
        <v>108917594359</v>
      </c>
      <c r="BL63" s="84">
        <f t="shared" si="2"/>
        <v>108917594359</v>
      </c>
      <c r="BM63" s="75">
        <f>BK63-BL63</f>
        <v>0</v>
      </c>
    </row>
    <row r="64" spans="1:64" ht="17.25" customHeight="1">
      <c r="A64" s="90"/>
      <c r="B64" s="79"/>
      <c r="C64" s="104"/>
      <c r="D64" s="105"/>
      <c r="E64" s="105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1"/>
      <c r="BJ64" s="82">
        <f t="shared" si="0"/>
        <v>0</v>
      </c>
      <c r="BK64" s="85"/>
      <c r="BL64" s="84">
        <f t="shared" si="2"/>
        <v>0</v>
      </c>
    </row>
    <row r="65" spans="1:65" s="76" customFormat="1" ht="17.25" customHeight="1">
      <c r="A65" s="91" t="s">
        <v>7</v>
      </c>
      <c r="B65" s="92"/>
      <c r="C65" s="93">
        <f aca="true" t="shared" si="3" ref="C65:T65">SUM(C4:C64)</f>
        <v>69639855320</v>
      </c>
      <c r="D65" s="93">
        <f t="shared" si="3"/>
        <v>257235970924</v>
      </c>
      <c r="E65" s="93">
        <f t="shared" si="3"/>
        <v>286059</v>
      </c>
      <c r="F65" s="93">
        <f t="shared" si="3"/>
        <v>147000000000</v>
      </c>
      <c r="G65" s="93">
        <f t="shared" si="3"/>
        <v>170838974278</v>
      </c>
      <c r="H65" s="93">
        <f t="shared" si="3"/>
        <v>4315519784</v>
      </c>
      <c r="I65" s="93">
        <f t="shared" si="3"/>
        <v>10000000000</v>
      </c>
      <c r="J65" s="93">
        <f t="shared" si="3"/>
        <v>563000000</v>
      </c>
      <c r="K65" s="93">
        <f t="shared" si="3"/>
        <v>74750000</v>
      </c>
      <c r="L65" s="93">
        <f t="shared" si="3"/>
        <v>0</v>
      </c>
      <c r="M65" s="93">
        <f t="shared" si="3"/>
        <v>12131496739</v>
      </c>
      <c r="N65" s="93">
        <f t="shared" si="3"/>
        <v>225137988</v>
      </c>
      <c r="O65" s="93">
        <f t="shared" si="3"/>
        <v>122029813413</v>
      </c>
      <c r="P65" s="93">
        <f t="shared" si="3"/>
        <v>15989737023</v>
      </c>
      <c r="Q65" s="93">
        <f t="shared" si="3"/>
        <v>3429810236</v>
      </c>
      <c r="R65" s="93">
        <f t="shared" si="3"/>
        <v>0</v>
      </c>
      <c r="S65" s="93">
        <f t="shared" si="3"/>
        <v>1930014909</v>
      </c>
      <c r="T65" s="93">
        <f t="shared" si="3"/>
        <v>963913618</v>
      </c>
      <c r="U65" s="93"/>
      <c r="V65" s="93">
        <f aca="true" t="shared" si="4" ref="V65:BL65">SUM(V4:V64)</f>
        <v>10137358043</v>
      </c>
      <c r="W65" s="93">
        <f t="shared" si="4"/>
        <v>7037358043</v>
      </c>
      <c r="X65" s="93">
        <f t="shared" si="4"/>
        <v>0</v>
      </c>
      <c r="Y65" s="93">
        <f t="shared" si="4"/>
        <v>10000000000</v>
      </c>
      <c r="Z65" s="93">
        <f t="shared" si="4"/>
        <v>59364341494</v>
      </c>
      <c r="AA65" s="93">
        <f t="shared" si="4"/>
        <v>11927753484</v>
      </c>
      <c r="AB65" s="93">
        <f t="shared" si="4"/>
        <v>1440361925</v>
      </c>
      <c r="AC65" s="93">
        <f t="shared" si="4"/>
        <v>17416186</v>
      </c>
      <c r="AD65" s="93">
        <f t="shared" si="4"/>
        <v>420675600</v>
      </c>
      <c r="AE65" s="93">
        <f t="shared" si="4"/>
        <v>10141027200</v>
      </c>
      <c r="AF65" s="93">
        <f t="shared" si="4"/>
        <v>0</v>
      </c>
      <c r="AG65" s="93">
        <f t="shared" si="4"/>
        <v>102883600</v>
      </c>
      <c r="AH65" s="93">
        <f t="shared" si="4"/>
        <v>1530837620</v>
      </c>
      <c r="AI65" s="93">
        <f t="shared" si="4"/>
        <v>237027779</v>
      </c>
      <c r="AJ65" s="93">
        <f t="shared" si="4"/>
        <v>2223793454</v>
      </c>
      <c r="AK65" s="93">
        <f t="shared" si="4"/>
        <v>22024625000</v>
      </c>
      <c r="AL65" s="93">
        <f t="shared" si="4"/>
        <v>103644415</v>
      </c>
      <c r="AM65" s="93">
        <f t="shared" si="4"/>
        <v>0</v>
      </c>
      <c r="AN65" s="93">
        <f t="shared" si="4"/>
        <v>0</v>
      </c>
      <c r="AO65" s="93">
        <f t="shared" si="4"/>
        <v>15400081</v>
      </c>
      <c r="AP65" s="93">
        <f t="shared" si="4"/>
        <v>0</v>
      </c>
      <c r="AQ65" s="93">
        <f t="shared" si="4"/>
        <v>0</v>
      </c>
      <c r="AR65" s="93">
        <f t="shared" si="4"/>
        <v>0</v>
      </c>
      <c r="AS65" s="93">
        <f t="shared" si="4"/>
        <v>4718464049</v>
      </c>
      <c r="AT65" s="93">
        <f t="shared" si="4"/>
        <v>408590000</v>
      </c>
      <c r="AU65" s="93">
        <f t="shared" si="4"/>
        <v>0</v>
      </c>
      <c r="AV65" s="93">
        <f t="shared" si="4"/>
        <v>105530509929</v>
      </c>
      <c r="AW65" s="93">
        <f t="shared" si="4"/>
        <v>553183044</v>
      </c>
      <c r="AX65" s="93">
        <f t="shared" si="4"/>
        <v>0</v>
      </c>
      <c r="AY65" s="93">
        <f t="shared" si="4"/>
        <v>3171069370</v>
      </c>
      <c r="AZ65" s="93">
        <f t="shared" si="4"/>
        <v>11266700349</v>
      </c>
      <c r="BA65" s="93">
        <f t="shared" si="4"/>
        <v>3159012352</v>
      </c>
      <c r="BB65" s="93">
        <f t="shared" si="4"/>
        <v>1564024322</v>
      </c>
      <c r="BC65" s="93">
        <f t="shared" si="4"/>
        <v>1696725547</v>
      </c>
      <c r="BD65" s="93">
        <f t="shared" si="4"/>
        <v>17290083403</v>
      </c>
      <c r="BE65" s="93">
        <f t="shared" si="4"/>
        <v>84774776422</v>
      </c>
      <c r="BF65" s="93">
        <f t="shared" si="4"/>
        <v>769198104</v>
      </c>
      <c r="BG65" s="93">
        <f t="shared" si="4"/>
        <v>437544938</v>
      </c>
      <c r="BH65" s="93">
        <f t="shared" si="4"/>
        <v>108917594359</v>
      </c>
      <c r="BI65" s="93">
        <f t="shared" si="4"/>
        <v>0</v>
      </c>
      <c r="BJ65" s="93">
        <f t="shared" si="4"/>
        <v>1297350260403</v>
      </c>
      <c r="BK65" s="92">
        <f t="shared" si="4"/>
        <v>1297350260403</v>
      </c>
      <c r="BL65" s="92">
        <f t="shared" si="4"/>
        <v>1297350260403</v>
      </c>
      <c r="BM65" s="76">
        <f>BM64-BM63</f>
        <v>0</v>
      </c>
    </row>
    <row r="66" spans="1:62" ht="17.25" customHeight="1">
      <c r="A66" s="94"/>
      <c r="D66" s="75">
        <f>D65+E65</f>
        <v>257236256983</v>
      </c>
      <c r="AZ66" s="170">
        <f>AZ65+BA65+BB65</f>
        <v>15989737023</v>
      </c>
      <c r="BA66" s="170"/>
      <c r="BB66" s="170"/>
      <c r="BE66" s="75">
        <f>BH60-BE65</f>
        <v>0</v>
      </c>
      <c r="BJ66" s="92">
        <f>SUM(BJ4:BJ64)</f>
        <v>1297350260403</v>
      </c>
    </row>
    <row r="67" spans="6:63" ht="17.25" customHeight="1">
      <c r="F67" s="95"/>
      <c r="G67" s="95"/>
      <c r="H67" s="95"/>
      <c r="I67" s="95"/>
      <c r="O67" s="75">
        <f>SUM(O55:O57)</f>
        <v>15989737023</v>
      </c>
      <c r="BJ67" s="76">
        <f>SUM(C65:BI65)</f>
        <v>1297350260403</v>
      </c>
      <c r="BK67" s="75">
        <f>BL65-BK65</f>
        <v>0</v>
      </c>
    </row>
    <row r="68" spans="6:64" ht="17.25" customHeight="1">
      <c r="F68" s="95"/>
      <c r="G68" s="95"/>
      <c r="H68" s="95"/>
      <c r="I68" s="95"/>
      <c r="BH68" s="75">
        <f>BK60-BH60</f>
        <v>0</v>
      </c>
      <c r="BL68" s="75">
        <f>BJ59-11692420706</f>
        <v>5597662697</v>
      </c>
    </row>
    <row r="69" spans="6:16" ht="17.25" customHeight="1">
      <c r="F69" s="95"/>
      <c r="G69" s="95"/>
      <c r="H69" s="95"/>
      <c r="I69" s="95"/>
      <c r="P69" s="75" t="e">
        <f>#REF!+#REF!</f>
        <v>#REF!</v>
      </c>
    </row>
    <row r="70" spans="6:9" ht="17.25" customHeight="1">
      <c r="F70" s="95"/>
      <c r="G70" s="95"/>
      <c r="H70" s="95"/>
      <c r="I70" s="95"/>
    </row>
    <row r="71" spans="6:9" ht="17.25" customHeight="1" thickBot="1">
      <c r="F71" s="142"/>
      <c r="G71" s="142"/>
      <c r="H71" s="142"/>
      <c r="I71" s="95"/>
    </row>
    <row r="72" spans="6:56" ht="17.25" customHeight="1">
      <c r="F72" s="141" t="s">
        <v>228</v>
      </c>
      <c r="G72" s="141">
        <v>2494837283</v>
      </c>
      <c r="H72" s="141">
        <v>9308554416</v>
      </c>
      <c r="I72" s="75" t="s">
        <v>236</v>
      </c>
      <c r="AZ72" s="108"/>
      <c r="BA72" s="108"/>
      <c r="BB72" s="96"/>
      <c r="BC72" s="96"/>
      <c r="BD72" s="96"/>
    </row>
    <row r="73" spans="5:56" ht="17.25" customHeight="1">
      <c r="E73" s="75" t="s">
        <v>232</v>
      </c>
      <c r="F73" s="113" t="s">
        <v>237</v>
      </c>
      <c r="G73" s="113">
        <v>973082727</v>
      </c>
      <c r="H73" s="113">
        <v>1068310586</v>
      </c>
      <c r="AZ73" s="109"/>
      <c r="BA73" s="109"/>
      <c r="BB73" s="97"/>
      <c r="BC73" s="97"/>
      <c r="BD73" s="97"/>
    </row>
    <row r="74" spans="5:56" ht="17.25" customHeight="1">
      <c r="E74" s="75" t="s">
        <v>235</v>
      </c>
      <c r="F74" s="113" t="s">
        <v>229</v>
      </c>
      <c r="G74" s="113">
        <v>620406328</v>
      </c>
      <c r="H74" s="113">
        <v>684231612</v>
      </c>
      <c r="AZ74" s="109"/>
      <c r="BA74" s="109"/>
      <c r="BB74" s="98"/>
      <c r="BC74" s="98"/>
      <c r="BD74" s="97"/>
    </row>
    <row r="75" spans="6:56" ht="17.25" customHeight="1">
      <c r="F75" s="113" t="s">
        <v>234</v>
      </c>
      <c r="G75" s="113"/>
      <c r="H75" s="113">
        <v>9873636359</v>
      </c>
      <c r="AZ75" s="109"/>
      <c r="BA75" s="109"/>
      <c r="BB75" s="98"/>
      <c r="BC75" s="98"/>
      <c r="BD75" s="97"/>
    </row>
    <row r="76" spans="6:56" ht="17.25" customHeight="1">
      <c r="F76" s="113" t="s">
        <v>230</v>
      </c>
      <c r="G76" s="113">
        <v>1448746218</v>
      </c>
      <c r="H76" s="113">
        <v>582106744</v>
      </c>
      <c r="AZ76" s="109"/>
      <c r="BA76" s="109"/>
      <c r="BB76" s="98"/>
      <c r="BC76" s="98"/>
      <c r="BD76" s="97"/>
    </row>
    <row r="77" spans="6:56" ht="17.25" customHeight="1">
      <c r="F77" s="113" t="s">
        <v>231</v>
      </c>
      <c r="G77" s="113"/>
      <c r="H77" s="113">
        <v>18066593454</v>
      </c>
      <c r="AZ77" s="109"/>
      <c r="BA77" s="109"/>
      <c r="BB77" s="98"/>
      <c r="BC77" s="98"/>
      <c r="BD77" s="97"/>
    </row>
    <row r="78" spans="5:56" ht="17.25" customHeight="1">
      <c r="E78" s="75" t="s">
        <v>233</v>
      </c>
      <c r="F78" s="113">
        <f>G78+H78</f>
        <v>45120505727</v>
      </c>
      <c r="G78" s="114">
        <f>SUM(G72:G77)</f>
        <v>5537072556</v>
      </c>
      <c r="H78" s="114">
        <f>SUM(H72:H77)</f>
        <v>39583433171</v>
      </c>
      <c r="AZ78" s="109"/>
      <c r="BA78" s="109"/>
      <c r="BB78" s="98"/>
      <c r="BC78" s="98"/>
      <c r="BD78" s="97"/>
    </row>
    <row r="79" spans="6:56" ht="17.25" customHeight="1">
      <c r="F79" s="113"/>
      <c r="G79" s="113"/>
      <c r="H79" s="113"/>
      <c r="AZ79" s="109"/>
      <c r="BA79" s="109"/>
      <c r="BB79" s="98"/>
      <c r="BC79" s="98"/>
      <c r="BD79" s="97"/>
    </row>
    <row r="80" spans="52:56" ht="17.25" customHeight="1">
      <c r="AZ80" s="109"/>
      <c r="BA80" s="109"/>
      <c r="BB80" s="98"/>
      <c r="BC80" s="98"/>
      <c r="BD80" s="97"/>
    </row>
    <row r="81" spans="52:56" ht="17.25" customHeight="1">
      <c r="AZ81" s="109"/>
      <c r="BA81" s="109"/>
      <c r="BB81" s="98"/>
      <c r="BC81" s="98"/>
      <c r="BD81" s="97"/>
    </row>
    <row r="82" spans="52:56" ht="17.25" customHeight="1">
      <c r="AZ82" s="109"/>
      <c r="BA82" s="109"/>
      <c r="BB82" s="98"/>
      <c r="BC82" s="98"/>
      <c r="BD82" s="97"/>
    </row>
    <row r="83" spans="52:56" ht="17.25" customHeight="1">
      <c r="AZ83" s="109"/>
      <c r="BA83" s="109"/>
      <c r="BB83" s="98"/>
      <c r="BC83" s="98"/>
      <c r="BD83" s="97"/>
    </row>
    <row r="84" spans="52:56" ht="17.25" customHeight="1">
      <c r="AZ84" s="109"/>
      <c r="BA84" s="109"/>
      <c r="BB84" s="98"/>
      <c r="BC84" s="98"/>
      <c r="BD84" s="97"/>
    </row>
    <row r="85" spans="52:56" ht="17.25" customHeight="1">
      <c r="AZ85" s="109"/>
      <c r="BA85" s="109"/>
      <c r="BB85" s="98"/>
      <c r="BC85" s="98"/>
      <c r="BD85" s="97"/>
    </row>
    <row r="86" spans="52:56" ht="17.25" customHeight="1">
      <c r="AZ86" s="109"/>
      <c r="BA86" s="110"/>
      <c r="BB86" s="98"/>
      <c r="BC86" s="98"/>
      <c r="BD86" s="97"/>
    </row>
    <row r="87" spans="52:56" ht="17.25" customHeight="1">
      <c r="AZ87" s="109"/>
      <c r="BA87" s="111"/>
      <c r="BB87" s="99"/>
      <c r="BC87" s="99"/>
      <c r="BD87" s="100"/>
    </row>
    <row r="88" spans="52:56" ht="17.25" customHeight="1">
      <c r="AZ88" s="95"/>
      <c r="BA88" s="95"/>
      <c r="BB88" s="95"/>
      <c r="BC88" s="95"/>
      <c r="BD88" s="95"/>
    </row>
  </sheetData>
  <mergeCells count="2">
    <mergeCell ref="AZ66:BB66"/>
    <mergeCell ref="A1:P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B1">
      <selection activeCell="E22" sqref="E22"/>
    </sheetView>
  </sheetViews>
  <sheetFormatPr defaultColWidth="9.00390625" defaultRowHeight="12.75"/>
  <cols>
    <col min="1" max="1" width="6.75390625" style="2" customWidth="1"/>
    <col min="2" max="2" width="24.375" style="2" customWidth="1"/>
    <col min="3" max="3" width="17.875" style="1" customWidth="1"/>
    <col min="4" max="4" width="17.75390625" style="1" customWidth="1"/>
    <col min="5" max="5" width="19.75390625" style="1" customWidth="1"/>
    <col min="6" max="6" width="19.375" style="1" customWidth="1"/>
    <col min="7" max="7" width="18.125" style="1" customWidth="1"/>
    <col min="8" max="8" width="17.875" style="1" customWidth="1"/>
    <col min="9" max="9" width="24.375" style="1" customWidth="1"/>
    <col min="10" max="10" width="21.00390625" style="1" customWidth="1"/>
    <col min="11" max="11" width="19.00390625" style="1" customWidth="1"/>
    <col min="12" max="12" width="17.875" style="2" customWidth="1"/>
    <col min="13" max="13" width="23.25390625" style="2" customWidth="1"/>
    <col min="14" max="16384" width="8.875" style="2" customWidth="1"/>
  </cols>
  <sheetData>
    <row r="1" spans="1:20" s="18" customFormat="1" ht="23.25" customHeight="1">
      <c r="A1" s="175" t="s">
        <v>284</v>
      </c>
      <c r="B1" s="175"/>
      <c r="C1" s="175"/>
      <c r="D1" s="175"/>
      <c r="E1" s="175"/>
      <c r="F1" s="175"/>
      <c r="G1" s="175"/>
      <c r="H1" s="175"/>
      <c r="I1" s="192" t="s">
        <v>266</v>
      </c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11" s="16" customFormat="1" ht="16.5" customHeight="1">
      <c r="A2" s="173" t="s">
        <v>8</v>
      </c>
      <c r="B2" s="173" t="s">
        <v>9</v>
      </c>
      <c r="C2" s="176" t="s">
        <v>10</v>
      </c>
      <c r="D2" s="177"/>
      <c r="E2" s="176" t="s">
        <v>11</v>
      </c>
      <c r="F2" s="177"/>
      <c r="G2" s="176" t="s">
        <v>12</v>
      </c>
      <c r="H2" s="177"/>
      <c r="I2" s="145"/>
      <c r="J2" s="145"/>
      <c r="K2" s="145"/>
    </row>
    <row r="3" spans="1:11" s="16" customFormat="1" ht="16.5" customHeight="1">
      <c r="A3" s="174"/>
      <c r="B3" s="174"/>
      <c r="C3" s="15" t="s">
        <v>13</v>
      </c>
      <c r="D3" s="15" t="s">
        <v>14</v>
      </c>
      <c r="E3" s="17" t="s">
        <v>13</v>
      </c>
      <c r="F3" s="15" t="s">
        <v>14</v>
      </c>
      <c r="G3" s="15" t="s">
        <v>13</v>
      </c>
      <c r="H3" s="15" t="s">
        <v>14</v>
      </c>
      <c r="I3" s="145"/>
      <c r="J3" s="145"/>
      <c r="K3" s="145"/>
    </row>
    <row r="4" spans="1:8" ht="18.75" customHeight="1">
      <c r="A4" s="3">
        <v>1111</v>
      </c>
      <c r="B4" s="74" t="s">
        <v>15</v>
      </c>
      <c r="C4" s="7">
        <v>2347447429</v>
      </c>
      <c r="D4" s="7"/>
      <c r="E4" s="4">
        <f>'ban co ca nam 2010'!BK4</f>
        <v>69639855320</v>
      </c>
      <c r="F4" s="4">
        <f>'ban co ca nam 2010'!BL4</f>
        <v>69198022882</v>
      </c>
      <c r="G4" s="7">
        <f>IF((E4+C4)&gt;(F4+D4),(E4+C4)-(F4+D4),0)</f>
        <v>2789279867</v>
      </c>
      <c r="H4" s="7">
        <f aca="true" t="shared" si="0" ref="H4:H45">IF((F4+D4)&gt;(E4+C4),(F4+D4)-(E4+C4),0)</f>
        <v>0</v>
      </c>
    </row>
    <row r="5" spans="1:8" ht="18.75" customHeight="1">
      <c r="A5" s="5">
        <v>112</v>
      </c>
      <c r="B5" s="6" t="s">
        <v>16</v>
      </c>
      <c r="C5" s="7">
        <v>11201919376</v>
      </c>
      <c r="D5" s="7"/>
      <c r="E5" s="7">
        <f>'ban co ca nam 2010'!BK5+'ban co ca nam 2010'!BK6</f>
        <v>257236256983</v>
      </c>
      <c r="F5" s="7">
        <f>'ban co ca nam 2010'!BL5+'ban co ca nam 2010'!BL6</f>
        <v>241321343107</v>
      </c>
      <c r="G5" s="7">
        <f aca="true" t="shared" si="1" ref="G5:G58">IF((E5+C5)&gt;(F5+D5),(E5+C5)-(F5+D5),0)</f>
        <v>27116833252</v>
      </c>
      <c r="H5" s="7">
        <f t="shared" si="0"/>
        <v>0</v>
      </c>
    </row>
    <row r="6" spans="1:8" ht="18.75" customHeight="1">
      <c r="A6" s="5">
        <v>128</v>
      </c>
      <c r="B6" s="6" t="s">
        <v>17</v>
      </c>
      <c r="C6" s="7">
        <v>20000000000</v>
      </c>
      <c r="D6" s="7"/>
      <c r="E6" s="7">
        <f>'ban co ca nam 2010'!BK7</f>
        <v>147000000000</v>
      </c>
      <c r="F6" s="7">
        <f>'ban co ca nam 2010'!BL7</f>
        <v>123000000000</v>
      </c>
      <c r="G6" s="7">
        <f t="shared" si="1"/>
        <v>44000000000</v>
      </c>
      <c r="H6" s="7">
        <f t="shared" si="0"/>
        <v>0</v>
      </c>
    </row>
    <row r="7" spans="1:9" ht="18.75" customHeight="1">
      <c r="A7" s="5">
        <v>131</v>
      </c>
      <c r="B7" s="6" t="s">
        <v>18</v>
      </c>
      <c r="C7" s="7">
        <v>7291877168</v>
      </c>
      <c r="D7" s="7">
        <v>34895664084</v>
      </c>
      <c r="E7" s="7">
        <f>'ban co ca nam 2010'!BK8-8400000000</f>
        <v>170838974278</v>
      </c>
      <c r="F7" s="7">
        <f>'ban co ca nam 2010'!BL8-8400000000</f>
        <v>138398235301</v>
      </c>
      <c r="G7" s="7">
        <v>12715615504</v>
      </c>
      <c r="H7" s="7">
        <v>7878663443</v>
      </c>
      <c r="I7" s="1">
        <f>C7+E7-D7-F7-G7</f>
        <v>-7878663443</v>
      </c>
    </row>
    <row r="8" spans="1:8" ht="18.75" customHeight="1">
      <c r="A8" s="5">
        <v>133</v>
      </c>
      <c r="B8" s="6" t="s">
        <v>19</v>
      </c>
      <c r="C8" s="7"/>
      <c r="D8" s="7"/>
      <c r="E8" s="7">
        <f>'ban co ca nam 2010'!BK9</f>
        <v>4315519784</v>
      </c>
      <c r="F8" s="7">
        <f>'ban co ca nam 2010'!BL9</f>
        <v>4315519784</v>
      </c>
      <c r="G8" s="7">
        <f t="shared" si="1"/>
        <v>0</v>
      </c>
      <c r="H8" s="7">
        <f t="shared" si="0"/>
        <v>0</v>
      </c>
    </row>
    <row r="9" spans="1:8" ht="18.75" customHeight="1">
      <c r="A9" s="5">
        <v>1388</v>
      </c>
      <c r="B9" s="6" t="s">
        <v>20</v>
      </c>
      <c r="C9" s="7">
        <v>38321021190</v>
      </c>
      <c r="D9" s="7"/>
      <c r="E9" s="7">
        <f>'ban co ca nam 2010'!BK10</f>
        <v>10000000000</v>
      </c>
      <c r="F9" s="7">
        <f>'ban co ca nam 2010'!BL10</f>
        <v>48321021190</v>
      </c>
      <c r="G9" s="7">
        <f t="shared" si="1"/>
        <v>0</v>
      </c>
      <c r="H9" s="7">
        <f t="shared" si="0"/>
        <v>0</v>
      </c>
    </row>
    <row r="10" spans="1:8" ht="18.75" customHeight="1">
      <c r="A10" s="5">
        <v>141</v>
      </c>
      <c r="B10" s="6" t="s">
        <v>21</v>
      </c>
      <c r="C10" s="7">
        <v>984877500</v>
      </c>
      <c r="D10" s="7"/>
      <c r="E10" s="7">
        <f>'ban co ca nam 2010'!BK11</f>
        <v>563000000</v>
      </c>
      <c r="F10" s="7">
        <f>'ban co ca nam 2010'!BL11</f>
        <v>671864500</v>
      </c>
      <c r="G10" s="7">
        <f t="shared" si="1"/>
        <v>876013000</v>
      </c>
      <c r="H10" s="7">
        <f t="shared" si="0"/>
        <v>0</v>
      </c>
    </row>
    <row r="11" spans="1:8" ht="18.75" customHeight="1">
      <c r="A11" s="5">
        <v>142</v>
      </c>
      <c r="B11" s="6" t="s">
        <v>22</v>
      </c>
      <c r="C11" s="7">
        <v>48239547</v>
      </c>
      <c r="D11" s="7"/>
      <c r="E11" s="7">
        <f>'ban co ca nam 2010'!BK12</f>
        <v>74750000</v>
      </c>
      <c r="F11" s="7">
        <f>'ban co ca nam 2010'!BL12</f>
        <v>122989547</v>
      </c>
      <c r="G11" s="7">
        <f t="shared" si="1"/>
        <v>0</v>
      </c>
      <c r="H11" s="7">
        <f t="shared" si="0"/>
        <v>0</v>
      </c>
    </row>
    <row r="12" spans="1:8" ht="18.75" customHeight="1">
      <c r="A12" s="5">
        <v>144</v>
      </c>
      <c r="B12" s="6" t="s">
        <v>225</v>
      </c>
      <c r="C12" s="7">
        <v>5110000</v>
      </c>
      <c r="D12" s="7"/>
      <c r="E12" s="7">
        <f>'ban co ca nam 2010'!BK13</f>
        <v>0</v>
      </c>
      <c r="F12" s="7">
        <f>'ban co ca nam 2010'!BL13</f>
        <v>0</v>
      </c>
      <c r="G12" s="7">
        <f t="shared" si="1"/>
        <v>5110000</v>
      </c>
      <c r="H12" s="7">
        <f t="shared" si="0"/>
        <v>0</v>
      </c>
    </row>
    <row r="13" spans="1:8" ht="18.75" customHeight="1">
      <c r="A13" s="5">
        <v>152</v>
      </c>
      <c r="B13" s="6" t="s">
        <v>23</v>
      </c>
      <c r="C13" s="7">
        <v>8316543210</v>
      </c>
      <c r="D13" s="7"/>
      <c r="E13" s="7">
        <f>'ban co ca nam 2010'!BK14</f>
        <v>12131496739</v>
      </c>
      <c r="F13" s="7">
        <f>'ban co ca nam 2010'!BL14</f>
        <v>13439321079</v>
      </c>
      <c r="G13" s="7">
        <f t="shared" si="1"/>
        <v>7008718870</v>
      </c>
      <c r="H13" s="7">
        <f t="shared" si="0"/>
        <v>0</v>
      </c>
    </row>
    <row r="14" spans="1:8" ht="18.75" customHeight="1">
      <c r="A14" s="5">
        <v>153</v>
      </c>
      <c r="B14" s="6" t="s">
        <v>24</v>
      </c>
      <c r="C14" s="7">
        <v>317423183</v>
      </c>
      <c r="D14" s="7"/>
      <c r="E14" s="7">
        <f>'ban co ca nam 2010'!BK15</f>
        <v>225137988</v>
      </c>
      <c r="F14" s="7">
        <f>'ban co ca nam 2010'!BL15</f>
        <v>503138775</v>
      </c>
      <c r="G14" s="7">
        <f t="shared" si="1"/>
        <v>39422396</v>
      </c>
      <c r="H14" s="7">
        <f t="shared" si="0"/>
        <v>0</v>
      </c>
    </row>
    <row r="15" spans="1:8" ht="18.75" customHeight="1">
      <c r="A15" s="5">
        <v>154</v>
      </c>
      <c r="B15" s="6" t="s">
        <v>25</v>
      </c>
      <c r="C15" s="7">
        <v>21962646780</v>
      </c>
      <c r="D15" s="7"/>
      <c r="E15" s="7">
        <f>'ban co ca nam 2010'!BK16-7037358043</f>
        <v>122029813413</v>
      </c>
      <c r="F15" s="7">
        <f>'ban co ca nam 2010'!BL16-7037358043</f>
        <v>82354557476</v>
      </c>
      <c r="G15" s="7">
        <f t="shared" si="1"/>
        <v>61637902717</v>
      </c>
      <c r="H15" s="7">
        <f t="shared" si="0"/>
        <v>0</v>
      </c>
    </row>
    <row r="16" spans="1:8" ht="18.75" customHeight="1">
      <c r="A16" s="5">
        <v>155</v>
      </c>
      <c r="B16" s="6" t="s">
        <v>26</v>
      </c>
      <c r="C16" s="7">
        <v>555880559</v>
      </c>
      <c r="D16" s="7"/>
      <c r="E16" s="7">
        <f>'ban co ca nam 2010'!BK17</f>
        <v>15989737023</v>
      </c>
      <c r="F16" s="7">
        <f>'ban co ca nam 2010'!BL17</f>
        <v>15513802400</v>
      </c>
      <c r="G16" s="7">
        <f t="shared" si="1"/>
        <v>1031815182</v>
      </c>
      <c r="H16" s="7">
        <f t="shared" si="0"/>
        <v>0</v>
      </c>
    </row>
    <row r="17" spans="1:8" ht="18.75" customHeight="1">
      <c r="A17" s="5">
        <v>156</v>
      </c>
      <c r="B17" s="6" t="s">
        <v>27</v>
      </c>
      <c r="C17" s="7"/>
      <c r="D17" s="7"/>
      <c r="E17" s="7">
        <f>'ban co ca nam 2010'!BK18</f>
        <v>3429810236</v>
      </c>
      <c r="F17" s="7">
        <f>'ban co ca nam 2010'!BL18</f>
        <v>2896153569</v>
      </c>
      <c r="G17" s="7">
        <f t="shared" si="1"/>
        <v>533656667</v>
      </c>
      <c r="H17" s="7">
        <f t="shared" si="0"/>
        <v>0</v>
      </c>
    </row>
    <row r="18" spans="1:8" ht="18.75" customHeight="1">
      <c r="A18" s="5">
        <v>159</v>
      </c>
      <c r="B18" s="6" t="s">
        <v>250</v>
      </c>
      <c r="C18" s="7"/>
      <c r="D18" s="7"/>
      <c r="E18" s="7">
        <f>'ban co ca nam 2010'!BK19</f>
        <v>0</v>
      </c>
      <c r="F18" s="7">
        <f>'ban co ca nam 2010'!BL19</f>
        <v>0</v>
      </c>
      <c r="G18" s="7">
        <f t="shared" si="1"/>
        <v>0</v>
      </c>
      <c r="H18" s="7">
        <f t="shared" si="0"/>
        <v>0</v>
      </c>
    </row>
    <row r="19" spans="1:8" ht="18.75" customHeight="1">
      <c r="A19" s="5">
        <v>211</v>
      </c>
      <c r="B19" s="6" t="s">
        <v>28</v>
      </c>
      <c r="C19" s="7">
        <v>23960779537</v>
      </c>
      <c r="D19" s="7"/>
      <c r="E19" s="7">
        <f>'ban co ca nam 2010'!BK20</f>
        <v>1930014909</v>
      </c>
      <c r="F19" s="7">
        <f>'ban co ca nam 2010'!BL20</f>
        <v>1923605887</v>
      </c>
      <c r="G19" s="7">
        <f>IF((E19+C19)&gt;(F19+D19),(E19+C19)-(F19+D19),0)</f>
        <v>23967188559</v>
      </c>
      <c r="H19" s="7">
        <f>IF((F19+D19)&gt;(E19+C19),(F19+D19)-(E19+C19),0)</f>
        <v>0</v>
      </c>
    </row>
    <row r="20" spans="1:8" ht="18.75" customHeight="1">
      <c r="A20" s="5">
        <v>214</v>
      </c>
      <c r="B20" s="6" t="s">
        <v>29</v>
      </c>
      <c r="C20" s="7"/>
      <c r="D20" s="7">
        <v>8301046405</v>
      </c>
      <c r="E20" s="7">
        <f>'ban co ca nam 2010'!BK21</f>
        <v>963913618</v>
      </c>
      <c r="F20" s="7">
        <f>'ban co ca nam 2010'!BL21</f>
        <v>1164992359</v>
      </c>
      <c r="G20" s="7">
        <f t="shared" si="1"/>
        <v>0</v>
      </c>
      <c r="H20" s="7">
        <f t="shared" si="0"/>
        <v>8502125146</v>
      </c>
    </row>
    <row r="21" spans="1:8" ht="18.75" customHeight="1">
      <c r="A21" s="5">
        <v>221</v>
      </c>
      <c r="B21" s="6" t="s">
        <v>224</v>
      </c>
      <c r="C21" s="7">
        <v>3125000000</v>
      </c>
      <c r="D21" s="7"/>
      <c r="E21" s="7">
        <f>'ban co ca nam 2010'!BK22</f>
        <v>0</v>
      </c>
      <c r="F21" s="7">
        <f>'ban co ca nam 2010'!BL22</f>
        <v>0</v>
      </c>
      <c r="G21" s="7">
        <f t="shared" si="1"/>
        <v>3125000000</v>
      </c>
      <c r="H21" s="7">
        <f t="shared" si="0"/>
        <v>0</v>
      </c>
    </row>
    <row r="22" spans="1:8" ht="18.75" customHeight="1">
      <c r="A22" s="5">
        <v>222</v>
      </c>
      <c r="B22" s="6" t="s">
        <v>211</v>
      </c>
      <c r="C22" s="7"/>
      <c r="D22" s="7">
        <v>9811306068</v>
      </c>
      <c r="E22" s="7">
        <f>'ban co ca nam 2010'!BK23-8400000000+7037358043</f>
        <v>10137358043</v>
      </c>
      <c r="F22" s="7">
        <f>'ban co ca nam 2010'!BL23</f>
        <v>2000000000</v>
      </c>
      <c r="G22" s="7">
        <f t="shared" si="1"/>
        <v>0</v>
      </c>
      <c r="H22" s="7">
        <f t="shared" si="0"/>
        <v>1673948025</v>
      </c>
    </row>
    <row r="23" spans="1:8" ht="18.75" customHeight="1">
      <c r="A23" s="5">
        <v>241</v>
      </c>
      <c r="B23" s="6" t="s">
        <v>30</v>
      </c>
      <c r="C23" s="7"/>
      <c r="D23" s="7"/>
      <c r="E23" s="7">
        <v>7037358043</v>
      </c>
      <c r="F23" s="7">
        <v>7037358043</v>
      </c>
      <c r="G23" s="7">
        <f t="shared" si="1"/>
        <v>0</v>
      </c>
      <c r="H23" s="7">
        <f t="shared" si="0"/>
        <v>0</v>
      </c>
    </row>
    <row r="24" spans="1:8" ht="18.75" customHeight="1">
      <c r="A24" s="5">
        <v>242</v>
      </c>
      <c r="B24" s="6" t="s">
        <v>31</v>
      </c>
      <c r="C24" s="7"/>
      <c r="D24" s="7"/>
      <c r="E24" s="7">
        <f>'ban co ca nam 2010'!BK25</f>
        <v>0</v>
      </c>
      <c r="F24" s="7">
        <f>'ban co ca nam 2010'!BL25</f>
        <v>0</v>
      </c>
      <c r="G24" s="7">
        <f t="shared" si="1"/>
        <v>0</v>
      </c>
      <c r="H24" s="7">
        <f t="shared" si="0"/>
        <v>0</v>
      </c>
    </row>
    <row r="25" spans="1:8" ht="18.75" customHeight="1">
      <c r="A25" s="5">
        <v>311</v>
      </c>
      <c r="B25" s="6" t="s">
        <v>212</v>
      </c>
      <c r="C25" s="7"/>
      <c r="D25" s="7">
        <v>10000000000</v>
      </c>
      <c r="E25" s="7">
        <f>'ban co ca nam 2010'!BK26</f>
        <v>10000000000</v>
      </c>
      <c r="F25" s="7">
        <f>'ban co ca nam 2010'!BL26</f>
        <v>0</v>
      </c>
      <c r="G25" s="7">
        <f t="shared" si="1"/>
        <v>0</v>
      </c>
      <c r="H25" s="7">
        <f t="shared" si="0"/>
        <v>0</v>
      </c>
    </row>
    <row r="26" spans="1:9" ht="18.75" customHeight="1">
      <c r="A26" s="5">
        <v>331</v>
      </c>
      <c r="B26" s="6" t="s">
        <v>32</v>
      </c>
      <c r="C26" s="7">
        <v>12831340284</v>
      </c>
      <c r="D26" s="7">
        <v>7353212377</v>
      </c>
      <c r="E26" s="7">
        <f>'ban co ca nam 2010'!BK27</f>
        <v>59364341494</v>
      </c>
      <c r="F26" s="7">
        <f>'ban co ca nam 2010'!BL27</f>
        <v>92128271518</v>
      </c>
      <c r="G26" s="7">
        <v>157104579</v>
      </c>
      <c r="H26" s="7">
        <v>27442906696</v>
      </c>
      <c r="I26" s="1">
        <f>F26+D26-C26-E26+G26</f>
        <v>27442906696</v>
      </c>
    </row>
    <row r="27" spans="1:8" ht="18.75" customHeight="1">
      <c r="A27" s="5">
        <v>3331</v>
      </c>
      <c r="B27" s="6" t="s">
        <v>33</v>
      </c>
      <c r="C27" s="7"/>
      <c r="D27" s="7">
        <v>212357123</v>
      </c>
      <c r="E27" s="7">
        <f>'ban co ca nam 2010'!BK28</f>
        <v>11927753484</v>
      </c>
      <c r="F27" s="7">
        <f>'ban co ca nam 2010'!BL28-745272709</f>
        <v>13695547092</v>
      </c>
      <c r="G27" s="7">
        <f t="shared" si="1"/>
        <v>0</v>
      </c>
      <c r="H27" s="7">
        <f t="shared" si="0"/>
        <v>1980150731</v>
      </c>
    </row>
    <row r="28" spans="1:10" ht="18.75" customHeight="1">
      <c r="A28" s="5">
        <v>3334</v>
      </c>
      <c r="B28" s="6" t="s">
        <v>249</v>
      </c>
      <c r="C28" s="7">
        <v>832441818</v>
      </c>
      <c r="D28" s="7"/>
      <c r="E28" s="7">
        <f>'ban co ca nam 2010'!BK29</f>
        <v>1440361925</v>
      </c>
      <c r="F28" s="7">
        <v>1179616012</v>
      </c>
      <c r="G28" s="7">
        <f t="shared" si="1"/>
        <v>1093187731</v>
      </c>
      <c r="H28" s="7">
        <f t="shared" si="0"/>
        <v>0</v>
      </c>
      <c r="I28" s="153">
        <f>H45*25/100-1054569967</f>
        <v>-1054569967</v>
      </c>
      <c r="J28" s="153" t="s">
        <v>260</v>
      </c>
    </row>
    <row r="29" spans="1:8" ht="18.75" customHeight="1">
      <c r="A29" s="5">
        <v>3335</v>
      </c>
      <c r="B29" s="6" t="s">
        <v>216</v>
      </c>
      <c r="C29" s="7"/>
      <c r="D29" s="7">
        <v>1560400</v>
      </c>
      <c r="E29" s="7">
        <f>'ban co ca nam 2010'!BK30</f>
        <v>17416186</v>
      </c>
      <c r="F29" s="7">
        <f>'ban co ca nam 2010'!BL30</f>
        <v>83105527</v>
      </c>
      <c r="G29" s="7">
        <f t="shared" si="1"/>
        <v>0</v>
      </c>
      <c r="H29" s="7">
        <f t="shared" si="0"/>
        <v>67249741</v>
      </c>
    </row>
    <row r="30" spans="1:8" ht="18.75" customHeight="1">
      <c r="A30" s="5">
        <v>3337</v>
      </c>
      <c r="B30" s="6" t="s">
        <v>34</v>
      </c>
      <c r="C30" s="7"/>
      <c r="D30" s="7">
        <v>37373800</v>
      </c>
      <c r="E30" s="7">
        <f>'ban co ca nam 2010'!BK31</f>
        <v>420675600</v>
      </c>
      <c r="F30" s="7">
        <f>'ban co ca nam 2010'!BL31</f>
        <v>383301800</v>
      </c>
      <c r="G30" s="7">
        <f t="shared" si="1"/>
        <v>0</v>
      </c>
      <c r="H30" s="7">
        <f t="shared" si="0"/>
        <v>0</v>
      </c>
    </row>
    <row r="31" spans="1:11" s="143" customFormat="1" ht="18.75" customHeight="1">
      <c r="A31" s="64">
        <v>334</v>
      </c>
      <c r="B31" s="65" t="s">
        <v>35</v>
      </c>
      <c r="C31" s="66"/>
      <c r="D31" s="66"/>
      <c r="E31" s="66">
        <f>'ban co ca nam 2010'!BK32</f>
        <v>10141027200</v>
      </c>
      <c r="F31" s="66">
        <f>'ban co ca nam 2010'!BL32</f>
        <v>12109735200</v>
      </c>
      <c r="G31" s="66">
        <f t="shared" si="1"/>
        <v>0</v>
      </c>
      <c r="H31" s="66">
        <f t="shared" si="0"/>
        <v>1968708000</v>
      </c>
      <c r="I31" s="146"/>
      <c r="J31" s="146"/>
      <c r="K31" s="146"/>
    </row>
    <row r="32" spans="1:8" ht="18.75" customHeight="1">
      <c r="A32" s="5">
        <v>3381</v>
      </c>
      <c r="B32" s="6" t="s">
        <v>217</v>
      </c>
      <c r="C32" s="7"/>
      <c r="D32" s="7"/>
      <c r="E32" s="7">
        <f>'ban co ca nam 2010'!BK33</f>
        <v>0</v>
      </c>
      <c r="F32" s="7">
        <f>'ban co ca nam 2010'!BL33</f>
        <v>0</v>
      </c>
      <c r="G32" s="7">
        <f t="shared" si="1"/>
        <v>0</v>
      </c>
      <c r="H32" s="7">
        <f t="shared" si="0"/>
        <v>0</v>
      </c>
    </row>
    <row r="33" spans="1:9" ht="18.75" customHeight="1">
      <c r="A33" s="5">
        <v>3382</v>
      </c>
      <c r="B33" s="6" t="s">
        <v>36</v>
      </c>
      <c r="C33" s="7"/>
      <c r="D33" s="7"/>
      <c r="E33" s="7">
        <f>'ban co ca nam 2010'!BK34</f>
        <v>102883600</v>
      </c>
      <c r="F33" s="7">
        <f>'ban co ca nam 2010'!BL34</f>
        <v>102883600</v>
      </c>
      <c r="G33" s="7">
        <f t="shared" si="1"/>
        <v>0</v>
      </c>
      <c r="H33" s="7">
        <f t="shared" si="0"/>
        <v>0</v>
      </c>
      <c r="I33" s="1">
        <f>E33-F33</f>
        <v>0</v>
      </c>
    </row>
    <row r="34" spans="1:10" ht="18.75" customHeight="1">
      <c r="A34" s="5">
        <v>3383</v>
      </c>
      <c r="B34" s="6" t="s">
        <v>37</v>
      </c>
      <c r="C34" s="7">
        <v>132465105</v>
      </c>
      <c r="D34" s="7"/>
      <c r="E34" s="7">
        <f>'ban co ca nam 2010'!BK35</f>
        <v>1530837620</v>
      </c>
      <c r="F34" s="7">
        <f>'ban co ca nam 2010'!BL35</f>
        <v>1487125193</v>
      </c>
      <c r="G34" s="7">
        <f t="shared" si="1"/>
        <v>176177532</v>
      </c>
      <c r="H34" s="7">
        <f t="shared" si="0"/>
        <v>0</v>
      </c>
      <c r="I34" s="1">
        <f>E34+E35+E38</f>
        <v>1871509814</v>
      </c>
      <c r="J34" s="1">
        <f>F34+F35+F38</f>
        <v>1827797387</v>
      </c>
    </row>
    <row r="35" spans="1:8" ht="18.75" customHeight="1">
      <c r="A35" s="5">
        <v>3384</v>
      </c>
      <c r="B35" s="6" t="s">
        <v>38</v>
      </c>
      <c r="C35" s="7"/>
      <c r="D35" s="7"/>
      <c r="E35" s="7">
        <f>'ban co ca nam 2010'!BK36</f>
        <v>237027779</v>
      </c>
      <c r="F35" s="7">
        <f>'ban co ca nam 2010'!BL36</f>
        <v>237027779</v>
      </c>
      <c r="G35" s="7">
        <f t="shared" si="1"/>
        <v>0</v>
      </c>
      <c r="H35" s="7">
        <f t="shared" si="0"/>
        <v>0</v>
      </c>
    </row>
    <row r="36" spans="1:8" ht="18.75" customHeight="1">
      <c r="A36" s="5">
        <v>3387</v>
      </c>
      <c r="B36" s="6" t="s">
        <v>39</v>
      </c>
      <c r="C36" s="7"/>
      <c r="D36" s="7">
        <v>34286263017</v>
      </c>
      <c r="E36" s="7">
        <f>'ban co ca nam 2010'!BK37</f>
        <v>2223793454</v>
      </c>
      <c r="F36" s="7">
        <f>'ban co ca nam 2010'!BL37</f>
        <v>47207990107</v>
      </c>
      <c r="G36" s="7">
        <f t="shared" si="1"/>
        <v>0</v>
      </c>
      <c r="H36" s="7">
        <f t="shared" si="0"/>
        <v>79270459670</v>
      </c>
    </row>
    <row r="37" spans="1:8" ht="18.75" customHeight="1">
      <c r="A37" s="64">
        <v>3388</v>
      </c>
      <c r="B37" s="65" t="s">
        <v>40</v>
      </c>
      <c r="C37" s="66"/>
      <c r="D37" s="66"/>
      <c r="E37" s="7">
        <f>'ban co ca nam 2010'!BK38</f>
        <v>22024625000</v>
      </c>
      <c r="F37" s="7">
        <f>'ban co ca nam 2010'!BL38</f>
        <v>22024625000</v>
      </c>
      <c r="G37" s="66">
        <f t="shared" si="1"/>
        <v>0</v>
      </c>
      <c r="H37" s="66">
        <f t="shared" si="0"/>
        <v>0</v>
      </c>
    </row>
    <row r="38" spans="1:8" ht="18.75" customHeight="1">
      <c r="A38" s="5">
        <v>3389</v>
      </c>
      <c r="B38" s="6" t="s">
        <v>221</v>
      </c>
      <c r="C38" s="7"/>
      <c r="D38" s="7"/>
      <c r="E38" s="7">
        <f>'ban co ca nam 2010'!BK39</f>
        <v>103644415</v>
      </c>
      <c r="F38" s="7">
        <f>'ban co ca nam 2010'!BL39</f>
        <v>103644415</v>
      </c>
      <c r="G38" s="7">
        <f t="shared" si="1"/>
        <v>0</v>
      </c>
      <c r="H38" s="7">
        <f t="shared" si="0"/>
        <v>0</v>
      </c>
    </row>
    <row r="39" spans="1:12" ht="18.75" customHeight="1">
      <c r="A39" s="5">
        <v>351</v>
      </c>
      <c r="B39" s="6" t="s">
        <v>226</v>
      </c>
      <c r="C39" s="7"/>
      <c r="D39" s="7">
        <v>426026080</v>
      </c>
      <c r="E39" s="7">
        <f>'ban co ca nam 2010'!BK40</f>
        <v>0</v>
      </c>
      <c r="F39" s="7">
        <f>'ban co ca nam 2010'!BL40</f>
        <v>0</v>
      </c>
      <c r="G39" s="7">
        <f t="shared" si="1"/>
        <v>0</v>
      </c>
      <c r="H39" s="7">
        <f t="shared" si="0"/>
        <v>426026080</v>
      </c>
      <c r="J39" s="1" t="s">
        <v>258</v>
      </c>
      <c r="K39" s="1" t="s">
        <v>256</v>
      </c>
      <c r="L39" s="2" t="s">
        <v>257</v>
      </c>
    </row>
    <row r="40" spans="1:8" ht="18.75" customHeight="1">
      <c r="A40" s="5">
        <v>411</v>
      </c>
      <c r="B40" s="6" t="s">
        <v>41</v>
      </c>
      <c r="C40" s="7"/>
      <c r="D40" s="7">
        <v>41813584381</v>
      </c>
      <c r="E40" s="7">
        <f>'ban co ca nam 2010'!BK41</f>
        <v>0</v>
      </c>
      <c r="F40" s="7">
        <f>'ban co ca nam 2010'!BL41-2700710052+2388166871</f>
        <v>9410416871</v>
      </c>
      <c r="G40" s="7">
        <f t="shared" si="1"/>
        <v>0</v>
      </c>
      <c r="H40" s="7">
        <f t="shared" si="0"/>
        <v>51224001252</v>
      </c>
    </row>
    <row r="41" spans="1:13" ht="18.75" customHeight="1">
      <c r="A41" s="5">
        <v>413</v>
      </c>
      <c r="B41" s="6" t="s">
        <v>219</v>
      </c>
      <c r="C41" s="7"/>
      <c r="D41" s="7"/>
      <c r="E41" s="7">
        <f>'ban co ca nam 2010'!BK42</f>
        <v>15400081</v>
      </c>
      <c r="F41" s="7">
        <f>'ban co ca nam 2010'!BL42</f>
        <v>15400081</v>
      </c>
      <c r="G41" s="7">
        <f>IF((E40+C40)&gt;(F40+D40),(E40+C40)-(F40+D40),0)</f>
        <v>0</v>
      </c>
      <c r="H41" s="7">
        <f t="shared" si="0"/>
        <v>0</v>
      </c>
      <c r="J41" s="1">
        <v>10909090896</v>
      </c>
      <c r="K41" s="1">
        <v>708301440</v>
      </c>
      <c r="L41" s="150">
        <v>1321482182</v>
      </c>
      <c r="M41" s="150"/>
    </row>
    <row r="42" spans="1:13" ht="18.75" customHeight="1">
      <c r="A42" s="5">
        <v>414</v>
      </c>
      <c r="B42" s="6" t="s">
        <v>42</v>
      </c>
      <c r="C42" s="7"/>
      <c r="D42" s="7">
        <v>3493059441</v>
      </c>
      <c r="E42" s="7">
        <f>'ban co ca nam 2010'!BK43</f>
        <v>0</v>
      </c>
      <c r="F42" s="7">
        <f>'ban co ca nam 2010'!BL43</f>
        <v>0</v>
      </c>
      <c r="G42" s="7">
        <f>IF((E41+C41)&gt;(F41+D41),(E41+C41)-(F41+D41),0)</f>
        <v>0</v>
      </c>
      <c r="H42" s="7">
        <f t="shared" si="0"/>
        <v>3493059441</v>
      </c>
      <c r="J42" s="1">
        <v>9873636359</v>
      </c>
      <c r="K42" s="1">
        <v>560847125</v>
      </c>
      <c r="L42" s="150">
        <v>991111636</v>
      </c>
      <c r="M42" s="150"/>
    </row>
    <row r="43" spans="1:13" ht="18.75" customHeight="1">
      <c r="A43" s="5">
        <v>415</v>
      </c>
      <c r="B43" s="6" t="s">
        <v>220</v>
      </c>
      <c r="C43" s="7"/>
      <c r="D43" s="7">
        <v>681960052</v>
      </c>
      <c r="E43" s="7">
        <f>'ban co ca nam 2010'!BK44</f>
        <v>0</v>
      </c>
      <c r="F43" s="7">
        <v>353802499</v>
      </c>
      <c r="G43" s="7">
        <f>IF((E42+C42)&gt;(F42+D42),(E42+C42)-(F42+D42),0)</f>
        <v>0</v>
      </c>
      <c r="H43" s="7">
        <f t="shared" si="0"/>
        <v>1035762551</v>
      </c>
      <c r="J43" s="1">
        <v>59898301654</v>
      </c>
      <c r="K43" s="1">
        <v>560847125</v>
      </c>
      <c r="L43" s="150">
        <v>655657091</v>
      </c>
      <c r="M43" s="150"/>
    </row>
    <row r="44" spans="1:13" ht="18.75" customHeight="1">
      <c r="A44" s="5">
        <v>418</v>
      </c>
      <c r="B44" s="6" t="s">
        <v>222</v>
      </c>
      <c r="C44" s="7"/>
      <c r="D44" s="7">
        <v>177861656</v>
      </c>
      <c r="E44" s="7">
        <f>'ban co ca nam 2010'!BK45</f>
        <v>0</v>
      </c>
      <c r="F44" s="7">
        <v>159211124</v>
      </c>
      <c r="G44" s="7">
        <f>IF((E43+C43)&gt;(F43+D43),(E43+C43)-(F43+D43),0)</f>
        <v>0</v>
      </c>
      <c r="H44" s="7">
        <f t="shared" si="0"/>
        <v>337072780</v>
      </c>
      <c r="K44" s="1">
        <v>547672388</v>
      </c>
      <c r="L44" s="150">
        <v>655657091</v>
      </c>
      <c r="M44" s="150"/>
    </row>
    <row r="45" spans="1:13" ht="18.75" customHeight="1">
      <c r="A45" s="5">
        <v>421</v>
      </c>
      <c r="B45" s="6" t="s">
        <v>43</v>
      </c>
      <c r="C45" s="7"/>
      <c r="D45" s="7"/>
      <c r="E45" s="7">
        <v>4718464049</v>
      </c>
      <c r="F45" s="7">
        <f>'ban co ca nam 2010'!BL46-7654727291+7037358043</f>
        <v>4718464049</v>
      </c>
      <c r="G45" s="7">
        <f>IF((E45+C45)&gt;(F45+D45),(E45+C45)-(F45+D45),0)</f>
        <v>0</v>
      </c>
      <c r="H45" s="144">
        <f t="shared" si="0"/>
        <v>0</v>
      </c>
      <c r="I45" s="1">
        <v>279182596</v>
      </c>
      <c r="K45" s="1">
        <v>550412260</v>
      </c>
      <c r="L45" s="150">
        <v>655657091</v>
      </c>
      <c r="M45" s="150"/>
    </row>
    <row r="46" spans="1:13" ht="18.75" customHeight="1">
      <c r="A46" s="5">
        <v>353</v>
      </c>
      <c r="B46" s="6" t="s">
        <v>44</v>
      </c>
      <c r="C46" s="7"/>
      <c r="D46" s="7">
        <v>743737802</v>
      </c>
      <c r="E46" s="7">
        <f>'ban co ca nam 2010'!BK47</f>
        <v>408590000</v>
      </c>
      <c r="F46" s="7">
        <f>'ban co ca nam 2010'!BL47-720189347+636844498</f>
        <v>637744498</v>
      </c>
      <c r="G46" s="7">
        <f t="shared" si="1"/>
        <v>0</v>
      </c>
      <c r="H46" s="7">
        <f>IF((F46+D46)&gt;(E46+C46),(F46+D46)-(E46+C46),0)</f>
        <v>972892300</v>
      </c>
      <c r="I46" s="1">
        <f>H45-I45</f>
        <v>-279182596</v>
      </c>
      <c r="K46" s="1">
        <v>722788477</v>
      </c>
      <c r="L46" s="150">
        <v>857847273</v>
      </c>
      <c r="M46" s="150"/>
    </row>
    <row r="47" spans="1:13" ht="18.75" customHeight="1">
      <c r="A47" s="5">
        <v>441</v>
      </c>
      <c r="B47" s="6" t="s">
        <v>45</v>
      </c>
      <c r="C47" s="7"/>
      <c r="D47" s="7"/>
      <c r="E47" s="7">
        <f>'ban co ca nam 2010'!BK48</f>
        <v>0</v>
      </c>
      <c r="F47" s="7">
        <f>'ban co ca nam 2010'!BL48</f>
        <v>0</v>
      </c>
      <c r="G47" s="7">
        <f t="shared" si="1"/>
        <v>0</v>
      </c>
      <c r="H47" s="7">
        <f aca="true" t="shared" si="2" ref="H47:H58">IF((F47+D47)&gt;(E47+C47),(F47+D47)-(E47+C47),0)</f>
        <v>0</v>
      </c>
      <c r="K47" s="1">
        <v>644437315</v>
      </c>
      <c r="L47" s="150">
        <v>779325745</v>
      </c>
      <c r="M47" s="150"/>
    </row>
    <row r="48" spans="1:13" ht="18.75" customHeight="1">
      <c r="A48" s="5">
        <v>511</v>
      </c>
      <c r="B48" s="6" t="s">
        <v>46</v>
      </c>
      <c r="C48" s="7"/>
      <c r="D48" s="7"/>
      <c r="E48" s="7">
        <f>'ban co ca nam 2010'!BK50-7654727291</f>
        <v>105530509929</v>
      </c>
      <c r="F48" s="7">
        <f>'ban co ca nam 2010'!BL49+'ban co ca nam 2010'!BL50+'ban co ca nam 2010'!BL51-7654727291</f>
        <v>105530509929</v>
      </c>
      <c r="G48" s="7">
        <f t="shared" si="1"/>
        <v>0</v>
      </c>
      <c r="H48" s="7">
        <f t="shared" si="2"/>
        <v>0</v>
      </c>
      <c r="K48" s="1">
        <v>667796212</v>
      </c>
      <c r="L48" s="150">
        <v>1111896727</v>
      </c>
      <c r="M48" s="150"/>
    </row>
    <row r="49" spans="1:13" ht="18.75" customHeight="1">
      <c r="A49" s="5">
        <v>531</v>
      </c>
      <c r="B49" s="6" t="s">
        <v>47</v>
      </c>
      <c r="C49" s="7"/>
      <c r="D49" s="7"/>
      <c r="E49" s="7">
        <f>'ban co ca nam 2010'!BK52</f>
        <v>553183044</v>
      </c>
      <c r="F49" s="7">
        <f>'ban co ca nam 2010'!BL52</f>
        <v>553183044</v>
      </c>
      <c r="G49" s="7">
        <f t="shared" si="1"/>
        <v>0</v>
      </c>
      <c r="H49" s="7">
        <f t="shared" si="2"/>
        <v>0</v>
      </c>
      <c r="K49" s="1">
        <v>780950006</v>
      </c>
      <c r="L49" s="150">
        <v>1111896727</v>
      </c>
      <c r="M49" s="150"/>
    </row>
    <row r="50" spans="1:8" ht="18.75" customHeight="1">
      <c r="A50" s="5">
        <v>532</v>
      </c>
      <c r="B50" s="6" t="s">
        <v>223</v>
      </c>
      <c r="C50" s="7"/>
      <c r="D50" s="7"/>
      <c r="E50" s="7">
        <f>'ban co ca nam 2010'!BK53</f>
        <v>0</v>
      </c>
      <c r="F50" s="7">
        <f>'ban co ca nam 2010'!BL53</f>
        <v>0</v>
      </c>
      <c r="G50" s="7">
        <f t="shared" si="1"/>
        <v>0</v>
      </c>
      <c r="H50" s="7">
        <f t="shared" si="2"/>
        <v>0</v>
      </c>
    </row>
    <row r="51" spans="1:12" ht="18.75" customHeight="1">
      <c r="A51" s="5">
        <v>515</v>
      </c>
      <c r="B51" s="6" t="s">
        <v>245</v>
      </c>
      <c r="C51" s="7"/>
      <c r="D51" s="7"/>
      <c r="E51" s="7">
        <f>'ban co ca nam 2010'!BK54</f>
        <v>3171069370</v>
      </c>
      <c r="F51" s="7">
        <f>'ban co ca nam 2010'!BL54</f>
        <v>3171069370</v>
      </c>
      <c r="G51" s="7">
        <f t="shared" si="1"/>
        <v>0</v>
      </c>
      <c r="H51" s="7">
        <f t="shared" si="2"/>
        <v>0</v>
      </c>
      <c r="J51" s="149">
        <f>SUM(J41:J50)</f>
        <v>80681028909</v>
      </c>
      <c r="K51" s="149">
        <f>SUM(K41:K50)+582106744</f>
        <v>6326159092</v>
      </c>
      <c r="L51" s="151">
        <f>SUM(L41:L50)</f>
        <v>8140531563</v>
      </c>
    </row>
    <row r="52" spans="1:8" ht="18.75" customHeight="1">
      <c r="A52" s="5">
        <v>627</v>
      </c>
      <c r="B52" s="6" t="s">
        <v>48</v>
      </c>
      <c r="C52" s="7"/>
      <c r="D52" s="7"/>
      <c r="E52" s="7">
        <f>'ban co ca nam 2010'!BK55+'ban co ca nam 2010'!BK56+'ban co ca nam 2010'!BK57</f>
        <v>15989737023</v>
      </c>
      <c r="F52" s="7">
        <f>'ban co ca nam 2010'!BL55+'ban co ca nam 2010'!BL56+'ban co ca nam 2010'!BL57</f>
        <v>15989737023</v>
      </c>
      <c r="G52" s="7">
        <f t="shared" si="1"/>
        <v>0</v>
      </c>
      <c r="H52" s="7">
        <f t="shared" si="2"/>
        <v>0</v>
      </c>
    </row>
    <row r="53" spans="1:8" ht="18.75" customHeight="1">
      <c r="A53" s="5">
        <v>632</v>
      </c>
      <c r="B53" s="6" t="s">
        <v>51</v>
      </c>
      <c r="C53" s="7"/>
      <c r="D53" s="7"/>
      <c r="E53" s="7">
        <f>'ban co ca nam 2010'!BK60-7037358043</f>
        <v>84774776422</v>
      </c>
      <c r="F53" s="7">
        <f>'ban co ca nam 2010'!BL60-7037358043</f>
        <v>84774776422</v>
      </c>
      <c r="G53" s="7">
        <f t="shared" si="1"/>
        <v>0</v>
      </c>
      <c r="H53" s="7">
        <f t="shared" si="2"/>
        <v>0</v>
      </c>
    </row>
    <row r="54" spans="1:11" ht="18.75" customHeight="1">
      <c r="A54" s="5">
        <v>641</v>
      </c>
      <c r="B54" s="6" t="s">
        <v>49</v>
      </c>
      <c r="C54" s="7"/>
      <c r="D54" s="7"/>
      <c r="E54" s="7">
        <f>'ban co ca nam 2010'!BK58</f>
        <v>1696725547</v>
      </c>
      <c r="F54" s="7">
        <f>'ban co ca nam 2010'!BL58</f>
        <v>1696725547</v>
      </c>
      <c r="G54" s="7">
        <f t="shared" si="1"/>
        <v>0</v>
      </c>
      <c r="H54" s="7">
        <f t="shared" si="2"/>
        <v>0</v>
      </c>
      <c r="K54" s="152" t="s">
        <v>259</v>
      </c>
    </row>
    <row r="55" spans="1:11" ht="18.75" customHeight="1">
      <c r="A55" s="5">
        <v>642</v>
      </c>
      <c r="B55" s="6" t="s">
        <v>263</v>
      </c>
      <c r="C55" s="7"/>
      <c r="D55" s="7"/>
      <c r="E55" s="7">
        <f>'ban co ca nam 2010'!BK59</f>
        <v>17290083403</v>
      </c>
      <c r="F55" s="7">
        <f>'ban co ca nam 2010'!BL59</f>
        <v>17290083403</v>
      </c>
      <c r="G55" s="7">
        <f t="shared" si="1"/>
        <v>0</v>
      </c>
      <c r="H55" s="7">
        <f t="shared" si="2"/>
        <v>0</v>
      </c>
      <c r="K55" s="1">
        <v>582106744</v>
      </c>
    </row>
    <row r="56" spans="1:11" ht="18.75" customHeight="1">
      <c r="A56" s="5">
        <v>711</v>
      </c>
      <c r="B56" s="6" t="s">
        <v>246</v>
      </c>
      <c r="C56" s="7"/>
      <c r="D56" s="7"/>
      <c r="E56" s="7">
        <f>'ban co ca nam 2010'!BK61</f>
        <v>769198104</v>
      </c>
      <c r="F56" s="7">
        <f>'ban co ca nam 2010'!BL61</f>
        <v>769198104</v>
      </c>
      <c r="G56" s="7">
        <f t="shared" si="1"/>
        <v>0</v>
      </c>
      <c r="H56" s="7">
        <f t="shared" si="2"/>
        <v>0</v>
      </c>
      <c r="K56" s="1">
        <v>1448746218</v>
      </c>
    </row>
    <row r="57" spans="1:11" ht="18.75" customHeight="1">
      <c r="A57" s="5">
        <v>811</v>
      </c>
      <c r="B57" s="6" t="s">
        <v>247</v>
      </c>
      <c r="C57" s="7"/>
      <c r="D57" s="7"/>
      <c r="E57" s="7">
        <f>'ban co ca nam 2010'!BK62</f>
        <v>437544938</v>
      </c>
      <c r="F57" s="7">
        <f>'ban co ca nam 2010'!BL62</f>
        <v>437544938</v>
      </c>
      <c r="G57" s="7">
        <f t="shared" si="1"/>
        <v>0</v>
      </c>
      <c r="H57" s="7">
        <f t="shared" si="2"/>
        <v>0</v>
      </c>
      <c r="K57" s="1">
        <v>4295306130</v>
      </c>
    </row>
    <row r="58" spans="1:8" ht="18.75" customHeight="1">
      <c r="A58" s="9">
        <v>911</v>
      </c>
      <c r="B58" s="10" t="s">
        <v>248</v>
      </c>
      <c r="C58" s="7"/>
      <c r="D58" s="7"/>
      <c r="E58" s="7">
        <f>'ban co ca nam 2010'!BK63-7654727291</f>
        <v>108917594359</v>
      </c>
      <c r="F58" s="7">
        <f>'ban co ca nam 2010'!BL63-7654727291</f>
        <v>108917594359</v>
      </c>
      <c r="G58" s="7">
        <f t="shared" si="1"/>
        <v>0</v>
      </c>
      <c r="H58" s="7">
        <f t="shared" si="2"/>
        <v>0</v>
      </c>
    </row>
    <row r="59" spans="1:11" s="70" customFormat="1" ht="18.75" customHeight="1">
      <c r="A59" s="112"/>
      <c r="B59" s="112" t="s">
        <v>227</v>
      </c>
      <c r="C59" s="11">
        <f aca="true" t="shared" si="3" ref="C59:H59">SUM(C4:C58)</f>
        <v>152235012686</v>
      </c>
      <c r="D59" s="11">
        <f t="shared" si="3"/>
        <v>152235012686</v>
      </c>
      <c r="E59" s="11">
        <f t="shared" si="3"/>
        <v>1297350260403</v>
      </c>
      <c r="F59" s="11">
        <f t="shared" si="3"/>
        <v>1297350260403</v>
      </c>
      <c r="G59" s="11">
        <f t="shared" si="3"/>
        <v>186273025856</v>
      </c>
      <c r="H59" s="11">
        <f t="shared" si="3"/>
        <v>186273025856</v>
      </c>
      <c r="I59" s="148"/>
      <c r="J59" s="147"/>
      <c r="K59" s="147"/>
    </row>
    <row r="60" spans="2:11" s="12" customFormat="1" ht="16.5" customHeight="1">
      <c r="B60" s="178" t="s">
        <v>52</v>
      </c>
      <c r="C60" s="178"/>
      <c r="D60" s="116"/>
      <c r="E60" s="13"/>
      <c r="F60" s="172" t="s">
        <v>53</v>
      </c>
      <c r="G60" s="172"/>
      <c r="H60" s="13"/>
      <c r="I60" s="13"/>
      <c r="J60" s="13"/>
      <c r="K60" s="13">
        <f>SUM(K55:K59)</f>
        <v>6326159092</v>
      </c>
    </row>
    <row r="61" ht="16.5" customHeight="1">
      <c r="H61" s="14">
        <f>G59-H59</f>
        <v>0</v>
      </c>
    </row>
    <row r="62" spans="2:11" s="68" customFormat="1" ht="16.5" customHeight="1">
      <c r="B62" s="67"/>
      <c r="C62" s="69"/>
      <c r="D62" s="69"/>
      <c r="E62" s="69"/>
      <c r="F62" s="69"/>
      <c r="G62" s="69"/>
      <c r="H62" s="69"/>
      <c r="I62" s="72"/>
      <c r="J62" s="69"/>
      <c r="K62" s="73"/>
    </row>
    <row r="63" spans="2:11" s="68" customFormat="1" ht="16.5" customHeight="1">
      <c r="B63" s="67"/>
      <c r="C63" s="69"/>
      <c r="D63" s="69"/>
      <c r="E63" s="69"/>
      <c r="F63" s="69"/>
      <c r="G63" s="69"/>
      <c r="H63" s="69"/>
      <c r="I63" s="69"/>
      <c r="J63" s="69"/>
      <c r="K63" s="73"/>
    </row>
    <row r="64" spans="2:11" s="68" customFormat="1" ht="16.5" customHeight="1">
      <c r="B64" s="67">
        <f>B62-B63</f>
        <v>0</v>
      </c>
      <c r="C64" s="69"/>
      <c r="D64" s="69"/>
      <c r="E64" s="69"/>
      <c r="F64" s="69"/>
      <c r="G64" s="69"/>
      <c r="H64" s="69"/>
      <c r="I64" s="69"/>
      <c r="J64" s="69"/>
      <c r="K64" s="73"/>
    </row>
    <row r="65" ht="16.5">
      <c r="K65" s="73"/>
    </row>
    <row r="66" ht="16.5">
      <c r="E66" s="73">
        <f>E59-E63</f>
        <v>1297350260403</v>
      </c>
    </row>
  </sheetData>
  <mergeCells count="9">
    <mergeCell ref="I1:T1"/>
    <mergeCell ref="B60:C60"/>
    <mergeCell ref="F60:G60"/>
    <mergeCell ref="A1:H1"/>
    <mergeCell ref="A2:A3"/>
    <mergeCell ref="B2:B3"/>
    <mergeCell ref="C2:D2"/>
    <mergeCell ref="E2:F2"/>
    <mergeCell ref="G2:H2"/>
  </mergeCells>
  <printOptions/>
  <pageMargins left="0.36" right="0.43" top="0.36" bottom="0.63" header="0.5" footer="1.17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61">
      <selection activeCell="A61" sqref="A1:IV16384"/>
    </sheetView>
  </sheetViews>
  <sheetFormatPr defaultColWidth="9.00390625" defaultRowHeight="12.75"/>
  <cols>
    <col min="1" max="1" width="45.25390625" style="18" customWidth="1"/>
    <col min="2" max="2" width="7.75390625" style="18" customWidth="1"/>
    <col min="3" max="3" width="6.375" style="18" customWidth="1"/>
    <col min="4" max="4" width="16.75390625" style="40" customWidth="1"/>
    <col min="5" max="5" width="18.125" style="40" customWidth="1"/>
    <col min="6" max="6" width="19.125" style="18" bestFit="1" customWidth="1"/>
    <col min="7" max="7" width="16.625" style="18" bestFit="1" customWidth="1"/>
    <col min="8" max="16384" width="9.125" style="18" customWidth="1"/>
  </cols>
  <sheetData>
    <row r="1" ht="16.5">
      <c r="A1" s="27" t="s">
        <v>54</v>
      </c>
    </row>
    <row r="2" ht="16.5">
      <c r="A2" s="27" t="s">
        <v>55</v>
      </c>
    </row>
    <row r="3" ht="15.75">
      <c r="A3" s="28"/>
    </row>
    <row r="4" spans="1:5" ht="24" customHeight="1">
      <c r="A4" s="184" t="s">
        <v>243</v>
      </c>
      <c r="B4" s="184"/>
      <c r="C4" s="184"/>
      <c r="D4" s="184"/>
      <c r="E4" s="184"/>
    </row>
    <row r="5" ht="15.75">
      <c r="E5" s="41" t="s">
        <v>61</v>
      </c>
    </row>
    <row r="6" spans="1:5" ht="15">
      <c r="A6" s="182" t="s">
        <v>56</v>
      </c>
      <c r="B6" s="181" t="s">
        <v>57</v>
      </c>
      <c r="C6" s="183" t="s">
        <v>58</v>
      </c>
      <c r="D6" s="180" t="s">
        <v>59</v>
      </c>
      <c r="E6" s="180" t="s">
        <v>60</v>
      </c>
    </row>
    <row r="7" spans="1:5" ht="15">
      <c r="A7" s="182"/>
      <c r="B7" s="181"/>
      <c r="C7" s="183"/>
      <c r="D7" s="180"/>
      <c r="E7" s="180"/>
    </row>
    <row r="8" spans="1:7" s="12" customFormat="1" ht="18.75" customHeight="1">
      <c r="A8" s="54" t="s">
        <v>149</v>
      </c>
      <c r="B8" s="30">
        <v>100</v>
      </c>
      <c r="C8" s="30"/>
      <c r="D8" s="53">
        <f>D10+D13+D16+D23+D26</f>
        <v>157911472034</v>
      </c>
      <c r="E8" s="53">
        <f>E10+E13+E16+E23+E26</f>
        <v>124184326226</v>
      </c>
      <c r="F8" s="57"/>
      <c r="G8" s="57"/>
    </row>
    <row r="9" spans="1:7" ht="18.75" customHeight="1">
      <c r="A9" s="29" t="s">
        <v>148</v>
      </c>
      <c r="B9" s="31"/>
      <c r="C9" s="31"/>
      <c r="D9" s="59"/>
      <c r="E9" s="59"/>
      <c r="F9" s="40"/>
      <c r="G9" s="40"/>
    </row>
    <row r="10" spans="1:7" s="25" customFormat="1" ht="18.75" customHeight="1">
      <c r="A10" s="24" t="s">
        <v>150</v>
      </c>
      <c r="B10" s="32">
        <v>110</v>
      </c>
      <c r="C10" s="32"/>
      <c r="D10" s="60">
        <f>SUM(D11:D12)</f>
        <v>29906113119</v>
      </c>
      <c r="E10" s="60">
        <f>SUM(E11:E12)</f>
        <v>13549366805</v>
      </c>
      <c r="F10" s="51"/>
      <c r="G10" s="51"/>
    </row>
    <row r="11" spans="1:7" ht="18.75" customHeight="1">
      <c r="A11" s="21" t="s">
        <v>62</v>
      </c>
      <c r="B11" s="33">
        <v>111</v>
      </c>
      <c r="C11" s="33" t="s">
        <v>153</v>
      </c>
      <c r="D11" s="58">
        <f>'BCDPS - 2010'!G4+'BCDPS - 2010'!G5</f>
        <v>29906113119</v>
      </c>
      <c r="E11" s="58">
        <f>'BCDPS - 2010'!C4+'BCDPS - 2010'!C5</f>
        <v>13549366805</v>
      </c>
      <c r="F11" s="40"/>
      <c r="G11" s="40"/>
    </row>
    <row r="12" spans="1:7" ht="18.75" customHeight="1">
      <c r="A12" s="21" t="s">
        <v>63</v>
      </c>
      <c r="B12" s="33">
        <v>112</v>
      </c>
      <c r="C12" s="33"/>
      <c r="D12" s="58"/>
      <c r="E12" s="58"/>
      <c r="F12" s="40"/>
      <c r="G12" s="40"/>
    </row>
    <row r="13" spans="1:7" s="25" customFormat="1" ht="18.75" customHeight="1">
      <c r="A13" s="24" t="s">
        <v>64</v>
      </c>
      <c r="B13" s="32">
        <v>120</v>
      </c>
      <c r="C13" s="32" t="s">
        <v>154</v>
      </c>
      <c r="D13" s="60">
        <f>D14</f>
        <v>44000000000</v>
      </c>
      <c r="E13" s="60">
        <f>E14</f>
        <v>20000000000</v>
      </c>
      <c r="F13" s="51"/>
      <c r="G13" s="51"/>
    </row>
    <row r="14" spans="1:7" ht="18.75" customHeight="1">
      <c r="A14" s="21" t="s">
        <v>65</v>
      </c>
      <c r="B14" s="33">
        <v>121</v>
      </c>
      <c r="C14" s="33"/>
      <c r="D14" s="58">
        <f>'BCDPS - 2010'!G6</f>
        <v>44000000000</v>
      </c>
      <c r="E14" s="58">
        <f>'BCDPS - 2010'!C6</f>
        <v>20000000000</v>
      </c>
      <c r="F14" s="40"/>
      <c r="G14" s="40"/>
    </row>
    <row r="15" spans="1:7" ht="18.75" customHeight="1">
      <c r="A15" s="21" t="s">
        <v>66</v>
      </c>
      <c r="B15" s="33">
        <v>129</v>
      </c>
      <c r="C15" s="33"/>
      <c r="D15" s="58"/>
      <c r="E15" s="58"/>
      <c r="F15" s="40"/>
      <c r="G15" s="40"/>
    </row>
    <row r="16" spans="1:7" s="25" customFormat="1" ht="18.75" customHeight="1">
      <c r="A16" s="24" t="s">
        <v>67</v>
      </c>
      <c r="B16" s="32">
        <v>130</v>
      </c>
      <c r="C16" s="32"/>
      <c r="D16" s="60">
        <f>SUM(D17:D22)</f>
        <v>12872720083</v>
      </c>
      <c r="E16" s="60">
        <f>SUM(E17:E22)</f>
        <v>58444238642</v>
      </c>
      <c r="F16" s="51"/>
      <c r="G16" s="51"/>
    </row>
    <row r="17" spans="1:7" ht="18.75" customHeight="1">
      <c r="A17" s="21" t="s">
        <v>68</v>
      </c>
      <c r="B17" s="33">
        <v>131</v>
      </c>
      <c r="C17" s="33"/>
      <c r="D17" s="58">
        <f>'BCDPS - 2010'!G7</f>
        <v>12715615504</v>
      </c>
      <c r="E17" s="58">
        <f>'BCDPS - 2010'!C7</f>
        <v>7291877168</v>
      </c>
      <c r="F17" s="40"/>
      <c r="G17" s="40"/>
    </row>
    <row r="18" spans="1:7" ht="18.75" customHeight="1">
      <c r="A18" s="21" t="s">
        <v>69</v>
      </c>
      <c r="B18" s="33">
        <v>132</v>
      </c>
      <c r="C18" s="33"/>
      <c r="D18" s="58">
        <f>'BCDPS - 2010'!G26</f>
        <v>157104579</v>
      </c>
      <c r="E18" s="58">
        <f>'BCDPS - 2010'!C26</f>
        <v>12831340284</v>
      </c>
      <c r="F18" s="40"/>
      <c r="G18" s="40"/>
    </row>
    <row r="19" spans="1:7" ht="18.75" customHeight="1">
      <c r="A19" s="21" t="s">
        <v>70</v>
      </c>
      <c r="B19" s="33">
        <v>133</v>
      </c>
      <c r="C19" s="33"/>
      <c r="D19" s="58"/>
      <c r="E19" s="58"/>
      <c r="F19" s="40"/>
      <c r="G19" s="40"/>
    </row>
    <row r="20" spans="1:5" ht="18.75" customHeight="1">
      <c r="A20" s="21" t="s">
        <v>71</v>
      </c>
      <c r="B20" s="33">
        <v>134</v>
      </c>
      <c r="C20" s="33"/>
      <c r="D20" s="58"/>
      <c r="E20" s="58"/>
    </row>
    <row r="21" spans="1:5" ht="18.75" customHeight="1">
      <c r="A21" s="21" t="s">
        <v>72</v>
      </c>
      <c r="B21" s="33">
        <v>135</v>
      </c>
      <c r="C21" s="33" t="s">
        <v>155</v>
      </c>
      <c r="D21" s="58">
        <f>'BCDPS - 2010'!G9</f>
        <v>0</v>
      </c>
      <c r="E21" s="58">
        <f>'BCDPS - 2010'!C9</f>
        <v>38321021190</v>
      </c>
    </row>
    <row r="22" spans="1:5" ht="18.75" customHeight="1">
      <c r="A22" s="21" t="s">
        <v>73</v>
      </c>
      <c r="B22" s="33">
        <v>139</v>
      </c>
      <c r="C22" s="33"/>
      <c r="D22" s="58"/>
      <c r="E22" s="58"/>
    </row>
    <row r="23" spans="1:5" s="25" customFormat="1" ht="18.75" customHeight="1">
      <c r="A23" s="24" t="s">
        <v>74</v>
      </c>
      <c r="B23" s="32">
        <v>140</v>
      </c>
      <c r="C23" s="32"/>
      <c r="D23" s="60">
        <f>SUM(D24:D25)</f>
        <v>70251515832</v>
      </c>
      <c r="E23" s="60">
        <f>SUM(E24:E25)</f>
        <v>31152493732</v>
      </c>
    </row>
    <row r="24" spans="1:5" ht="18.75" customHeight="1">
      <c r="A24" s="21" t="s">
        <v>75</v>
      </c>
      <c r="B24" s="33">
        <v>141</v>
      </c>
      <c r="C24" s="33" t="s">
        <v>156</v>
      </c>
      <c r="D24" s="58">
        <f>'BCDPS - 2010'!G13+'BCDPS - 2010'!G14+'BCDPS - 2010'!G15+'BCDPS - 2010'!G16+'BCDPS - 2010'!G17</f>
        <v>70251515832</v>
      </c>
      <c r="E24" s="58">
        <f>'BCDPS - 2010'!C13+'BCDPS - 2010'!C14+'BCDPS - 2010'!C15+'BCDPS - 2010'!C16</f>
        <v>31152493732</v>
      </c>
    </row>
    <row r="25" spans="1:5" ht="18.75" customHeight="1">
      <c r="A25" s="21" t="s">
        <v>76</v>
      </c>
      <c r="B25" s="33">
        <v>149</v>
      </c>
      <c r="C25" s="33"/>
      <c r="D25" s="58"/>
      <c r="E25" s="58"/>
    </row>
    <row r="26" spans="1:5" s="25" customFormat="1" ht="18.75" customHeight="1">
      <c r="A26" s="24" t="s">
        <v>77</v>
      </c>
      <c r="B26" s="32">
        <v>150</v>
      </c>
      <c r="C26" s="32"/>
      <c r="D26" s="60">
        <f>SUM(D27:D30)</f>
        <v>881123000</v>
      </c>
      <c r="E26" s="60">
        <f>SUM(E27:E30)</f>
        <v>1038227047</v>
      </c>
    </row>
    <row r="27" spans="1:5" ht="18.75" customHeight="1">
      <c r="A27" s="21" t="s">
        <v>78</v>
      </c>
      <c r="B27" s="33">
        <v>151</v>
      </c>
      <c r="C27" s="33"/>
      <c r="D27" s="58">
        <f>'BCDPS - 2010'!G11</f>
        <v>0</v>
      </c>
      <c r="E27" s="58">
        <f>'BCDPS - 2010'!C11</f>
        <v>48239547</v>
      </c>
    </row>
    <row r="28" spans="1:5" ht="18.75" customHeight="1">
      <c r="A28" s="21" t="s">
        <v>79</v>
      </c>
      <c r="B28" s="33">
        <v>152</v>
      </c>
      <c r="C28" s="33"/>
      <c r="D28" s="58"/>
      <c r="E28" s="58"/>
    </row>
    <row r="29" spans="1:5" ht="18.75" customHeight="1">
      <c r="A29" s="21" t="s">
        <v>80</v>
      </c>
      <c r="B29" s="33">
        <v>154</v>
      </c>
      <c r="C29" s="33" t="s">
        <v>157</v>
      </c>
      <c r="D29" s="58"/>
      <c r="E29" s="58"/>
    </row>
    <row r="30" spans="1:5" ht="18.75" customHeight="1">
      <c r="A30" s="21" t="s">
        <v>81</v>
      </c>
      <c r="B30" s="33">
        <v>158</v>
      </c>
      <c r="C30" s="33"/>
      <c r="D30" s="58">
        <f>'BCDPS - 2010'!G10+'BCDPS - 2010'!G12</f>
        <v>881123000</v>
      </c>
      <c r="E30" s="58">
        <f>'BCDPS - 2010'!C12+'BCDPS - 2010'!C10</f>
        <v>989987500</v>
      </c>
    </row>
    <row r="31" spans="1:5" s="12" customFormat="1" ht="18.75" customHeight="1">
      <c r="A31" s="55" t="s">
        <v>82</v>
      </c>
      <c r="B31" s="34">
        <v>200</v>
      </c>
      <c r="C31" s="34"/>
      <c r="D31" s="60">
        <f>D33+D39+D52+D55+D60</f>
        <v>18590063413</v>
      </c>
      <c r="E31" s="60">
        <f>E33+E39+E55</f>
        <v>18784733132</v>
      </c>
    </row>
    <row r="32" spans="1:5" ht="18.75" customHeight="1">
      <c r="A32" s="29" t="s">
        <v>83</v>
      </c>
      <c r="B32" s="33"/>
      <c r="C32" s="33"/>
      <c r="D32" s="58"/>
      <c r="E32" s="58"/>
    </row>
    <row r="33" spans="1:5" s="25" customFormat="1" ht="18.75" customHeight="1">
      <c r="A33" s="24" t="s">
        <v>84</v>
      </c>
      <c r="B33" s="32">
        <v>210</v>
      </c>
      <c r="C33" s="32"/>
      <c r="D33" s="60">
        <v>0</v>
      </c>
      <c r="E33" s="60">
        <f>E36</f>
        <v>0</v>
      </c>
    </row>
    <row r="34" spans="1:5" ht="18.75" customHeight="1">
      <c r="A34" s="21" t="s">
        <v>85</v>
      </c>
      <c r="B34" s="33">
        <v>211</v>
      </c>
      <c r="C34" s="33"/>
      <c r="D34" s="58"/>
      <c r="E34" s="58"/>
    </row>
    <row r="35" spans="1:5" ht="18.75" customHeight="1">
      <c r="A35" s="21" t="s">
        <v>86</v>
      </c>
      <c r="B35" s="33">
        <v>212</v>
      </c>
      <c r="C35" s="33"/>
      <c r="D35" s="58"/>
      <c r="E35" s="58"/>
    </row>
    <row r="36" spans="1:5" ht="18.75" customHeight="1">
      <c r="A36" s="21" t="s">
        <v>87</v>
      </c>
      <c r="B36" s="33">
        <v>213</v>
      </c>
      <c r="C36" s="33" t="s">
        <v>158</v>
      </c>
      <c r="D36" s="58"/>
      <c r="E36" s="58"/>
    </row>
    <row r="37" spans="1:5" ht="18.75" customHeight="1">
      <c r="A37" s="21" t="s">
        <v>88</v>
      </c>
      <c r="B37" s="33">
        <v>218</v>
      </c>
      <c r="C37" s="33" t="s">
        <v>159</v>
      </c>
      <c r="D37" s="58"/>
      <c r="E37" s="58"/>
    </row>
    <row r="38" spans="1:5" ht="18.75" customHeight="1">
      <c r="A38" s="21" t="s">
        <v>89</v>
      </c>
      <c r="B38" s="33">
        <v>219</v>
      </c>
      <c r="C38" s="33"/>
      <c r="D38" s="58"/>
      <c r="E38" s="58"/>
    </row>
    <row r="39" spans="1:5" s="25" customFormat="1" ht="18.75" customHeight="1">
      <c r="A39" s="24" t="s">
        <v>90</v>
      </c>
      <c r="B39" s="32">
        <v>220</v>
      </c>
      <c r="C39" s="32"/>
      <c r="D39" s="60">
        <f>D40+D51</f>
        <v>15465063413</v>
      </c>
      <c r="E39" s="60">
        <f>E40+E51</f>
        <v>15659733132</v>
      </c>
    </row>
    <row r="40" spans="1:6" ht="18.75" customHeight="1">
      <c r="A40" s="21" t="s">
        <v>91</v>
      </c>
      <c r="B40" s="33">
        <v>221</v>
      </c>
      <c r="C40" s="33" t="s">
        <v>160</v>
      </c>
      <c r="D40" s="58">
        <f>SUM(D41:D42)</f>
        <v>15465063413</v>
      </c>
      <c r="E40" s="58">
        <f>SUM(E41:E42)</f>
        <v>15659733132</v>
      </c>
      <c r="F40" s="40"/>
    </row>
    <row r="41" spans="1:5" ht="18.75" customHeight="1">
      <c r="A41" s="22" t="s">
        <v>92</v>
      </c>
      <c r="B41" s="33">
        <v>222</v>
      </c>
      <c r="C41" s="33"/>
      <c r="D41" s="58">
        <f>'BCDPS - 2010'!G19+7037358043-7037358043</f>
        <v>23967188559</v>
      </c>
      <c r="E41" s="58">
        <f>'BCDPS - 2010'!C19</f>
        <v>23960779537</v>
      </c>
    </row>
    <row r="42" spans="1:5" ht="18.75" customHeight="1">
      <c r="A42" s="22" t="s">
        <v>93</v>
      </c>
      <c r="B42" s="33">
        <v>223</v>
      </c>
      <c r="C42" s="33"/>
      <c r="D42" s="61">
        <f>-'BCDPS - 2010'!H20</f>
        <v>-8502125146</v>
      </c>
      <c r="E42" s="58">
        <f>-'BCDPS - 2010'!D20</f>
        <v>-8301046405</v>
      </c>
    </row>
    <row r="43" spans="1:5" ht="15">
      <c r="A43" s="182" t="s">
        <v>56</v>
      </c>
      <c r="B43" s="181" t="s">
        <v>57</v>
      </c>
      <c r="C43" s="183" t="s">
        <v>58</v>
      </c>
      <c r="D43" s="180" t="s">
        <v>59</v>
      </c>
      <c r="E43" s="180" t="s">
        <v>60</v>
      </c>
    </row>
    <row r="44" spans="1:5" ht="15">
      <c r="A44" s="182"/>
      <c r="B44" s="181"/>
      <c r="C44" s="183"/>
      <c r="D44" s="180"/>
      <c r="E44" s="180"/>
    </row>
    <row r="45" spans="1:5" ht="18.75" customHeight="1">
      <c r="A45" s="21" t="s">
        <v>94</v>
      </c>
      <c r="B45" s="33">
        <v>224</v>
      </c>
      <c r="C45" s="33" t="s">
        <v>161</v>
      </c>
      <c r="D45" s="58"/>
      <c r="E45" s="58"/>
    </row>
    <row r="46" spans="1:7" ht="18.75" customHeight="1">
      <c r="A46" s="22" t="s">
        <v>92</v>
      </c>
      <c r="B46" s="33">
        <v>225</v>
      </c>
      <c r="C46" s="33"/>
      <c r="D46" s="58"/>
      <c r="E46" s="58"/>
      <c r="F46" s="40"/>
      <c r="G46" s="40"/>
    </row>
    <row r="47" spans="1:5" ht="18.75" customHeight="1">
      <c r="A47" s="22" t="s">
        <v>93</v>
      </c>
      <c r="B47" s="33">
        <v>226</v>
      </c>
      <c r="C47" s="33"/>
      <c r="D47" s="58"/>
      <c r="E47" s="58"/>
    </row>
    <row r="48" spans="1:5" ht="18.75" customHeight="1">
      <c r="A48" s="21" t="s">
        <v>95</v>
      </c>
      <c r="B48" s="33">
        <v>227</v>
      </c>
      <c r="C48" s="33" t="s">
        <v>162</v>
      </c>
      <c r="D48" s="58"/>
      <c r="E48" s="58"/>
    </row>
    <row r="49" spans="1:5" ht="18.75" customHeight="1">
      <c r="A49" s="22" t="s">
        <v>92</v>
      </c>
      <c r="B49" s="33">
        <v>228</v>
      </c>
      <c r="C49" s="33"/>
      <c r="D49" s="58"/>
      <c r="E49" s="58"/>
    </row>
    <row r="50" spans="1:5" ht="18.75" customHeight="1">
      <c r="A50" s="22" t="s">
        <v>93</v>
      </c>
      <c r="B50" s="33">
        <v>229</v>
      </c>
      <c r="C50" s="33"/>
      <c r="D50" s="58"/>
      <c r="E50" s="58"/>
    </row>
    <row r="51" spans="1:5" ht="18.75" customHeight="1">
      <c r="A51" s="21" t="s">
        <v>96</v>
      </c>
      <c r="B51" s="33">
        <v>230</v>
      </c>
      <c r="C51" s="33" t="s">
        <v>163</v>
      </c>
      <c r="D51" s="61">
        <f>'BCDPS - 2010'!G23</f>
        <v>0</v>
      </c>
      <c r="E51" s="58">
        <f>'BCDPS - 2010'!C23</f>
        <v>0</v>
      </c>
    </row>
    <row r="52" spans="1:5" s="25" customFormat="1" ht="18.75" customHeight="1">
      <c r="A52" s="24" t="s">
        <v>97</v>
      </c>
      <c r="B52" s="32">
        <v>240</v>
      </c>
      <c r="C52" s="32" t="s">
        <v>164</v>
      </c>
      <c r="D52" s="60">
        <f>D53+D54</f>
        <v>0</v>
      </c>
      <c r="E52" s="60"/>
    </row>
    <row r="53" spans="1:5" ht="18.75" customHeight="1">
      <c r="A53" s="22" t="s">
        <v>92</v>
      </c>
      <c r="B53" s="33">
        <v>241</v>
      </c>
      <c r="C53" s="33"/>
      <c r="D53" s="58"/>
      <c r="E53" s="58"/>
    </row>
    <row r="54" spans="1:5" ht="18.75" customHeight="1">
      <c r="A54" s="22" t="s">
        <v>93</v>
      </c>
      <c r="B54" s="33">
        <v>242</v>
      </c>
      <c r="C54" s="33"/>
      <c r="D54" s="58"/>
      <c r="E54" s="58"/>
    </row>
    <row r="55" spans="1:5" s="25" customFormat="1" ht="18.75" customHeight="1">
      <c r="A55" s="24" t="s">
        <v>98</v>
      </c>
      <c r="B55" s="32">
        <v>250</v>
      </c>
      <c r="C55" s="32"/>
      <c r="D55" s="60">
        <f>SUM(D56:D59)</f>
        <v>3125000000</v>
      </c>
      <c r="E55" s="60">
        <f>E56</f>
        <v>3125000000</v>
      </c>
    </row>
    <row r="56" spans="1:5" ht="18.75" customHeight="1">
      <c r="A56" s="21" t="s">
        <v>99</v>
      </c>
      <c r="B56" s="33">
        <v>251</v>
      </c>
      <c r="C56" s="33"/>
      <c r="D56" s="58">
        <f>'BCDPS - 2010'!G21</f>
        <v>3125000000</v>
      </c>
      <c r="E56" s="58">
        <v>3125000000</v>
      </c>
    </row>
    <row r="57" spans="1:5" ht="18.75" customHeight="1">
      <c r="A57" s="21" t="s">
        <v>100</v>
      </c>
      <c r="B57" s="33">
        <v>252</v>
      </c>
      <c r="C57" s="33"/>
      <c r="D57" s="58"/>
      <c r="E57" s="58"/>
    </row>
    <row r="58" spans="1:5" ht="18.75" customHeight="1">
      <c r="A58" s="21" t="s">
        <v>101</v>
      </c>
      <c r="B58" s="33">
        <v>258</v>
      </c>
      <c r="C58" s="33" t="s">
        <v>165</v>
      </c>
      <c r="D58" s="58"/>
      <c r="E58" s="58"/>
    </row>
    <row r="59" spans="1:5" ht="18.75" customHeight="1">
      <c r="A59" s="21" t="s">
        <v>102</v>
      </c>
      <c r="B59" s="33">
        <v>259</v>
      </c>
      <c r="C59" s="33"/>
      <c r="D59" s="58"/>
      <c r="E59" s="58"/>
    </row>
    <row r="60" spans="1:5" s="25" customFormat="1" ht="18.75" customHeight="1">
      <c r="A60" s="24" t="s">
        <v>103</v>
      </c>
      <c r="B60" s="32">
        <v>260</v>
      </c>
      <c r="C60" s="32"/>
      <c r="D60" s="60">
        <f>SUM(D61:D63)</f>
        <v>0</v>
      </c>
      <c r="E60" s="60"/>
    </row>
    <row r="61" spans="1:5" ht="18.75" customHeight="1">
      <c r="A61" s="21" t="s">
        <v>104</v>
      </c>
      <c r="B61" s="33">
        <v>261</v>
      </c>
      <c r="C61" s="33" t="s">
        <v>166</v>
      </c>
      <c r="D61" s="58"/>
      <c r="E61" s="58"/>
    </row>
    <row r="62" spans="1:5" ht="18.75" customHeight="1">
      <c r="A62" s="21" t="s">
        <v>105</v>
      </c>
      <c r="B62" s="33">
        <v>262</v>
      </c>
      <c r="C62" s="33" t="s">
        <v>167</v>
      </c>
      <c r="D62" s="58"/>
      <c r="E62" s="58"/>
    </row>
    <row r="63" spans="1:5" ht="18.75" customHeight="1">
      <c r="A63" s="26" t="s">
        <v>106</v>
      </c>
      <c r="B63" s="35">
        <v>268</v>
      </c>
      <c r="C63" s="35"/>
      <c r="D63" s="62"/>
      <c r="E63" s="62"/>
    </row>
    <row r="64" spans="1:7" s="12" customFormat="1" ht="18.75" customHeight="1">
      <c r="A64" s="56" t="s">
        <v>207</v>
      </c>
      <c r="B64" s="36">
        <v>270</v>
      </c>
      <c r="C64" s="36"/>
      <c r="D64" s="63">
        <f>D31+D8</f>
        <v>176501535447</v>
      </c>
      <c r="E64" s="63">
        <f>E31+E8</f>
        <v>142969059358</v>
      </c>
      <c r="F64" s="57"/>
      <c r="G64" s="57"/>
    </row>
    <row r="65" spans="1:5" ht="10.5" customHeight="1">
      <c r="A65" s="182" t="s">
        <v>151</v>
      </c>
      <c r="B65" s="181"/>
      <c r="C65" s="181"/>
      <c r="D65" s="187"/>
      <c r="E65" s="187"/>
    </row>
    <row r="66" spans="1:5" ht="7.5" customHeight="1">
      <c r="A66" s="182"/>
      <c r="B66" s="181"/>
      <c r="C66" s="181"/>
      <c r="D66" s="187"/>
      <c r="E66" s="187"/>
    </row>
    <row r="67" spans="1:5" s="12" customFormat="1" ht="18.75" customHeight="1">
      <c r="A67" s="55" t="s">
        <v>208</v>
      </c>
      <c r="B67" s="34">
        <v>300</v>
      </c>
      <c r="C67" s="34"/>
      <c r="D67" s="60">
        <f>D68+D79</f>
        <v>117764799098</v>
      </c>
      <c r="E67" s="60">
        <f>E68+E79</f>
        <v>86247549958</v>
      </c>
    </row>
    <row r="68" spans="1:5" s="25" customFormat="1" ht="18.75" customHeight="1">
      <c r="A68" s="24" t="s">
        <v>107</v>
      </c>
      <c r="B68" s="32">
        <v>310</v>
      </c>
      <c r="C68" s="32"/>
      <c r="D68" s="60">
        <f>SUM(D69:D78)</f>
        <v>117338773018</v>
      </c>
      <c r="E68" s="60">
        <f>SUM(E69:E78)</f>
        <v>85821523878</v>
      </c>
    </row>
    <row r="69" spans="1:6" ht="18.75" customHeight="1">
      <c r="A69" s="21" t="s">
        <v>108</v>
      </c>
      <c r="B69" s="33">
        <v>311</v>
      </c>
      <c r="C69" s="33" t="s">
        <v>168</v>
      </c>
      <c r="D69" s="130">
        <f>'BCDPS - 2010'!H25</f>
        <v>0</v>
      </c>
      <c r="E69" s="58">
        <f>'BCDPS - 2010'!D25</f>
        <v>10000000000</v>
      </c>
      <c r="F69" s="40"/>
    </row>
    <row r="70" spans="1:7" ht="18.75" customHeight="1">
      <c r="A70" s="21" t="s">
        <v>109</v>
      </c>
      <c r="B70" s="33">
        <v>312</v>
      </c>
      <c r="C70" s="33"/>
      <c r="D70" s="130">
        <f>'BCDPS - 2010'!H26</f>
        <v>27442906696</v>
      </c>
      <c r="E70" s="58">
        <f>'BCDPS - 2010'!D26</f>
        <v>7353212377</v>
      </c>
      <c r="F70" s="40"/>
      <c r="G70" s="40"/>
    </row>
    <row r="71" spans="1:7" ht="18.75" customHeight="1">
      <c r="A71" s="21" t="s">
        <v>110</v>
      </c>
      <c r="B71" s="33">
        <v>313</v>
      </c>
      <c r="C71" s="33"/>
      <c r="D71" s="130">
        <f>'BCDPS - 2010'!H7+'BCDPS - 2010'!H36</f>
        <v>87149123113</v>
      </c>
      <c r="E71" s="58">
        <f>'BCDPS - 2010'!D7+'BCDPS - 2010'!D36</f>
        <v>69181927101</v>
      </c>
      <c r="F71" s="40"/>
      <c r="G71" s="40"/>
    </row>
    <row r="72" spans="1:7" ht="18.75" customHeight="1">
      <c r="A72" s="21" t="s">
        <v>111</v>
      </c>
      <c r="B72" s="33">
        <v>314</v>
      </c>
      <c r="C72" s="33" t="s">
        <v>169</v>
      </c>
      <c r="D72" s="58">
        <f>'BCDPS - 2010'!H27+'BCDPS - 2010'!H28+'BCDPS - 2010'!H29+'BCDPS - 2010'!H30-'BCDPS - 2010'!G28-'BCDPS - 2010'!G29-745272709-1333958325+1179616012</f>
        <v>954212741</v>
      </c>
      <c r="E72" s="58">
        <f>'BCDPS - 2010'!D27+'BCDPS - 2010'!D28+'BCDPS - 2010'!D30+'BCDPS - 2010'!D29-'BCDPS - 2010'!C28</f>
        <v>-581150495</v>
      </c>
      <c r="F72" s="51"/>
      <c r="G72" s="51">
        <f>342065514-289075264</f>
        <v>52990250</v>
      </c>
    </row>
    <row r="73" spans="1:7" ht="18.75" customHeight="1">
      <c r="A73" s="21" t="s">
        <v>112</v>
      </c>
      <c r="B73" s="33">
        <v>315</v>
      </c>
      <c r="C73" s="33"/>
      <c r="D73" s="58">
        <f>'BCDPS - 2010'!H31</f>
        <v>1968708000</v>
      </c>
      <c r="E73" s="58"/>
      <c r="F73" s="40"/>
      <c r="G73" s="40"/>
    </row>
    <row r="74" spans="1:7" ht="18.75" customHeight="1">
      <c r="A74" s="21" t="s">
        <v>113</v>
      </c>
      <c r="B74" s="33">
        <v>316</v>
      </c>
      <c r="C74" s="33" t="s">
        <v>170</v>
      </c>
      <c r="D74" s="58"/>
      <c r="E74" s="58"/>
      <c r="F74" s="40"/>
      <c r="G74" s="40"/>
    </row>
    <row r="75" spans="1:7" ht="18.75" customHeight="1">
      <c r="A75" s="21" t="s">
        <v>114</v>
      </c>
      <c r="B75" s="33">
        <v>317</v>
      </c>
      <c r="C75" s="33"/>
      <c r="D75" s="58"/>
      <c r="E75" s="58"/>
      <c r="F75" s="51"/>
      <c r="G75" s="51"/>
    </row>
    <row r="76" spans="1:7" ht="18.75" customHeight="1">
      <c r="A76" s="21" t="s">
        <v>115</v>
      </c>
      <c r="B76" s="33">
        <v>318</v>
      </c>
      <c r="C76" s="33"/>
      <c r="D76" s="58"/>
      <c r="E76" s="58"/>
      <c r="F76" s="40"/>
      <c r="G76" s="40"/>
    </row>
    <row r="77" spans="1:7" ht="18.75" customHeight="1">
      <c r="A77" s="21" t="s">
        <v>116</v>
      </c>
      <c r="B77" s="33">
        <v>319</v>
      </c>
      <c r="C77" s="33" t="s">
        <v>171</v>
      </c>
      <c r="D77" s="58">
        <f>'BCDPS - 2010'!H33-'BCDPS - 2010'!G34+'BCDPS - 2010'!H35+'BCDPS - 2010'!H37+'BCDPS - 2010'!H38-'BCDPS - 2010'!G33-'BCDPS - 2010'!G35-'BCDPS - 2010'!G38</f>
        <v>-176177532</v>
      </c>
      <c r="E77" s="58">
        <f>-'BCDPS - 2010'!C34</f>
        <v>-132465105</v>
      </c>
      <c r="F77" s="40"/>
      <c r="G77" s="40"/>
    </row>
    <row r="78" spans="1:7" ht="18.75" customHeight="1">
      <c r="A78" s="21" t="s">
        <v>117</v>
      </c>
      <c r="B78" s="33">
        <v>320</v>
      </c>
      <c r="C78" s="33"/>
      <c r="D78" s="58"/>
      <c r="E78" s="58"/>
      <c r="F78" s="40"/>
      <c r="G78" s="40"/>
    </row>
    <row r="79" spans="1:7" s="25" customFormat="1" ht="18.75" customHeight="1">
      <c r="A79" s="24" t="s">
        <v>118</v>
      </c>
      <c r="B79" s="32">
        <v>330</v>
      </c>
      <c r="C79" s="32"/>
      <c r="D79" s="60">
        <f>D89</f>
        <v>426026080</v>
      </c>
      <c r="E79" s="60">
        <f>E89</f>
        <v>426026080</v>
      </c>
      <c r="F79" s="40"/>
      <c r="G79" s="40">
        <f>D79-214065080</f>
        <v>211961000</v>
      </c>
    </row>
    <row r="80" spans="1:5" ht="18.75" customHeight="1">
      <c r="A80" s="21" t="s">
        <v>119</v>
      </c>
      <c r="B80" s="33">
        <v>331</v>
      </c>
      <c r="C80" s="33"/>
      <c r="D80" s="58"/>
      <c r="E80" s="58"/>
    </row>
    <row r="81" spans="1:5" ht="18.75" customHeight="1">
      <c r="A81" s="21" t="s">
        <v>120</v>
      </c>
      <c r="B81" s="33">
        <v>332</v>
      </c>
      <c r="C81" s="33" t="s">
        <v>172</v>
      </c>
      <c r="D81" s="58"/>
      <c r="E81" s="58"/>
    </row>
    <row r="82" spans="1:5" ht="18.75" customHeight="1">
      <c r="A82" s="21" t="s">
        <v>121</v>
      </c>
      <c r="B82" s="33">
        <v>333</v>
      </c>
      <c r="C82" s="33"/>
      <c r="D82" s="58"/>
      <c r="E82" s="58"/>
    </row>
    <row r="83" spans="1:5" ht="18.75" customHeight="1">
      <c r="A83" s="21" t="s">
        <v>122</v>
      </c>
      <c r="B83" s="33">
        <v>334</v>
      </c>
      <c r="C83" s="33" t="s">
        <v>173</v>
      </c>
      <c r="D83" s="58"/>
      <c r="E83" s="58"/>
    </row>
    <row r="84" spans="1:5" ht="18.75" customHeight="1">
      <c r="A84" s="131"/>
      <c r="B84" s="132"/>
      <c r="C84" s="132"/>
      <c r="D84" s="133"/>
      <c r="E84" s="133"/>
    </row>
    <row r="85" spans="1:5" ht="14.25" customHeight="1">
      <c r="A85" s="131"/>
      <c r="B85" s="132"/>
      <c r="C85" s="132"/>
      <c r="D85" s="133"/>
      <c r="E85" s="133"/>
    </row>
    <row r="86" spans="1:5" ht="15">
      <c r="A86" s="182" t="s">
        <v>151</v>
      </c>
      <c r="B86" s="181" t="s">
        <v>57</v>
      </c>
      <c r="C86" s="183" t="s">
        <v>58</v>
      </c>
      <c r="D86" s="180" t="s">
        <v>59</v>
      </c>
      <c r="E86" s="180" t="s">
        <v>60</v>
      </c>
    </row>
    <row r="87" spans="1:5" ht="15">
      <c r="A87" s="182"/>
      <c r="B87" s="181"/>
      <c r="C87" s="183"/>
      <c r="D87" s="180"/>
      <c r="E87" s="180"/>
    </row>
    <row r="88" spans="1:7" ht="18.75" customHeight="1">
      <c r="A88" s="21" t="s">
        <v>123</v>
      </c>
      <c r="B88" s="33">
        <v>335</v>
      </c>
      <c r="C88" s="33" t="s">
        <v>167</v>
      </c>
      <c r="D88" s="58"/>
      <c r="E88" s="58"/>
      <c r="F88" s="8"/>
      <c r="G88" s="8"/>
    </row>
    <row r="89" spans="1:5" ht="18.75" customHeight="1">
      <c r="A89" s="21" t="s">
        <v>238</v>
      </c>
      <c r="B89" s="33">
        <v>336</v>
      </c>
      <c r="C89" s="33"/>
      <c r="D89" s="61">
        <f>'BCDPS - 2010'!H39</f>
        <v>426026080</v>
      </c>
      <c r="E89" s="58">
        <f>'BCDPS - 2010'!D39</f>
        <v>426026080</v>
      </c>
    </row>
    <row r="90" spans="1:5" ht="18.75" customHeight="1">
      <c r="A90" s="21" t="s">
        <v>124</v>
      </c>
      <c r="B90" s="33">
        <v>337</v>
      </c>
      <c r="C90" s="33"/>
      <c r="D90" s="58"/>
      <c r="E90" s="58"/>
    </row>
    <row r="91" spans="1:5" s="12" customFormat="1" ht="18.75" customHeight="1">
      <c r="A91" s="55" t="s">
        <v>209</v>
      </c>
      <c r="B91" s="34">
        <v>400</v>
      </c>
      <c r="C91" s="34"/>
      <c r="D91" s="60">
        <f>D92+D104</f>
        <v>58736736349</v>
      </c>
      <c r="E91" s="60">
        <f>E92+E104</f>
        <v>56721509400</v>
      </c>
    </row>
    <row r="92" spans="1:5" s="25" customFormat="1" ht="18.75" customHeight="1">
      <c r="A92" s="24" t="s">
        <v>125</v>
      </c>
      <c r="B92" s="32">
        <v>410</v>
      </c>
      <c r="C92" s="32" t="s">
        <v>174</v>
      </c>
      <c r="D92" s="60">
        <f>SUM(D93:D103)</f>
        <v>57763844049</v>
      </c>
      <c r="E92" s="60">
        <f>SUM(E93:E103)</f>
        <v>55977771598</v>
      </c>
    </row>
    <row r="93" spans="1:5" ht="18.75" customHeight="1">
      <c r="A93" s="21" t="s">
        <v>126</v>
      </c>
      <c r="B93" s="33">
        <v>411</v>
      </c>
      <c r="C93" s="33"/>
      <c r="D93" s="61">
        <f>'BCDPS - 2010'!H40-2700710052+2388166871</f>
        <v>51224001252</v>
      </c>
      <c r="E93" s="58">
        <f>'BCDPS - 2010'!D40</f>
        <v>41813584381</v>
      </c>
    </row>
    <row r="94" spans="1:5" ht="18.75" customHeight="1">
      <c r="A94" s="21" t="s">
        <v>127</v>
      </c>
      <c r="B94" s="33">
        <v>412</v>
      </c>
      <c r="C94" s="33"/>
      <c r="D94" s="58"/>
      <c r="E94" s="58"/>
    </row>
    <row r="95" spans="1:5" ht="18.75" customHeight="1">
      <c r="A95" s="21" t="s">
        <v>128</v>
      </c>
      <c r="B95" s="33">
        <v>413</v>
      </c>
      <c r="C95" s="33"/>
      <c r="D95" s="61">
        <f>'BCDPS - 2010'!H22+8400000000-7037358043</f>
        <v>1673948025</v>
      </c>
      <c r="E95" s="58">
        <f>'BCDPS - 2010'!D22</f>
        <v>9811306068</v>
      </c>
    </row>
    <row r="96" spans="1:5" ht="18.75" customHeight="1">
      <c r="A96" s="21" t="s">
        <v>129</v>
      </c>
      <c r="B96" s="33">
        <v>414</v>
      </c>
      <c r="C96" s="33"/>
      <c r="D96" s="58"/>
      <c r="E96" s="58"/>
    </row>
    <row r="97" spans="1:5" ht="18.75" customHeight="1">
      <c r="A97" s="21" t="s">
        <v>130</v>
      </c>
      <c r="B97" s="33">
        <v>415</v>
      </c>
      <c r="C97" s="33"/>
      <c r="D97" s="58"/>
      <c r="E97" s="58"/>
    </row>
    <row r="98" spans="1:5" ht="18.75" customHeight="1">
      <c r="A98" s="21" t="s">
        <v>131</v>
      </c>
      <c r="B98" s="33">
        <v>416</v>
      </c>
      <c r="C98" s="33"/>
      <c r="D98" s="58"/>
      <c r="E98" s="58"/>
    </row>
    <row r="99" spans="1:7" ht="18.75" customHeight="1">
      <c r="A99" s="21" t="s">
        <v>132</v>
      </c>
      <c r="B99" s="33">
        <v>417</v>
      </c>
      <c r="C99" s="33"/>
      <c r="D99" s="58">
        <f>'BCDPS - 2010'!H42</f>
        <v>3493059441</v>
      </c>
      <c r="E99" s="58">
        <f>'BCDPS - 2010'!D42</f>
        <v>3493059441</v>
      </c>
      <c r="G99" s="40">
        <f>D99-4062606143</f>
        <v>-569546702</v>
      </c>
    </row>
    <row r="100" spans="1:7" ht="18.75" customHeight="1">
      <c r="A100" s="21" t="s">
        <v>133</v>
      </c>
      <c r="B100" s="33">
        <v>418</v>
      </c>
      <c r="C100" s="33"/>
      <c r="D100" s="61">
        <f>'BCDPS - 2010'!H43-400105192+353802499</f>
        <v>1035762551</v>
      </c>
      <c r="E100" s="58">
        <f>'BCDPS - 2010'!D43</f>
        <v>681960052</v>
      </c>
      <c r="G100" s="40">
        <f>D100-769582621</f>
        <v>266179930</v>
      </c>
    </row>
    <row r="101" spans="1:7" ht="18.75" customHeight="1">
      <c r="A101" s="21" t="s">
        <v>134</v>
      </c>
      <c r="B101" s="33">
        <v>419</v>
      </c>
      <c r="C101" s="33"/>
      <c r="D101" s="58">
        <f>'BCDPS - 2010'!H44-180047336+159211124</f>
        <v>337072780</v>
      </c>
      <c r="E101" s="58">
        <f>'BCDPS - 2010'!D44</f>
        <v>177861656</v>
      </c>
      <c r="F101" s="57"/>
      <c r="G101" s="57"/>
    </row>
    <row r="102" spans="1:7" ht="18.75" customHeight="1">
      <c r="A102" s="21" t="s">
        <v>253</v>
      </c>
      <c r="B102" s="33">
        <v>420</v>
      </c>
      <c r="C102" s="33"/>
      <c r="D102" s="61">
        <f>'BCDPS - 2010'!H45</f>
        <v>0</v>
      </c>
      <c r="E102" s="58">
        <f>'BCDPS - 2010'!D45</f>
        <v>0</v>
      </c>
      <c r="F102" s="40"/>
      <c r="G102" s="40"/>
    </row>
    <row r="103" spans="1:5" ht="18.75" customHeight="1">
      <c r="A103" s="21" t="s">
        <v>135</v>
      </c>
      <c r="B103" s="33">
        <v>421</v>
      </c>
      <c r="C103" s="33"/>
      <c r="D103" s="58"/>
      <c r="E103" s="58"/>
    </row>
    <row r="104" spans="1:5" s="25" customFormat="1" ht="18.75" customHeight="1">
      <c r="A104" s="24" t="s">
        <v>136</v>
      </c>
      <c r="B104" s="32">
        <v>430</v>
      </c>
      <c r="C104" s="32"/>
      <c r="D104" s="60">
        <f>D105</f>
        <v>972892300</v>
      </c>
      <c r="E104" s="60">
        <f>E105</f>
        <v>743737802</v>
      </c>
    </row>
    <row r="105" spans="1:7" ht="18.75" customHeight="1">
      <c r="A105" s="21" t="s">
        <v>137</v>
      </c>
      <c r="B105" s="33">
        <v>431</v>
      </c>
      <c r="C105" s="33"/>
      <c r="D105" s="61">
        <f>'BCDPS - 2010'!H46-720189347+636844498</f>
        <v>972892300</v>
      </c>
      <c r="E105" s="58">
        <f>'BCDPS - 2010'!D46</f>
        <v>743737802</v>
      </c>
      <c r="G105" s="40">
        <f>D105-918982941</f>
        <v>53909359</v>
      </c>
    </row>
    <row r="106" spans="1:5" ht="18.75" customHeight="1">
      <c r="A106" s="21" t="s">
        <v>138</v>
      </c>
      <c r="B106" s="33">
        <v>432</v>
      </c>
      <c r="C106" s="33" t="s">
        <v>175</v>
      </c>
      <c r="D106" s="58"/>
      <c r="E106" s="58"/>
    </row>
    <row r="107" spans="1:7" ht="18.75" customHeight="1">
      <c r="A107" s="26" t="s">
        <v>139</v>
      </c>
      <c r="B107" s="35">
        <v>433</v>
      </c>
      <c r="C107" s="35"/>
      <c r="D107" s="62"/>
      <c r="E107" s="62"/>
      <c r="G107" s="51">
        <f>SUM(G72:G106)</f>
        <v>15493837</v>
      </c>
    </row>
    <row r="108" spans="1:7" s="25" customFormat="1" ht="18.75" customHeight="1">
      <c r="A108" s="56" t="s">
        <v>210</v>
      </c>
      <c r="B108" s="37">
        <v>440</v>
      </c>
      <c r="C108" s="37"/>
      <c r="D108" s="63">
        <f>D91+D67</f>
        <v>176501535447</v>
      </c>
      <c r="E108" s="63">
        <f>E91+E67</f>
        <v>142969059358</v>
      </c>
      <c r="F108" s="51"/>
      <c r="G108" s="51"/>
    </row>
    <row r="109" spans="1:5" ht="27.75" customHeight="1">
      <c r="A109" s="185" t="s">
        <v>140</v>
      </c>
      <c r="B109" s="185"/>
      <c r="C109" s="185"/>
      <c r="D109" s="185"/>
      <c r="E109" s="185"/>
    </row>
    <row r="110" spans="1:5" ht="15">
      <c r="A110" s="182" t="s">
        <v>141</v>
      </c>
      <c r="B110" s="181"/>
      <c r="C110" s="183" t="s">
        <v>58</v>
      </c>
      <c r="D110" s="180" t="s">
        <v>59</v>
      </c>
      <c r="E110" s="180" t="s">
        <v>60</v>
      </c>
    </row>
    <row r="111" spans="1:5" ht="15">
      <c r="A111" s="182"/>
      <c r="B111" s="181"/>
      <c r="C111" s="183"/>
      <c r="D111" s="180"/>
      <c r="E111" s="180"/>
    </row>
    <row r="112" spans="1:5" ht="18" customHeight="1">
      <c r="A112" s="20" t="s">
        <v>142</v>
      </c>
      <c r="B112" s="20"/>
      <c r="C112" s="38" t="s">
        <v>152</v>
      </c>
      <c r="D112" s="43"/>
      <c r="E112" s="43"/>
    </row>
    <row r="113" spans="1:6" ht="18" customHeight="1">
      <c r="A113" s="21" t="s">
        <v>143</v>
      </c>
      <c r="B113" s="21"/>
      <c r="C113" s="33"/>
      <c r="D113" s="42"/>
      <c r="E113" s="42"/>
      <c r="F113" s="40">
        <f>D108-D64</f>
        <v>0</v>
      </c>
    </row>
    <row r="114" spans="1:5" ht="18" customHeight="1">
      <c r="A114" s="21" t="s">
        <v>144</v>
      </c>
      <c r="B114" s="21"/>
      <c r="C114" s="33"/>
      <c r="D114" s="42"/>
      <c r="E114" s="42"/>
    </row>
    <row r="115" spans="1:5" ht="18" customHeight="1">
      <c r="A115" s="21" t="s">
        <v>145</v>
      </c>
      <c r="B115" s="21"/>
      <c r="C115" s="33"/>
      <c r="D115" s="42"/>
      <c r="E115" s="42"/>
    </row>
    <row r="116" spans="1:5" ht="18" customHeight="1">
      <c r="A116" s="21" t="s">
        <v>146</v>
      </c>
      <c r="B116" s="21"/>
      <c r="C116" s="33"/>
      <c r="D116" s="42"/>
      <c r="E116" s="42"/>
    </row>
    <row r="117" spans="1:5" ht="18" customHeight="1">
      <c r="A117" s="23" t="s">
        <v>147</v>
      </c>
      <c r="B117" s="23"/>
      <c r="C117" s="39"/>
      <c r="D117" s="44"/>
      <c r="E117" s="44"/>
    </row>
    <row r="118" spans="3:5" ht="15.75">
      <c r="C118" s="186" t="s">
        <v>265</v>
      </c>
      <c r="D118" s="186"/>
      <c r="E118" s="186"/>
    </row>
    <row r="119" spans="1:5" s="25" customFormat="1" ht="17.25">
      <c r="A119" s="188" t="s">
        <v>240</v>
      </c>
      <c r="B119" s="188"/>
      <c r="C119" s="188"/>
      <c r="D119" s="188"/>
      <c r="E119" s="188"/>
    </row>
    <row r="122" ht="15">
      <c r="A122" s="40"/>
    </row>
    <row r="126" spans="1:5" s="140" customFormat="1" ht="17.25">
      <c r="A126" s="179" t="s">
        <v>241</v>
      </c>
      <c r="B126" s="179"/>
      <c r="C126" s="179"/>
      <c r="D126" s="179"/>
      <c r="E126" s="179"/>
    </row>
  </sheetData>
  <mergeCells count="30">
    <mergeCell ref="A119:E119"/>
    <mergeCell ref="A126:E126"/>
    <mergeCell ref="C118:E118"/>
    <mergeCell ref="E86:E87"/>
    <mergeCell ref="A109:E109"/>
    <mergeCell ref="A110:A111"/>
    <mergeCell ref="B110:B111"/>
    <mergeCell ref="C110:C111"/>
    <mergeCell ref="D110:D111"/>
    <mergeCell ref="E110:E111"/>
    <mergeCell ref="A86:A87"/>
    <mergeCell ref="B86:B87"/>
    <mergeCell ref="C86:C87"/>
    <mergeCell ref="D86:D87"/>
    <mergeCell ref="E43:E44"/>
    <mergeCell ref="A65:A66"/>
    <mergeCell ref="B65:B66"/>
    <mergeCell ref="C65:C66"/>
    <mergeCell ref="D65:D66"/>
    <mergeCell ref="E65:E66"/>
    <mergeCell ref="A43:A44"/>
    <mergeCell ref="B43:B44"/>
    <mergeCell ref="C43:C44"/>
    <mergeCell ref="D43:D44"/>
    <mergeCell ref="A4:E4"/>
    <mergeCell ref="A6:A7"/>
    <mergeCell ref="B6:B7"/>
    <mergeCell ref="C6:C7"/>
    <mergeCell ref="D6:D7"/>
    <mergeCell ref="E6:E7"/>
  </mergeCells>
  <printOptions/>
  <pageMargins left="0.48" right="0.41" top="0.5" bottom="0.59" header="0.54" footer="0.5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6"/>
  <sheetViews>
    <sheetView workbookViewId="0" topLeftCell="A1">
      <selection activeCell="A29" sqref="A29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8.75390625" style="0" customWidth="1"/>
    <col min="4" max="4" width="17.125" style="0" customWidth="1"/>
    <col min="5" max="5" width="16.875" style="0" customWidth="1"/>
    <col min="6" max="6" width="17.75390625" style="136" bestFit="1" customWidth="1"/>
    <col min="7" max="7" width="10.125" style="0" bestFit="1" customWidth="1"/>
  </cols>
  <sheetData>
    <row r="2" spans="1:5" ht="16.5">
      <c r="A2" s="27" t="s">
        <v>54</v>
      </c>
      <c r="B2" s="18"/>
      <c r="C2" s="18"/>
      <c r="D2" s="40"/>
      <c r="E2" s="40"/>
    </row>
    <row r="3" spans="1:5" ht="15.75">
      <c r="A3" s="28" t="s">
        <v>55</v>
      </c>
      <c r="B3" s="18"/>
      <c r="C3" s="18"/>
      <c r="D3" s="40"/>
      <c r="E3" s="40"/>
    </row>
    <row r="4" spans="1:5" ht="15.75">
      <c r="A4" s="28"/>
      <c r="B4" s="18"/>
      <c r="C4" s="18"/>
      <c r="D4" s="40"/>
      <c r="E4" s="40"/>
    </row>
    <row r="5" spans="1:5" ht="21.75">
      <c r="A5" s="184" t="s">
        <v>242</v>
      </c>
      <c r="B5" s="184"/>
      <c r="C5" s="184"/>
      <c r="D5" s="184"/>
      <c r="E5" s="184"/>
    </row>
    <row r="6" spans="1:5" ht="15.75">
      <c r="A6" s="18"/>
      <c r="B6" s="18"/>
      <c r="C6" s="18"/>
      <c r="D6" s="40"/>
      <c r="E6" s="41" t="s">
        <v>61</v>
      </c>
    </row>
    <row r="7" spans="1:5" ht="12.75">
      <c r="A7" s="182" t="s">
        <v>141</v>
      </c>
      <c r="B7" s="181" t="s">
        <v>57</v>
      </c>
      <c r="C7" s="183" t="s">
        <v>58</v>
      </c>
      <c r="D7" s="180" t="s">
        <v>59</v>
      </c>
      <c r="E7" s="180" t="s">
        <v>60</v>
      </c>
    </row>
    <row r="8" spans="1:5" ht="12.75">
      <c r="A8" s="182"/>
      <c r="B8" s="181"/>
      <c r="C8" s="183"/>
      <c r="D8" s="180"/>
      <c r="E8" s="180"/>
    </row>
    <row r="9" spans="1:5" ht="19.5" customHeight="1">
      <c r="A9" s="119">
        <v>1</v>
      </c>
      <c r="B9" s="120">
        <v>2</v>
      </c>
      <c r="C9" s="120">
        <v>3</v>
      </c>
      <c r="D9" s="121">
        <v>4</v>
      </c>
      <c r="E9" s="121">
        <v>5</v>
      </c>
    </row>
    <row r="10" spans="1:7" ht="19.5" customHeight="1">
      <c r="A10" s="117" t="s">
        <v>178</v>
      </c>
      <c r="B10" s="124" t="s">
        <v>197</v>
      </c>
      <c r="C10" s="122" t="s">
        <v>199</v>
      </c>
      <c r="D10" s="118">
        <f>'ban co ca nam 2010'!BJ49+'ban co ca nam 2010'!BJ50+'ban co ca nam 2010'!BJ51-7654727291</f>
        <v>105530509929</v>
      </c>
      <c r="E10" s="118">
        <v>62892263070</v>
      </c>
      <c r="F10" s="137"/>
      <c r="G10" s="19"/>
    </row>
    <row r="11" spans="1:5" ht="19.5" customHeight="1">
      <c r="A11" s="21" t="s">
        <v>179</v>
      </c>
      <c r="B11" s="125" t="s">
        <v>198</v>
      </c>
      <c r="C11" s="123"/>
      <c r="D11" s="50">
        <f>'ban co ca nam 2010'!BK52</f>
        <v>553183044</v>
      </c>
      <c r="E11" s="50">
        <v>6441025001</v>
      </c>
    </row>
    <row r="12" spans="1:5" ht="30">
      <c r="A12" s="45" t="s">
        <v>180</v>
      </c>
      <c r="B12" s="126">
        <v>10</v>
      </c>
      <c r="C12" s="123"/>
      <c r="D12" s="42">
        <f>D10-D11</f>
        <v>104977326885</v>
      </c>
      <c r="E12" s="42">
        <f>E10-E11</f>
        <v>56451238069</v>
      </c>
    </row>
    <row r="13" spans="1:5" ht="19.5" customHeight="1">
      <c r="A13" s="21" t="s">
        <v>181</v>
      </c>
      <c r="B13" s="126">
        <v>11</v>
      </c>
      <c r="C13" s="123" t="s">
        <v>200</v>
      </c>
      <c r="D13" s="42">
        <f>'ban co ca nam 2010'!BH60-7037358043</f>
        <v>84774776422</v>
      </c>
      <c r="E13" s="42">
        <v>43153255008</v>
      </c>
    </row>
    <row r="14" spans="1:5" ht="30">
      <c r="A14" s="45" t="s">
        <v>182</v>
      </c>
      <c r="B14" s="126">
        <v>20</v>
      </c>
      <c r="C14" s="123"/>
      <c r="D14" s="42">
        <f>D12-D13</f>
        <v>20202550463</v>
      </c>
      <c r="E14" s="42">
        <f>E12-E13</f>
        <v>13297983061</v>
      </c>
    </row>
    <row r="15" spans="1:5" ht="19.5" customHeight="1">
      <c r="A15" s="21" t="s">
        <v>183</v>
      </c>
      <c r="B15" s="126">
        <v>21</v>
      </c>
      <c r="C15" s="123" t="s">
        <v>202</v>
      </c>
      <c r="D15" s="42">
        <f>'ban co ca nam 2010'!BJ54</f>
        <v>3171069370</v>
      </c>
      <c r="E15" s="42">
        <v>1231248271</v>
      </c>
    </row>
    <row r="16" spans="1:5" ht="19.5" customHeight="1">
      <c r="A16" s="21" t="s">
        <v>184</v>
      </c>
      <c r="B16" s="126">
        <v>22</v>
      </c>
      <c r="C16" s="123" t="s">
        <v>201</v>
      </c>
      <c r="D16" s="42"/>
      <c r="E16" s="42"/>
    </row>
    <row r="17" spans="1:5" ht="19.5" customHeight="1">
      <c r="A17" s="22" t="s">
        <v>185</v>
      </c>
      <c r="B17" s="126">
        <v>23</v>
      </c>
      <c r="C17" s="123"/>
      <c r="D17" s="42"/>
      <c r="E17" s="42"/>
    </row>
    <row r="18" spans="1:5" ht="19.5" customHeight="1">
      <c r="A18" s="21" t="s">
        <v>186</v>
      </c>
      <c r="B18" s="126">
        <v>24</v>
      </c>
      <c r="C18" s="123"/>
      <c r="D18" s="42">
        <f>'ban co ca nam 2010'!BH58</f>
        <v>1696725547</v>
      </c>
      <c r="E18" s="42">
        <v>1499425519</v>
      </c>
    </row>
    <row r="19" spans="1:6" ht="19.5" customHeight="1">
      <c r="A19" s="21" t="s">
        <v>187</v>
      </c>
      <c r="B19" s="126">
        <v>25</v>
      </c>
      <c r="C19" s="123"/>
      <c r="D19" s="42">
        <f>'ban co ca nam 2010'!BH59</f>
        <v>17290083403</v>
      </c>
      <c r="E19" s="42">
        <v>11904381706</v>
      </c>
      <c r="F19" s="137"/>
    </row>
    <row r="20" spans="1:5" ht="30.75">
      <c r="A20" s="45" t="s">
        <v>188</v>
      </c>
      <c r="B20" s="126">
        <v>30</v>
      </c>
      <c r="C20" s="123"/>
      <c r="D20" s="42">
        <f>D14+D15-D16-D18-D19</f>
        <v>4386810883</v>
      </c>
      <c r="E20" s="42">
        <f>E14+E15-E16-E18-E19</f>
        <v>1125424107</v>
      </c>
    </row>
    <row r="21" spans="1:5" ht="19.5" customHeight="1">
      <c r="A21" s="21" t="s">
        <v>189</v>
      </c>
      <c r="B21" s="126">
        <v>31</v>
      </c>
      <c r="C21" s="123"/>
      <c r="D21" s="42">
        <f>'ban co ca nam 2010'!BF63</f>
        <v>769198104</v>
      </c>
      <c r="E21" s="42">
        <v>972764782</v>
      </c>
    </row>
    <row r="22" spans="1:5" ht="19.5" customHeight="1">
      <c r="A22" s="21" t="s">
        <v>190</v>
      </c>
      <c r="B22" s="126">
        <v>32</v>
      </c>
      <c r="C22" s="123"/>
      <c r="D22" s="42">
        <f>'ban co ca nam 2010'!BH62</f>
        <v>437544938</v>
      </c>
      <c r="E22" s="42">
        <v>86888073</v>
      </c>
    </row>
    <row r="23" spans="1:5" ht="19.5" customHeight="1">
      <c r="A23" s="21" t="s">
        <v>191</v>
      </c>
      <c r="B23" s="126">
        <v>40</v>
      </c>
      <c r="C23" s="123"/>
      <c r="D23" s="42">
        <f>D21-D22</f>
        <v>331653166</v>
      </c>
      <c r="E23" s="42">
        <f>E21-E22</f>
        <v>885876709</v>
      </c>
    </row>
    <row r="24" spans="1:5" ht="19.5" customHeight="1">
      <c r="A24" s="21" t="s">
        <v>192</v>
      </c>
      <c r="B24" s="126">
        <v>50</v>
      </c>
      <c r="C24" s="123"/>
      <c r="D24" s="42">
        <f>D20+D23</f>
        <v>4718464049</v>
      </c>
      <c r="E24" s="42">
        <f>E20+E23</f>
        <v>2011300816</v>
      </c>
    </row>
    <row r="25" spans="1:5" ht="19.5" customHeight="1">
      <c r="A25" s="21" t="s">
        <v>193</v>
      </c>
      <c r="B25" s="126">
        <v>51</v>
      </c>
      <c r="C25" s="123" t="s">
        <v>203</v>
      </c>
      <c r="D25" s="42">
        <f>D24*25%</f>
        <v>1179616012.25</v>
      </c>
      <c r="E25" s="42">
        <v>502825204</v>
      </c>
    </row>
    <row r="26" spans="1:5" ht="19.5" customHeight="1">
      <c r="A26" s="21" t="s">
        <v>194</v>
      </c>
      <c r="B26" s="126">
        <v>52</v>
      </c>
      <c r="C26" s="123" t="s">
        <v>203</v>
      </c>
      <c r="D26" s="42"/>
      <c r="E26" s="42"/>
    </row>
    <row r="27" spans="1:5" ht="19.5" customHeight="1">
      <c r="A27" s="21" t="s">
        <v>195</v>
      </c>
      <c r="B27" s="126">
        <v>60</v>
      </c>
      <c r="C27" s="123"/>
      <c r="D27" s="42">
        <f>D24-D25</f>
        <v>3538848036.75</v>
      </c>
      <c r="E27" s="42">
        <f>E24-E25</f>
        <v>1508475612</v>
      </c>
    </row>
    <row r="28" spans="1:5" ht="19.5" customHeight="1">
      <c r="A28" s="23" t="s">
        <v>196</v>
      </c>
      <c r="B28" s="127">
        <v>70</v>
      </c>
      <c r="C28" s="39"/>
      <c r="D28" s="44"/>
      <c r="E28" s="44"/>
    </row>
    <row r="29" spans="1:6" s="135" customFormat="1" ht="16.5">
      <c r="A29" s="2"/>
      <c r="B29" s="2"/>
      <c r="C29" s="189" t="s">
        <v>264</v>
      </c>
      <c r="D29" s="189"/>
      <c r="E29" s="189"/>
      <c r="F29" s="138"/>
    </row>
    <row r="30" spans="1:5" ht="15.75">
      <c r="A30" s="18"/>
      <c r="B30" s="18"/>
      <c r="C30" s="18"/>
      <c r="D30" s="134"/>
      <c r="E30" s="134"/>
    </row>
    <row r="31" spans="1:6" s="128" customFormat="1" ht="17.25">
      <c r="A31" s="190" t="s">
        <v>239</v>
      </c>
      <c r="B31" s="190"/>
      <c r="C31" s="190"/>
      <c r="D31" s="190"/>
      <c r="E31" s="190"/>
      <c r="F31" s="139"/>
    </row>
    <row r="48" spans="1:5" ht="16.5">
      <c r="A48" s="27" t="s">
        <v>54</v>
      </c>
      <c r="B48" s="18"/>
      <c r="C48" s="18"/>
      <c r="D48" s="40"/>
      <c r="E48" s="40"/>
    </row>
    <row r="49" spans="1:5" ht="15.75">
      <c r="A49" s="28" t="s">
        <v>55</v>
      </c>
      <c r="B49" s="18"/>
      <c r="C49" s="18"/>
      <c r="D49" s="40"/>
      <c r="E49" s="40"/>
    </row>
    <row r="50" spans="1:5" ht="15.75">
      <c r="A50" s="28"/>
      <c r="B50" s="18"/>
      <c r="C50" s="18"/>
      <c r="D50" s="40"/>
      <c r="E50" s="40"/>
    </row>
    <row r="51" spans="1:5" ht="21.75">
      <c r="A51" s="184" t="s">
        <v>214</v>
      </c>
      <c r="B51" s="184"/>
      <c r="C51" s="184"/>
      <c r="D51" s="184"/>
      <c r="E51" s="184"/>
    </row>
    <row r="52" spans="1:5" ht="15.75">
      <c r="A52" s="18"/>
      <c r="B52" s="18"/>
      <c r="C52" s="18"/>
      <c r="D52" s="40"/>
      <c r="E52" s="41" t="s">
        <v>61</v>
      </c>
    </row>
    <row r="53" spans="1:5" ht="12.75">
      <c r="A53" s="182" t="s">
        <v>141</v>
      </c>
      <c r="B53" s="181" t="s">
        <v>57</v>
      </c>
      <c r="C53" s="183" t="s">
        <v>58</v>
      </c>
      <c r="D53" s="180" t="s">
        <v>59</v>
      </c>
      <c r="E53" s="180" t="s">
        <v>60</v>
      </c>
    </row>
    <row r="54" spans="1:5" ht="12.75">
      <c r="A54" s="182"/>
      <c r="B54" s="181"/>
      <c r="C54" s="183"/>
      <c r="D54" s="180"/>
      <c r="E54" s="180"/>
    </row>
    <row r="55" spans="1:5" ht="20.25" customHeight="1">
      <c r="A55" s="46">
        <v>1</v>
      </c>
      <c r="B55" s="47">
        <v>2</v>
      </c>
      <c r="C55" s="47">
        <v>3</v>
      </c>
      <c r="D55" s="48">
        <v>4</v>
      </c>
      <c r="E55" s="48">
        <v>5</v>
      </c>
    </row>
    <row r="56" spans="1:7" ht="20.25" customHeight="1">
      <c r="A56" s="21" t="s">
        <v>178</v>
      </c>
      <c r="B56" s="49" t="s">
        <v>197</v>
      </c>
      <c r="C56" s="33" t="s">
        <v>199</v>
      </c>
      <c r="D56" s="52">
        <v>5084949992</v>
      </c>
      <c r="E56" s="50">
        <v>40629486334</v>
      </c>
      <c r="F56" s="137"/>
      <c r="G56" s="19"/>
    </row>
    <row r="57" spans="1:5" ht="20.25" customHeight="1">
      <c r="A57" s="21" t="s">
        <v>179</v>
      </c>
      <c r="B57" s="49" t="s">
        <v>198</v>
      </c>
      <c r="C57" s="33"/>
      <c r="D57" s="52">
        <f>'ban co ca nam 2010'!BK54</f>
        <v>3171069370</v>
      </c>
      <c r="E57" s="50">
        <v>7010000</v>
      </c>
    </row>
    <row r="58" spans="1:5" ht="30">
      <c r="A58" s="45" t="s">
        <v>180</v>
      </c>
      <c r="B58" s="33">
        <v>10</v>
      </c>
      <c r="C58" s="33"/>
      <c r="D58" s="50">
        <f>D56-D57</f>
        <v>1913880622</v>
      </c>
      <c r="E58" s="42">
        <f>E56-E57</f>
        <v>40622476334</v>
      </c>
    </row>
    <row r="59" spans="1:5" ht="20.25" customHeight="1">
      <c r="A59" s="21" t="s">
        <v>181</v>
      </c>
      <c r="B59" s="33">
        <v>11</v>
      </c>
      <c r="C59" s="33" t="s">
        <v>200</v>
      </c>
      <c r="D59" s="52">
        <v>4351767053</v>
      </c>
      <c r="E59" s="42">
        <v>34167679421</v>
      </c>
    </row>
    <row r="60" spans="1:5" ht="30">
      <c r="A60" s="45" t="s">
        <v>182</v>
      </c>
      <c r="B60" s="33">
        <v>20</v>
      </c>
      <c r="C60" s="33"/>
      <c r="D60" s="50">
        <f>D58-D59</f>
        <v>-2437886431</v>
      </c>
      <c r="E60" s="42">
        <f>E58-E59</f>
        <v>6454796913</v>
      </c>
    </row>
    <row r="61" spans="1:5" ht="20.25" customHeight="1">
      <c r="A61" s="21" t="s">
        <v>183</v>
      </c>
      <c r="B61" s="33">
        <v>21</v>
      </c>
      <c r="C61" s="33" t="s">
        <v>202</v>
      </c>
      <c r="D61" s="52">
        <f>'ban co ca nam 2010'!BL52</f>
        <v>553183044</v>
      </c>
      <c r="E61" s="42">
        <v>708283252</v>
      </c>
    </row>
    <row r="62" spans="1:5" ht="20.25" customHeight="1">
      <c r="A62" s="21" t="s">
        <v>184</v>
      </c>
      <c r="B62" s="33">
        <v>22</v>
      </c>
      <c r="C62" s="33" t="s">
        <v>201</v>
      </c>
      <c r="D62" s="52">
        <f>'ban co ca nam 2010'!BK62</f>
        <v>437544938</v>
      </c>
      <c r="E62" s="42"/>
    </row>
    <row r="63" spans="1:5" ht="20.25" customHeight="1">
      <c r="A63" s="22" t="s">
        <v>185</v>
      </c>
      <c r="B63" s="33">
        <v>23</v>
      </c>
      <c r="C63" s="33"/>
      <c r="D63" s="50"/>
      <c r="E63" s="42"/>
    </row>
    <row r="64" spans="1:5" ht="20.25" customHeight="1">
      <c r="A64" s="21" t="s">
        <v>186</v>
      </c>
      <c r="B64" s="33">
        <v>24</v>
      </c>
      <c r="C64" s="33"/>
      <c r="D64" s="52">
        <f>'ban co ca nam 2010'!BK58</f>
        <v>1696725547</v>
      </c>
      <c r="E64" s="42">
        <v>1101775704</v>
      </c>
    </row>
    <row r="65" spans="1:6" ht="20.25" customHeight="1">
      <c r="A65" s="21" t="s">
        <v>187</v>
      </c>
      <c r="B65" s="33">
        <v>25</v>
      </c>
      <c r="C65" s="33"/>
      <c r="D65" s="52">
        <f>2474439378-3179000</f>
        <v>2471260378</v>
      </c>
      <c r="E65" s="42">
        <v>5504634978</v>
      </c>
      <c r="F65" s="137"/>
    </row>
    <row r="66" spans="1:5" ht="30.75">
      <c r="A66" s="45" t="s">
        <v>188</v>
      </c>
      <c r="B66" s="33">
        <v>30</v>
      </c>
      <c r="C66" s="33"/>
      <c r="D66" s="42">
        <f>D60+D61-D62-D64-D65</f>
        <v>-6490234250</v>
      </c>
      <c r="E66" s="42">
        <f>E60+E61-E62-E64-E65</f>
        <v>556669483</v>
      </c>
    </row>
    <row r="67" spans="1:5" ht="20.25" customHeight="1">
      <c r="A67" s="21" t="s">
        <v>189</v>
      </c>
      <c r="B67" s="33">
        <v>31</v>
      </c>
      <c r="C67" s="33"/>
      <c r="D67" s="52">
        <f>'ban co ca nam 2010'!BL61</f>
        <v>769198104</v>
      </c>
      <c r="E67" s="42">
        <v>70001100</v>
      </c>
    </row>
    <row r="68" spans="1:5" ht="20.25" customHeight="1">
      <c r="A68" s="21" t="s">
        <v>190</v>
      </c>
      <c r="B68" s="33">
        <v>32</v>
      </c>
      <c r="C68" s="33"/>
      <c r="D68" s="50"/>
      <c r="E68" s="42">
        <v>7301421</v>
      </c>
    </row>
    <row r="69" spans="1:5" ht="20.25" customHeight="1">
      <c r="A69" s="21" t="s">
        <v>191</v>
      </c>
      <c r="B69" s="33">
        <v>40</v>
      </c>
      <c r="C69" s="33"/>
      <c r="D69" s="50">
        <f>D67-D68</f>
        <v>769198104</v>
      </c>
      <c r="E69" s="42">
        <f>E67-E68</f>
        <v>62699679</v>
      </c>
    </row>
    <row r="70" spans="1:5" ht="20.25" customHeight="1">
      <c r="A70" s="21" t="s">
        <v>192</v>
      </c>
      <c r="B70" s="33">
        <v>50</v>
      </c>
      <c r="C70" s="33"/>
      <c r="D70" s="50">
        <f>D66+D69</f>
        <v>-5721036146</v>
      </c>
      <c r="E70" s="42">
        <f>E66+E69</f>
        <v>619369162</v>
      </c>
    </row>
    <row r="71" spans="1:5" ht="20.25" customHeight="1">
      <c r="A71" s="21" t="s">
        <v>193</v>
      </c>
      <c r="B71" s="33">
        <v>51</v>
      </c>
      <c r="C71" s="33" t="s">
        <v>203</v>
      </c>
      <c r="D71" s="50"/>
      <c r="E71" s="42">
        <f>E70*28%</f>
        <v>173423365.36</v>
      </c>
    </row>
    <row r="72" spans="1:5" ht="20.25" customHeight="1">
      <c r="A72" s="21" t="s">
        <v>194</v>
      </c>
      <c r="B72" s="33">
        <v>52</v>
      </c>
      <c r="C72" s="33" t="s">
        <v>203</v>
      </c>
      <c r="D72" s="18"/>
      <c r="E72" s="42"/>
    </row>
    <row r="73" spans="1:5" ht="20.25" customHeight="1">
      <c r="A73" s="21" t="s">
        <v>195</v>
      </c>
      <c r="B73" s="33">
        <v>60</v>
      </c>
      <c r="C73" s="33"/>
      <c r="D73" s="50">
        <f>D70-D71</f>
        <v>-5721036146</v>
      </c>
      <c r="E73" s="42">
        <f>E70-E71</f>
        <v>445945796.64</v>
      </c>
    </row>
    <row r="74" spans="1:5" ht="20.25" customHeight="1">
      <c r="A74" s="23" t="s">
        <v>196</v>
      </c>
      <c r="B74" s="39">
        <v>70</v>
      </c>
      <c r="C74" s="39"/>
      <c r="D74" s="44"/>
      <c r="E74" s="44"/>
    </row>
    <row r="75" spans="1:5" ht="15.75">
      <c r="A75" s="18"/>
      <c r="B75" s="18"/>
      <c r="C75" s="18"/>
      <c r="D75" s="186" t="s">
        <v>213</v>
      </c>
      <c r="E75" s="186"/>
    </row>
    <row r="76" spans="1:5" ht="15.75">
      <c r="A76" s="25" t="s">
        <v>177</v>
      </c>
      <c r="B76" s="25"/>
      <c r="C76" s="25"/>
      <c r="D76" s="191" t="s">
        <v>176</v>
      </c>
      <c r="E76" s="191"/>
    </row>
  </sheetData>
  <mergeCells count="16">
    <mergeCell ref="D75:E75"/>
    <mergeCell ref="D76:E76"/>
    <mergeCell ref="C29:E29"/>
    <mergeCell ref="A31:E31"/>
    <mergeCell ref="A51:E51"/>
    <mergeCell ref="A53:A54"/>
    <mergeCell ref="B53:B54"/>
    <mergeCell ref="C53:C54"/>
    <mergeCell ref="D53:D54"/>
    <mergeCell ref="E53:E54"/>
    <mergeCell ref="A5:E5"/>
    <mergeCell ref="A7:A8"/>
    <mergeCell ref="B7:B8"/>
    <mergeCell ref="C7:C8"/>
    <mergeCell ref="D7:D8"/>
    <mergeCell ref="E7:E8"/>
  </mergeCells>
  <printOptions/>
  <pageMargins left="0.48" right="0.45" top="0.4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K26" sqref="K26"/>
    </sheetView>
  </sheetViews>
  <sheetFormatPr defaultColWidth="9.00390625" defaultRowHeight="23.25" customHeight="1"/>
  <cols>
    <col min="1" max="1" width="4.375" style="0" customWidth="1"/>
    <col min="2" max="2" width="34.125" style="0" customWidth="1"/>
    <col min="3" max="3" width="15.125" style="0" customWidth="1"/>
    <col min="4" max="4" width="16.625" style="0" customWidth="1"/>
    <col min="5" max="5" width="14.25390625" style="0" customWidth="1"/>
    <col min="6" max="6" width="24.875" style="0" customWidth="1"/>
  </cols>
  <sheetData>
    <row r="1" spans="1:6" ht="23.25" customHeight="1">
      <c r="A1" s="193" t="s">
        <v>274</v>
      </c>
      <c r="B1" s="193"/>
      <c r="C1" s="193"/>
      <c r="D1" s="193"/>
      <c r="E1" s="193"/>
      <c r="F1" s="193"/>
    </row>
    <row r="2" spans="1:6" ht="23.25" customHeight="1">
      <c r="A2" s="71"/>
      <c r="B2" s="71"/>
      <c r="C2" s="73"/>
      <c r="D2" s="73"/>
      <c r="E2" s="73"/>
      <c r="F2" s="71"/>
    </row>
    <row r="3" spans="1:6" ht="23.25" customHeight="1">
      <c r="A3" s="154" t="s">
        <v>204</v>
      </c>
      <c r="B3" s="154" t="s">
        <v>205</v>
      </c>
      <c r="C3" s="155" t="s">
        <v>267</v>
      </c>
      <c r="D3" s="155" t="s">
        <v>268</v>
      </c>
      <c r="E3" s="155" t="s">
        <v>269</v>
      </c>
      <c r="F3" s="154" t="s">
        <v>255</v>
      </c>
    </row>
    <row r="4" spans="1:6" ht="23.25" customHeight="1">
      <c r="A4" s="29" t="s">
        <v>218</v>
      </c>
      <c r="B4" s="29" t="s">
        <v>270</v>
      </c>
      <c r="C4" s="161"/>
      <c r="D4" s="161"/>
      <c r="E4" s="161">
        <v>4718464049</v>
      </c>
      <c r="F4" s="29"/>
    </row>
    <row r="5" spans="1:6" ht="23.25" customHeight="1">
      <c r="A5" s="157">
        <v>1</v>
      </c>
      <c r="B5" s="157" t="s">
        <v>275</v>
      </c>
      <c r="C5" s="158"/>
      <c r="D5" s="158">
        <v>3472513</v>
      </c>
      <c r="E5" s="158">
        <f>E4-C5+D5</f>
        <v>4721936562</v>
      </c>
      <c r="F5" s="157"/>
    </row>
    <row r="6" spans="1:6" ht="23.25" customHeight="1">
      <c r="A6" s="157">
        <v>2</v>
      </c>
      <c r="B6" s="157" t="s">
        <v>271</v>
      </c>
      <c r="C6" s="158"/>
      <c r="D6" s="158">
        <v>548459971</v>
      </c>
      <c r="E6" s="158">
        <f aca="true" t="shared" si="0" ref="E6:E13">E5-C6+D6</f>
        <v>5270396533</v>
      </c>
      <c r="F6" s="157" t="s">
        <v>276</v>
      </c>
    </row>
    <row r="7" spans="1:6" ht="23.25" customHeight="1">
      <c r="A7" s="157">
        <v>3</v>
      </c>
      <c r="B7" s="157" t="s">
        <v>272</v>
      </c>
      <c r="C7" s="158"/>
      <c r="D7" s="158">
        <v>167045455</v>
      </c>
      <c r="E7" s="158">
        <f t="shared" si="0"/>
        <v>5437441988</v>
      </c>
      <c r="F7" s="157" t="s">
        <v>276</v>
      </c>
    </row>
    <row r="8" spans="1:6" ht="23.25" customHeight="1">
      <c r="A8" s="157">
        <v>4</v>
      </c>
      <c r="B8" s="157" t="s">
        <v>273</v>
      </c>
      <c r="C8" s="158"/>
      <c r="D8" s="158">
        <v>485004567</v>
      </c>
      <c r="E8" s="158">
        <f t="shared" si="0"/>
        <v>5922446555</v>
      </c>
      <c r="F8" s="157" t="s">
        <v>276</v>
      </c>
    </row>
    <row r="9" spans="1:6" ht="23.25" customHeight="1">
      <c r="A9" s="157">
        <v>5</v>
      </c>
      <c r="B9" s="157" t="s">
        <v>278</v>
      </c>
      <c r="C9" s="158">
        <v>399936741</v>
      </c>
      <c r="D9" s="158"/>
      <c r="E9" s="158">
        <f t="shared" si="0"/>
        <v>5522509814</v>
      </c>
      <c r="F9" s="157"/>
    </row>
    <row r="10" spans="1:6" ht="23.25" customHeight="1">
      <c r="A10" s="157">
        <v>6</v>
      </c>
      <c r="B10" s="157" t="s">
        <v>277</v>
      </c>
      <c r="C10" s="158">
        <v>154258182</v>
      </c>
      <c r="D10" s="158"/>
      <c r="E10" s="158">
        <f t="shared" si="0"/>
        <v>5368251632</v>
      </c>
      <c r="F10" s="157"/>
    </row>
    <row r="11" spans="1:6" ht="23.25" customHeight="1">
      <c r="A11" s="157">
        <v>7</v>
      </c>
      <c r="B11" s="157" t="s">
        <v>279</v>
      </c>
      <c r="C11" s="158">
        <v>309313283</v>
      </c>
      <c r="D11" s="158"/>
      <c r="E11" s="158">
        <f t="shared" si="0"/>
        <v>5058938349</v>
      </c>
      <c r="F11" s="157" t="s">
        <v>280</v>
      </c>
    </row>
    <row r="12" spans="1:6" ht="23.25" customHeight="1">
      <c r="A12" s="157">
        <v>8</v>
      </c>
      <c r="B12" s="157" t="s">
        <v>281</v>
      </c>
      <c r="C12" s="158"/>
      <c r="D12" s="158">
        <v>41454547</v>
      </c>
      <c r="E12" s="158">
        <f t="shared" si="0"/>
        <v>5100392896</v>
      </c>
      <c r="F12" s="157"/>
    </row>
    <row r="13" spans="1:6" ht="23.25" customHeight="1">
      <c r="A13" s="156" t="s">
        <v>282</v>
      </c>
      <c r="B13" s="156" t="s">
        <v>283</v>
      </c>
      <c r="C13" s="156"/>
      <c r="D13" s="158"/>
      <c r="E13" s="158">
        <f t="shared" si="0"/>
        <v>5100392896</v>
      </c>
      <c r="F13" s="157"/>
    </row>
    <row r="14" spans="1:6" ht="23.25" customHeight="1">
      <c r="A14" s="157"/>
      <c r="B14" s="157"/>
      <c r="C14" s="158"/>
      <c r="D14" s="158"/>
      <c r="E14" s="158"/>
      <c r="F14" s="157"/>
    </row>
    <row r="15" spans="1:6" ht="23.25" customHeight="1">
      <c r="A15" s="159"/>
      <c r="B15" s="159"/>
      <c r="C15" s="160"/>
      <c r="D15" s="160"/>
      <c r="E15" s="160"/>
      <c r="F15" s="159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25/178 Thai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Huy Khanh</dc:creator>
  <cp:keywords/>
  <dc:description/>
  <cp:lastModifiedBy>ADMIN</cp:lastModifiedBy>
  <cp:lastPrinted>2013-01-14T02:14:40Z</cp:lastPrinted>
  <dcterms:created xsi:type="dcterms:W3CDTF">2002-03-14T21:59:58Z</dcterms:created>
  <dcterms:modified xsi:type="dcterms:W3CDTF">2013-06-19T06:24:21Z</dcterms:modified>
  <cp:category/>
  <cp:version/>
  <cp:contentType/>
  <cp:contentStatus/>
</cp:coreProperties>
</file>