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660" firstSheet="3" activeTab="4"/>
  </bookViews>
  <sheets>
    <sheet name="bhxh" sheetId="1" r:id="rId1"/>
    <sheet name="giai trih chi tiet mot so TK" sheetId="2" r:id="rId2"/>
    <sheet name="so du cac TK" sheetId="3" r:id="rId3"/>
    <sheet name="ban co  2012 thue" sheetId="4" r:id="rId4"/>
    <sheet name="BCDPS - 2012" sheetId="5" r:id="rId5"/>
    <sheet name="BCDKT - 2012" sheetId="6" r:id="rId6"/>
    <sheet name="KQKD- 2012" sheetId="7" r:id="rId7"/>
    <sheet name="Sheet2" sheetId="8" r:id="rId8"/>
    <sheet name="but toan dc" sheetId="9" r:id="rId9"/>
    <sheet name="DT CP 2012" sheetId="10" r:id="rId10"/>
    <sheet name="PP lại LN CP hoa" sheetId="11" r:id="rId11"/>
  </sheets>
  <externalReferences>
    <externalReference r:id="rId14"/>
  </externalReferences>
  <definedNames/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BJ4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BJ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no kho doi cua Cty PT CD   
ABC
</t>
        </r>
      </text>
    </comment>
    <comment ref="AG3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trong đó: 11.819.650 là thuế TNCN của Ctrình Đông Anh năm 2012, 4.021.350 là thuế TNCN của Ctrình nhà ở Mỗ Lao đã trừ trong năm 2012
</t>
        </r>
      </text>
    </comment>
    <comment ref="AM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cộng 152.727.273 doanh thu trả trước chung cư Thái Thịnh
</t>
        </r>
      </text>
    </comment>
    <comment ref="AS4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 điều chỉnh+ 771.699.394 theo biên bản tài chính: giá trị tăng các tài sản khác trong năm 2012; 618.109.091 la gia tri nha an + nha de xe Tan Trieu, 750.454.545 la GT o to ban tai 5 cho Nisun
</t>
        </r>
      </text>
    </comment>
    <comment ref="BK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=
</t>
        </r>
      </text>
    </comment>
    <comment ref="BJ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+ 7.347.671 theo kiem toan 2012
-30.987.181 theo biên bản tài chính 2012
</t>
        </r>
      </text>
    </comment>
    <comment ref="AV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so phat cham nop theo BB Thanh tra thue 3 nam 2009 2010 2011
</t>
        </r>
      </text>
    </comment>
    <comment ref="AW6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tài chính 2012
</t>
        </r>
      </text>
    </comment>
    <comment ref="U6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tài chính 2012
</t>
        </r>
      </text>
    </comment>
    <comment ref="T6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tài chính năm 2012
</t>
        </r>
      </text>
    </comment>
    <comment ref="L6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bỏ 162634162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chi tiet theo thuyet minh bao cao TC cua Bao cao
 Kiem toan 2012
</t>
        </r>
      </text>
    </comment>
  </commentList>
</comments>
</file>

<file path=xl/sharedStrings.xml><?xml version="1.0" encoding="utf-8"?>
<sst xmlns="http://schemas.openxmlformats.org/spreadsheetml/2006/main" count="594" uniqueCount="457">
  <si>
    <t>TK</t>
  </si>
  <si>
    <t>627M</t>
  </si>
  <si>
    <t>627N</t>
  </si>
  <si>
    <t>627Mg</t>
  </si>
  <si>
    <t xml:space="preserve">Céng </t>
  </si>
  <si>
    <t>Céng Nî</t>
  </si>
  <si>
    <t>Céng Cã</t>
  </si>
  <si>
    <t>Céng</t>
  </si>
  <si>
    <t>Sè hiÖu</t>
  </si>
  <si>
    <t>Tªn tµi kho¶n</t>
  </si>
  <si>
    <t>Sè ®Çu kú</t>
  </si>
  <si>
    <t>Ph¸t sinh</t>
  </si>
  <si>
    <t>Sè cuèi kú</t>
  </si>
  <si>
    <t xml:space="preserve">Nî </t>
  </si>
  <si>
    <t>cã</t>
  </si>
  <si>
    <t>TiÒn mÆt t¹i quü</t>
  </si>
  <si>
    <t>TiÒn göi ng©n hµng</t>
  </si>
  <si>
    <t xml:space="preserve">§Çu t­ ng¾n h¹n kh¸c </t>
  </si>
  <si>
    <t>Ph¶i thu cña kh¸ch hµng</t>
  </si>
  <si>
    <t>ThuÕ ®Çu vµo</t>
  </si>
  <si>
    <t>Ph¶i thu kh¸c</t>
  </si>
  <si>
    <t>T¹m øng</t>
  </si>
  <si>
    <t>Chi phÝ tr¶ tr­íc</t>
  </si>
  <si>
    <t>Nguyªn liÖu vËt liÖu</t>
  </si>
  <si>
    <t>C«ng cô dông cô</t>
  </si>
  <si>
    <t>Chi phÝ SXKD dë dang</t>
  </si>
  <si>
    <t>Thµnh phÈm</t>
  </si>
  <si>
    <t>Hµng ho¸</t>
  </si>
  <si>
    <t>TSC§ h÷u h×nh</t>
  </si>
  <si>
    <t>Hao mßn TSC§</t>
  </si>
  <si>
    <t>XDCB dë dang</t>
  </si>
  <si>
    <t>Ph¶i tr¶ cho ng­êi b¸n</t>
  </si>
  <si>
    <t>ThuÕ VAT</t>
  </si>
  <si>
    <t>TiÒn thuª ®Êt</t>
  </si>
  <si>
    <t>Ph¶i tr¶ c«ng nh©n viªn</t>
  </si>
  <si>
    <t>Kinh phÝ c«ng ®oµn</t>
  </si>
  <si>
    <t>BHXH</t>
  </si>
  <si>
    <t>BH y tÕ</t>
  </si>
  <si>
    <t>Doanh thu tr¶ tr­íc</t>
  </si>
  <si>
    <t>Ph¶i tr¶ ph¶i nép kh¸c</t>
  </si>
  <si>
    <t>Nguån vèn kinh doanh</t>
  </si>
  <si>
    <t>L·i ch­a ph©n phèi</t>
  </si>
  <si>
    <t>Quü khen th­ëng phóc lîi</t>
  </si>
  <si>
    <t>Nguån vèn ®Çu t­ XDCB</t>
  </si>
  <si>
    <t>Doanh thu b¸n hµng</t>
  </si>
  <si>
    <t>Hµng b¸n bÞ tr¶ l¹i</t>
  </si>
  <si>
    <t>Chi phÝ s¶n xuÊt chung</t>
  </si>
  <si>
    <t>Chi phÝ b¸n hµng</t>
  </si>
  <si>
    <t>Chi phÝ qu¶n lý doanh nghiÖp</t>
  </si>
  <si>
    <t>Gi¸ vèn hµng b¸n</t>
  </si>
  <si>
    <t>Ng­êi lËp biÓu</t>
  </si>
  <si>
    <t>KÕ to¸n tr­ëng</t>
  </si>
  <si>
    <t>UBND thµnh phè hµ Néi</t>
  </si>
  <si>
    <t>Tµi s¶n</t>
  </si>
  <si>
    <t>M· sè</t>
  </si>
  <si>
    <t>ThuyÕt minh</t>
  </si>
  <si>
    <t>Sè cuèi n¨m</t>
  </si>
  <si>
    <t>Sè ®Çu n¨m</t>
  </si>
  <si>
    <t>§VT: ®ång</t>
  </si>
  <si>
    <t>1.TiÒn</t>
  </si>
  <si>
    <t>2.C¸c kho¶n t­¬ng ®­¬ng tiÒn</t>
  </si>
  <si>
    <t>II.C¸c kho¶n ®Çu t­ tµi chÝnh ng¾n h¹n</t>
  </si>
  <si>
    <t xml:space="preserve">1.§Çu t­ ng¾n h¹n </t>
  </si>
  <si>
    <t>2.Dù phßng gi¶m gi¸ ®Çu t­ ng¾n h¹n (*)</t>
  </si>
  <si>
    <t xml:space="preserve">III.C¸c kho¶n ph¶i thu ng¾n h¹n </t>
  </si>
  <si>
    <t>1. Ph¶i thu kh¸ch hµng</t>
  </si>
  <si>
    <t>2.Tr¶ tr­íc cho ng­êi b¸n</t>
  </si>
  <si>
    <t xml:space="preserve">3. Ph¶i thu néi bé ng¾n h¹n </t>
  </si>
  <si>
    <t>4.Ph¶i thu theo tiÕn ®é kÕ ho¹ch hîp ®ång x©y dùng</t>
  </si>
  <si>
    <t>5.C¸c kho¶n ph¶i thu kh¸c</t>
  </si>
  <si>
    <t>6.Dù phßng ph¶i thu ng¾n h¹n khã ®ßi (*)</t>
  </si>
  <si>
    <t>IV.Hµng tån kho</t>
  </si>
  <si>
    <t>1.Hµng tån kho</t>
  </si>
  <si>
    <t>2.Dù phßng gi¶m gi¸ hµng tån kho (*)</t>
  </si>
  <si>
    <t>V.Tµi s¶n ng¾n h¹n kh¸c</t>
  </si>
  <si>
    <t xml:space="preserve">1.Chi phÝ tr¶ tr­íc ng¾n h¹n </t>
  </si>
  <si>
    <t>2.ThuÕ GTGT ®­îc khÊu trõ</t>
  </si>
  <si>
    <t>3.ThuÕ vµ c¸c kho¶n ph¶i thu Nhµ n­íc</t>
  </si>
  <si>
    <t>4.Tµi s¶n ng¾n h¹n kh¸c</t>
  </si>
  <si>
    <t>B.Tµi s¶n dµi h¹n kh¸c</t>
  </si>
  <si>
    <t>(200=210+220+240+250+260)</t>
  </si>
  <si>
    <t>I.C¸c kho¶n ph¶i thu dµi h¹n</t>
  </si>
  <si>
    <t>1.Ph¶i thu dµi h¹n cña kh¸ch hµng</t>
  </si>
  <si>
    <t>2.Vèn kinh doanh ë c¸c ®¬n vÞ trùc thuéc</t>
  </si>
  <si>
    <t>3.Ph¶i thu dµi h¹n néi bé</t>
  </si>
  <si>
    <t>4.Ph¶i thu dµi h¹n kh¸c</t>
  </si>
  <si>
    <t>5.Dù phßng ph¶i thu dµi h¹n khã ®ßi (*)</t>
  </si>
  <si>
    <t>II.Tµi s¶n cè ®Þnh</t>
  </si>
  <si>
    <t>1.Tµi s¶n cè ®Þnh h÷u h×nh</t>
  </si>
  <si>
    <t>-Nguyªn gi¸</t>
  </si>
  <si>
    <t>-Gi¸ trÞ hao mßn luü kÕ (*)</t>
  </si>
  <si>
    <t>3.Tµi s¶n cè ®Þnh v« h×nh</t>
  </si>
  <si>
    <t>4.Chi phÝ x©y dùng c¬ b¶n dë dang</t>
  </si>
  <si>
    <t>III.BÊt ®éng s¶n ®Çu t­</t>
  </si>
  <si>
    <t>1.§Çu t­ vµo c«ng ty con</t>
  </si>
  <si>
    <t>2.§Çu t­ vµo c«ng ty liªn kÕt, liªn doanh</t>
  </si>
  <si>
    <t>3.§Çu t­ dµi h¹n kh¸c</t>
  </si>
  <si>
    <t>4.Dù phßng gi¶m gi¸ ®Çu t­ tµi chÝnh dµi h¹n (*)</t>
  </si>
  <si>
    <t>V.Tµi s¶n dµi h¹n kh¸c</t>
  </si>
  <si>
    <t xml:space="preserve">1.Chi phÝ tr¶ tr­íc dµi h¹n </t>
  </si>
  <si>
    <t>2.Tµi s¶n thuÕ thu nhËp ho·n l¹i</t>
  </si>
  <si>
    <t>3.Tµi s¶n dµi h¹n kh¸c</t>
  </si>
  <si>
    <t>I.Nî ng¾n h¹n</t>
  </si>
  <si>
    <t>1.Vay vµ nî ng¾n h¹n</t>
  </si>
  <si>
    <t>2.Ph¶i tr¶ ng­êi b¸n</t>
  </si>
  <si>
    <t>3.Ng­êi mua tr¶ tiÒn tr­íc</t>
  </si>
  <si>
    <t>4.ThuÕ vµ c¸c kho¶n ph¶i nép Nhµ n­íc</t>
  </si>
  <si>
    <t>5.Ph¶i tr¶ ng­êi lao ®éng</t>
  </si>
  <si>
    <t>6.Chi phÝ ph¶i tr¶</t>
  </si>
  <si>
    <t>7.Ph¶i tr¶ néi bé</t>
  </si>
  <si>
    <t>8.Ph¶i tr¶ theo tiÕn ®é hîp ®ång x©y dùng</t>
  </si>
  <si>
    <t>9.C¸c kho¶n ph¶i tr¶, ph¶i nép ng¾n h¹n kh¸c</t>
  </si>
  <si>
    <t>10.Dù phßng ph¶i tr¶ ng¾n h¹n</t>
  </si>
  <si>
    <t>II.Nî dµi h¹n</t>
  </si>
  <si>
    <t>1.Ph¶i tr¶ dµi h¹n ng­êi b¸n</t>
  </si>
  <si>
    <t>2.Ph¶i tr¶ dµi h¹n néi bé</t>
  </si>
  <si>
    <t>3.Ph¶i tr¶ dµi h¹n kh¸c</t>
  </si>
  <si>
    <t>4.Vay vµ nî dµi h¹n</t>
  </si>
  <si>
    <t>5.ThuÕ thu nhËp ho·n l¹i ph¶i tr¶</t>
  </si>
  <si>
    <t>7.Dù phßng ph¶i tr¶ dµi h¹n</t>
  </si>
  <si>
    <t>I.Vèn chñ së h÷u</t>
  </si>
  <si>
    <t>1.Vèn ®Çu t­ cña chñ së h÷u</t>
  </si>
  <si>
    <t>2.ThÆng d­ cña vèn cæ phÇn</t>
  </si>
  <si>
    <t>3.Vèn kh¸c cña chñ së h÷u</t>
  </si>
  <si>
    <t>4.Cæ phiÕu quü (*)</t>
  </si>
  <si>
    <t>5.Chªnh lÖch ®¸nh gi¸ l¹i tµi s¶n</t>
  </si>
  <si>
    <t>6.Chªnh lÖch tû gi¸ hèi ®o¸i</t>
  </si>
  <si>
    <t>7.Quü ®Çu t­ ph¸t triÓn</t>
  </si>
  <si>
    <t>8.Quü dù phßng tµi chÝnh</t>
  </si>
  <si>
    <t>9.Quü kh¸c thuéc vèn chñ së h÷u</t>
  </si>
  <si>
    <t>11.Nguån vèn ®Çu t­ x©y dùng c¬ b¶n</t>
  </si>
  <si>
    <t>II.Nguån kinh phÝ vµ quü kh¸c</t>
  </si>
  <si>
    <t>C¸c chØ tiªu ngoµi b¶ng c©n ®èi kÕ to¸n</t>
  </si>
  <si>
    <t>ChØ tiªu</t>
  </si>
  <si>
    <t>1.Tµi s¶n thuª ngoµi</t>
  </si>
  <si>
    <t>2.VËt t­, hµng ho¸ nhËn gi÷ hé, nhËn gia c«ng</t>
  </si>
  <si>
    <t>3.Hµng ho¸ nhËn b¸n hé, nhËn ký göi, ký c­îc</t>
  </si>
  <si>
    <t>4.Nî khã ®ßi ®· xö lý</t>
  </si>
  <si>
    <t>6.Dù to¸n chi sù nghiÖp, dù ¸n</t>
  </si>
  <si>
    <t>(100=110+120+130+140+150)</t>
  </si>
  <si>
    <t xml:space="preserve">A.Tµi s¶n ng¾n h¹n </t>
  </si>
  <si>
    <t>I.TiÒn vµ c¸c kho¶n t­¬ng ®­¬ng tiÒn</t>
  </si>
  <si>
    <t>nguån vèn</t>
  </si>
  <si>
    <t>V.24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</si>
  <si>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</si>
  <si>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</si>
  <si>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</si>
  <si>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</si>
  <si>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</si>
  <si>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</si>
  <si>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</si>
  <si>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</si>
  <si>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</si>
  <si>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</si>
  <si>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</si>
  <si>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</si>
  <si>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</si>
  <si>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</si>
  <si>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</si>
  <si>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</si>
  <si>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</si>
  <si>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</si>
  <si>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</si>
  <si>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</si>
  <si>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</si>
  <si>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</si>
  <si>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</si>
  <si>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1.Doanh thu b¸n hµng vµ cung cÊp dÞch vô</t>
  </si>
  <si>
    <t>2.C¸c kho¶n trõ doanh thu</t>
  </si>
  <si>
    <t>3.Doanh thu thuÇn vÒ b¸n hµng vµ cung cÊp dÞch vô (10=01-02)</t>
  </si>
  <si>
    <t>4.Gi¸ vèn hµng b¸n</t>
  </si>
  <si>
    <t>5.Lîi nhuËn gép vÒ b¸n hµng vµ cung cÊp dÞch vô (20=10-11)</t>
  </si>
  <si>
    <t>6.Doanh thu ho¹t ®éng tµi chÝnh</t>
  </si>
  <si>
    <t>7.Chi phÝ tµi chÝnh</t>
  </si>
  <si>
    <t>-Trong ®ã: Chi phÝ l·i vay</t>
  </si>
  <si>
    <t>8.Chi phÝ b¸n hµng</t>
  </si>
  <si>
    <t>9.Chi phÝ qu¶n lý doanh nghiÖp</t>
  </si>
  <si>
    <r>
      <t xml:space="preserve">10.Lîi nhuËn thuÇn tõ ho¹t ®éng kinh doanh </t>
    </r>
    <r>
      <rPr>
        <sz val="12"/>
        <rFont val="Symbol"/>
        <family val="1"/>
      </rPr>
      <t>[</t>
    </r>
    <r>
      <rPr>
        <sz val="12"/>
        <rFont val=".VnTime"/>
        <family val="2"/>
      </rPr>
      <t>30=20+(21-22)-(24+25)</t>
    </r>
    <r>
      <rPr>
        <sz val="12"/>
        <rFont val="Symbol"/>
        <family val="1"/>
      </rPr>
      <t>]</t>
    </r>
  </si>
  <si>
    <t>11.Thu nhËp kh¸c</t>
  </si>
  <si>
    <t>12.Chi phÝ kh¸c</t>
  </si>
  <si>
    <t>13.Lîi nhuËn kh¸c (40=31-32)</t>
  </si>
  <si>
    <t>14.Tæng lîi nhuËn kÕ to¸n tr­íc thuÕ (50=30+40)</t>
  </si>
  <si>
    <t>15.Chi phÝ thuÕ TNDN hiÖn hµnh</t>
  </si>
  <si>
    <t>16.Chi phÝ thuÕ TNDN ho·n l¹i</t>
  </si>
  <si>
    <t>17.Lîi nhuËn sau thuÕ TNDN (60=50-51-52)</t>
  </si>
  <si>
    <t>01</t>
  </si>
  <si>
    <t>02</t>
  </si>
  <si>
    <t>VI.25</t>
  </si>
  <si>
    <t>VI.27</t>
  </si>
  <si>
    <t>VI.28</t>
  </si>
  <si>
    <t>VI.26</t>
  </si>
  <si>
    <t>VI.30</t>
  </si>
  <si>
    <t>STT</t>
  </si>
  <si>
    <t>Néi dung</t>
  </si>
  <si>
    <t>D­ cã</t>
  </si>
  <si>
    <r>
      <t>TK 128</t>
    </r>
    <r>
      <rPr>
        <sz val="11"/>
        <rFont val=".VnArial"/>
        <family val="0"/>
      </rPr>
      <t>: §Çu t­ ng¾n h¹n kh¸c</t>
    </r>
  </si>
  <si>
    <t>+</t>
  </si>
  <si>
    <r>
      <t xml:space="preserve">Tæng céng tµi s¶n </t>
    </r>
    <r>
      <rPr>
        <sz val="10"/>
        <rFont val=".VnTimeH"/>
        <family val="2"/>
      </rPr>
      <t>(270=100+200)</t>
    </r>
  </si>
  <si>
    <r>
      <t xml:space="preserve">A.Nî ph¶i tr¶ </t>
    </r>
    <r>
      <rPr>
        <sz val="10"/>
        <rFont val=".VnTimeH"/>
        <family val="2"/>
      </rPr>
      <t>(300=310+330)</t>
    </r>
  </si>
  <si>
    <r>
      <t xml:space="preserve">B.Vèn chñ së h÷u </t>
    </r>
    <r>
      <rPr>
        <sz val="10"/>
        <rFont val=".VnTimeH"/>
        <family val="2"/>
      </rPr>
      <t>(400=410+430)</t>
    </r>
  </si>
  <si>
    <r>
      <t xml:space="preserve">Tæng céng nguån vèn </t>
    </r>
    <r>
      <rPr>
        <sz val="10"/>
        <rFont val=".VnTimeH"/>
        <family val="2"/>
      </rPr>
      <t>(440=300+400)</t>
    </r>
  </si>
  <si>
    <t>Gãp vèn liªn doanh</t>
  </si>
  <si>
    <t>Vay ng¾n h¹n</t>
  </si>
  <si>
    <t>627n</t>
  </si>
  <si>
    <t>TK 421</t>
  </si>
  <si>
    <t>Tæng thu</t>
  </si>
  <si>
    <t>Tæng chi</t>
  </si>
  <si>
    <t>TK 211</t>
  </si>
  <si>
    <t>Sè d­ ®Çu kú</t>
  </si>
  <si>
    <t>Gi¶m:</t>
  </si>
  <si>
    <t>T¨ng:</t>
  </si>
  <si>
    <t>L·i</t>
  </si>
  <si>
    <t>ThuÕ thu nhËp c¸ nh©n</t>
  </si>
  <si>
    <t xml:space="preserve"> Nî</t>
  </si>
  <si>
    <t xml:space="preserve"> cã</t>
  </si>
  <si>
    <t>D­ nî</t>
  </si>
  <si>
    <t>TK 311: vay  ng¾n h¹n</t>
  </si>
  <si>
    <t>Cã</t>
  </si>
  <si>
    <t>SDDK</t>
  </si>
  <si>
    <t>th¸ng</t>
  </si>
  <si>
    <t>Chªnh lÖch tû gi¸</t>
  </si>
  <si>
    <t>Quü dù phßng tµi chÝnh</t>
  </si>
  <si>
    <t>B¶o hiÓm thÊt nghiÖp</t>
  </si>
  <si>
    <t>Quü th­ëng ban ®iÒu hµnh</t>
  </si>
  <si>
    <t>§Çu t­ vµo c«ng ty con</t>
  </si>
  <si>
    <t>ThÕ chÊp ký quü  ng¾n h¹n</t>
  </si>
  <si>
    <t>Quü dù phßng trî cÊp MVL</t>
  </si>
  <si>
    <t xml:space="preserve">          tæng Céng</t>
  </si>
  <si>
    <t>chªnh lÖch</t>
  </si>
  <si>
    <t>*</t>
  </si>
  <si>
    <t>6.Dù phßng trî cÊp mÊt viÖc lµm</t>
  </si>
  <si>
    <t>TK154: SDDK</t>
  </si>
  <si>
    <t>Doanh thu ho¹t ®éng TC</t>
  </si>
  <si>
    <t>Thu nhËp ho¹t ®éng TC</t>
  </si>
  <si>
    <t>Chi phÝ ho¹t ®éng TC</t>
  </si>
  <si>
    <t>X§ kÕt qu¶ kinh doanh</t>
  </si>
  <si>
    <t>ThuÕ TNDN</t>
  </si>
  <si>
    <t>DP gi¶m gi¸ hµng tån kho</t>
  </si>
  <si>
    <t>tæng quü l­¬ng hÖ sè</t>
  </si>
  <si>
    <t>DN(20%)</t>
  </si>
  <si>
    <t>L§(8,5%)</t>
  </si>
  <si>
    <t>sè ph©n bæ</t>
  </si>
  <si>
    <t>tæng céng</t>
  </si>
  <si>
    <t>tæng ph¶i nép(28,5%)</t>
  </si>
  <si>
    <t>theo dâi sè thu nép BHXH</t>
  </si>
  <si>
    <t>ghi chó</t>
  </si>
  <si>
    <t>BH tr¶</t>
  </si>
  <si>
    <t>thu L§</t>
  </si>
  <si>
    <t>sè nép</t>
  </si>
  <si>
    <t>chi tr¶ èm</t>
  </si>
  <si>
    <t>sè trÝch Z</t>
  </si>
  <si>
    <t>thu BHXH tr¶ èm</t>
  </si>
  <si>
    <t>tra sai TK</t>
  </si>
  <si>
    <t>tr¶ sai Tk</t>
  </si>
  <si>
    <t>QTBH thõa chuyÓn 2011</t>
  </si>
  <si>
    <t>nh¸p</t>
  </si>
  <si>
    <t xml:space="preserve">x©y th« </t>
  </si>
  <si>
    <t>®Êt</t>
  </si>
  <si>
    <t>11 tang</t>
  </si>
  <si>
    <t>BK11</t>
  </si>
  <si>
    <t>TK144: SDDK</t>
  </si>
  <si>
    <t>SDCK</t>
  </si>
  <si>
    <t>PS t¨ng</t>
  </si>
  <si>
    <t>PS gi¶m</t>
  </si>
  <si>
    <t>TK142: SD§K</t>
  </si>
  <si>
    <t xml:space="preserve">TK 632: </t>
  </si>
  <si>
    <t>Chi tiÕt  sè liÖu mét sè TK kÕ to¸n n¨m 2011</t>
  </si>
  <si>
    <t>Cty TNHH MTV 18-4 Hµ Néi</t>
  </si>
  <si>
    <t>627 xd</t>
  </si>
  <si>
    <t>627xd</t>
  </si>
  <si>
    <t>chi phÝ NVL trùc tiÕp</t>
  </si>
  <si>
    <t>chi phÝ nh©n c«ng trùc tiÕp</t>
  </si>
  <si>
    <t>Ký quü ký c­îc dµi h¹n</t>
  </si>
  <si>
    <t>C«ng ty TNHH  MTV 18-4 Hµ Néi</t>
  </si>
  <si>
    <t>t¨ng</t>
  </si>
  <si>
    <t>gi¶m</t>
  </si>
  <si>
    <t>sai TK</t>
  </si>
  <si>
    <t>tr¶ èm</t>
  </si>
  <si>
    <t>trÝch Z</t>
  </si>
  <si>
    <t>thu BH tr¶ tiÒn èm</t>
  </si>
  <si>
    <t>thu cña L§</t>
  </si>
  <si>
    <t>Chi phÝ ph¶i tr¶</t>
  </si>
  <si>
    <t>IV.C¸c kho¶n ®Çu t­ tµi chÝnh dµi  h¹n</t>
  </si>
  <si>
    <t>11. Quü khen th­ëng, phóc lîi</t>
  </si>
  <si>
    <t>8. Doanh thu ch­a thùc hiÖn</t>
  </si>
  <si>
    <t>9. Quü ph¸t triÓn khoa häc c«ng nghÖ</t>
  </si>
  <si>
    <t>10.Lîi nhu©n sau thuÕ ch­a ph©n phèi</t>
  </si>
  <si>
    <t>12. Quü hé trî s¾p xÕp doanh nghiÖp</t>
  </si>
  <si>
    <t>1.Nguån kinh phÝ</t>
  </si>
  <si>
    <t>2.Nguån kinh phÝ ®· h×nh thµnh TSC§</t>
  </si>
  <si>
    <t>quü</t>
  </si>
  <si>
    <t>gi¸ trÞ</t>
  </si>
  <si>
    <t>ThuÕ tµi nguyªn</t>
  </si>
  <si>
    <t xml:space="preserve">Quü ®Çu t­ ph¸t triÓn </t>
  </si>
  <si>
    <t>B¶ng c©n ®èi ph¸t sinh  n¨m 2012</t>
  </si>
  <si>
    <t>cßn chªnh</t>
  </si>
  <si>
    <t>Dù phßng ph¶i thu khã ®ßi</t>
  </si>
  <si>
    <t>Chi phÝ tµi chÝnh</t>
  </si>
  <si>
    <t>Vèn chñ së h÷u b×nh qu©n</t>
  </si>
  <si>
    <t>Vèn tù huy ®éng b×nh qu©n</t>
  </si>
  <si>
    <t>Tû lÖ vèn chñ së h÷u</t>
  </si>
  <si>
    <t>Tû lÖ vèn tù huy ®éng</t>
  </si>
  <si>
    <t>Lîi nhuËn chia theo vèn chñ së h÷u</t>
  </si>
  <si>
    <t>Lîi nhuËn chia theo vèn tù huy ®éng</t>
  </si>
  <si>
    <t>TrÝch 10% quü dù phßng tµi chÝnh</t>
  </si>
  <si>
    <t>ph©n phèi lîi nhuËn 2012</t>
  </si>
  <si>
    <t>B¶ng c©n ®èi kÕ to¸n   n¨m 2012</t>
  </si>
  <si>
    <t>Sè cßn l¹i tiÕp tôc ph©n chia quü</t>
  </si>
  <si>
    <t>TrÝch quü khen th­ëng vµ phóc lîi, trong ®ã:</t>
  </si>
  <si>
    <t xml:space="preserve">             ng­êi lËp biÓu                    KÕ to¸n tr­ëng                      Tæng gi¸m ®èc                              </t>
  </si>
  <si>
    <t xml:space="preserve">        Ng­êi lËp biÓu                       KÕ to¸n tr­ëng                          Tæng gi¸m ®èc    </t>
  </si>
  <si>
    <t>18.L·i c¬ b¶n trªn cæ phiÕu (*)</t>
  </si>
  <si>
    <t>Ký quü ký c­îc ng¾n h¹n</t>
  </si>
  <si>
    <t>2.Tµi s¶n cè ®Þnh liªn doanh</t>
  </si>
  <si>
    <t>Chi tiÕt sè d­ c¸c tµi kho¶n 31/12/2012</t>
  </si>
  <si>
    <t>H§TG tõ 19/11/2012 ®Õn 31/12/2012</t>
  </si>
  <si>
    <t>H§TG tõ 17/12/2012 ®Õn 31/12/2012</t>
  </si>
  <si>
    <t>NGuyÔn ThÞ Minh T©m</t>
  </si>
  <si>
    <t>TrÇn ThÞ Hoµ(15/3/12 ®Õn 15/3/13)</t>
  </si>
  <si>
    <t>TK 3383</t>
  </si>
  <si>
    <t>I&gt;</t>
  </si>
  <si>
    <t>Danh s¸ch CN nî tiÒn BHXH n¨m 2012</t>
  </si>
  <si>
    <t>Vò ThÞ Hµ</t>
  </si>
  <si>
    <t>Lª ThÞ Thuû</t>
  </si>
  <si>
    <t>Th¹ch ThÞ Thu Hµ</t>
  </si>
  <si>
    <t>II&gt;</t>
  </si>
  <si>
    <t>BHXH ch­a tr¶ Trî cÊp èm ®au TS quý 3+4/2012</t>
  </si>
  <si>
    <t>Céng (I+II)</t>
  </si>
  <si>
    <t>TK 3386</t>
  </si>
  <si>
    <t>C«ng ty TNHH Sofrecom VN</t>
  </si>
  <si>
    <t>Cty CP TT nghiªn cøu A.N</t>
  </si>
  <si>
    <t>TK 344</t>
  </si>
  <si>
    <t>TK 3388</t>
  </si>
  <si>
    <t>B¶o hiÓm x· héi</t>
  </si>
  <si>
    <t>Cty Hgia ph¶i tr¶ kho¶n tiÒn thuª ®Êt + b¶o d­ìng thang m¸y n¨m 2012- toµ nhµ 18-4</t>
  </si>
  <si>
    <t>C«ng ty CP T§oµn TT Vµ CN NoVA</t>
  </si>
  <si>
    <t>Tæng quü l­¬ng thùc hiÖn</t>
  </si>
  <si>
    <t>Quü KTPL tèi ®a ®­îc phÐp trÝch ( 3 th¸ng l­¬ng do DN xÕp lo¹i A)</t>
  </si>
  <si>
    <t>C¸c kho¶n CP kh«ng khÊu trõ cho môc ®Ých tÝnh thuÕ TNDN</t>
  </si>
  <si>
    <t xml:space="preserve"> - TrÝch tõ nguån  lîi nhuËn chia theo vèn tù huy ®éng</t>
  </si>
  <si>
    <t>Vèn b×nh qu©n</t>
  </si>
  <si>
    <t>a</t>
  </si>
  <si>
    <t>b</t>
  </si>
  <si>
    <t>Lîi nhu©n ph©n phèi theo nguån vèn</t>
  </si>
  <si>
    <t xml:space="preserve"> - Bæ sung TrÝch tõ nguån lîi nhuËn chia theo vèn chñ së h÷u</t>
  </si>
  <si>
    <t>5.Ngo¹i tÖ c¸c lo¹i - USD:</t>
  </si>
  <si>
    <t>Lîi nhuËn chÞu thuÕ TNDN</t>
  </si>
  <si>
    <t>Tæng lîi nhuËn tr­íc thuÕ</t>
  </si>
  <si>
    <t>N 421/c TK</t>
  </si>
  <si>
    <t>TrÝch quü ®Çu t­ phÊt triÓn( 30%)</t>
  </si>
  <si>
    <t>TrÝch quü th­ëng ban ®iÒu hµnh ( 5%)</t>
  </si>
  <si>
    <t>C¸c kho¶n ph¶i thu kh¸c</t>
  </si>
  <si>
    <t>Doanh thu b¸n hµng vµ cung cÊp dÞch vô</t>
  </si>
  <si>
    <t>Doanh thu chuyÓn nh­îng B§S</t>
  </si>
  <si>
    <t>Doanh thu ho¹t ®éng tµi chÝnh</t>
  </si>
  <si>
    <t>Chi phÝ s¶n xuÊt , kinh doanh hµng ho¸ DV</t>
  </si>
  <si>
    <t xml:space="preserve"> -</t>
  </si>
  <si>
    <t>Gi¸ vèn B§S chuyÓn nh­îng</t>
  </si>
  <si>
    <t xml:space="preserve"> - </t>
  </si>
  <si>
    <t>Chi phÝ ho¹t ®éng tµi chÝnh</t>
  </si>
  <si>
    <t>Lîi nhuËn thuÇn tõ ho¹t ®éng SXKD</t>
  </si>
  <si>
    <t>Thu nhËp kh¸c</t>
  </si>
  <si>
    <t>Chi phÝ kh¸c</t>
  </si>
  <si>
    <t>Lîi nhuËn kh¸c</t>
  </si>
  <si>
    <t>Tæng lîi nhuËn kÕ to¸n tr­íc thuÕ</t>
  </si>
  <si>
    <t xml:space="preserve"> - Thu nhËp tõ ho¹t ®éng SXKD</t>
  </si>
  <si>
    <t xml:space="preserve"> - Thu nhËp tõ chuyÓn nh­îng bÊt ®éng s¶n</t>
  </si>
  <si>
    <t>Tæng thu nhËp chÞu thuÕ TNDN</t>
  </si>
  <si>
    <t>KÕt qu¶ kinh doanh</t>
  </si>
  <si>
    <t>X¸c ®Þnh thuÕ TNDN ph¶i nép</t>
  </si>
  <si>
    <t>Thu nhËp tÝnh thÕ</t>
  </si>
  <si>
    <t xml:space="preserve">ThuÕ suÊt </t>
  </si>
  <si>
    <t>25 %</t>
  </si>
  <si>
    <t>ThuÕ TNDN ph¶i nép tõ  chuyÓn nh­îng B§S</t>
  </si>
  <si>
    <t>§· nép</t>
  </si>
  <si>
    <t>Tæng sè thuÕ TNDN cßn ph¶i nép trong kú</t>
  </si>
  <si>
    <t>C¸c kho¶n gi¶m trõ doanh thu (B§S)</t>
  </si>
  <si>
    <t>B¶ng kª doanh thu-chi phÝ  n¨m 2011</t>
  </si>
  <si>
    <t>sè kiÓm tra</t>
  </si>
  <si>
    <t>thêi gian</t>
  </si>
  <si>
    <t>stt</t>
  </si>
  <si>
    <t>danh môc</t>
  </si>
  <si>
    <t>DT tr¶ tr­íc</t>
  </si>
  <si>
    <t>doanh thu</t>
  </si>
  <si>
    <t>gi¸ vèn</t>
  </si>
  <si>
    <t>pbæ c. phÝ chung</t>
  </si>
  <si>
    <t>l·i</t>
  </si>
  <si>
    <t>lç</t>
  </si>
  <si>
    <t>LN thùc tÕ tõng SP</t>
  </si>
  <si>
    <t>5=2-3-4</t>
  </si>
  <si>
    <t>7=2-3</t>
  </si>
  <si>
    <t>may</t>
  </si>
  <si>
    <t>52400 usd</t>
  </si>
  <si>
    <t>1-11</t>
  </si>
  <si>
    <t>nhùa</t>
  </si>
  <si>
    <t>1/3-28/12</t>
  </si>
  <si>
    <t xml:space="preserve">tói r©c </t>
  </si>
  <si>
    <t>1/1/10-31/12/11</t>
  </si>
  <si>
    <t xml:space="preserve">hµng hãa </t>
  </si>
  <si>
    <t>1/1-31/11</t>
  </si>
  <si>
    <t>thuª nhµ,dÞch vô</t>
  </si>
  <si>
    <t>1/2-31/12</t>
  </si>
  <si>
    <t>XD c¸c c«ng tr×nh</t>
  </si>
  <si>
    <t>1/1-31/12</t>
  </si>
  <si>
    <t>DA mç lao</t>
  </si>
  <si>
    <t>1/2-31/1</t>
  </si>
  <si>
    <t>b¹ch mai</t>
  </si>
  <si>
    <t>421 BCDPS</t>
  </si>
  <si>
    <t>chi phÝ</t>
  </si>
  <si>
    <t>TK711+515</t>
  </si>
  <si>
    <t>thu nhËp</t>
  </si>
  <si>
    <t>gi¸ vèn NVL</t>
  </si>
  <si>
    <t>tiÒn l­¬ng</t>
  </si>
  <si>
    <t>khÊu hao</t>
  </si>
  <si>
    <t>cpi =tiÒn</t>
  </si>
  <si>
    <t>chi phÝ trong kú</t>
  </si>
  <si>
    <t>l·I ngan hµng</t>
  </si>
  <si>
    <t>chi phÝ kh¸c</t>
  </si>
  <si>
    <t>cßn l·i</t>
  </si>
  <si>
    <t>B¶ng kª doanh thu-chi phÝ  n¨m 2012</t>
  </si>
  <si>
    <t>TK641+642+811</t>
  </si>
  <si>
    <t>Ghi chó:</t>
  </si>
  <si>
    <t>TiÒn thuª ®Êt Ph¹m Hïng</t>
  </si>
  <si>
    <t>TiÒn thuª ®Êt Thanh Xu©n</t>
  </si>
  <si>
    <t>(Ng©n hµng)</t>
  </si>
  <si>
    <t>Nî</t>
  </si>
  <si>
    <t xml:space="preserve"> - Chi phÝ b¸n hµng gi¶m</t>
  </si>
  <si>
    <t xml:space="preserve"> - Chi phÝ QLDN gi¶m</t>
  </si>
  <si>
    <t xml:space="preserve">  - Doanh thu tµi chÝnh gi¶m</t>
  </si>
  <si>
    <t xml:space="preserve"> - thu nhËp kh¸c t¨ng</t>
  </si>
  <si>
    <t xml:space="preserve"> - Chi phÝ kh¸c gi¶m </t>
  </si>
  <si>
    <t>sè §R thuÕ</t>
  </si>
  <si>
    <t xml:space="preserve">sè §R sæ </t>
  </si>
  <si>
    <t>chªnh</t>
  </si>
  <si>
    <t xml:space="preserve"> - gi¶m trõ thuÕ ®Çu vµo</t>
  </si>
  <si>
    <t>sè gi¶m trõ</t>
  </si>
  <si>
    <t>L·i sau thuÕ</t>
  </si>
  <si>
    <t>Gi¸ trÞ cßn l¹i chia c¸c quü</t>
  </si>
  <si>
    <t xml:space="preserve"> Bót to¸n §iÒu chØnh theo biªn b¶n KT  thuÕ</t>
  </si>
  <si>
    <t>Sè tiÒn</t>
  </si>
  <si>
    <t>Lîi nhuËn sau thuÕ TNDN</t>
  </si>
  <si>
    <t>Tæng Chi phÝ  trõ sau thuÕ TNDN</t>
  </si>
  <si>
    <t>Bæ sung nguån vèn kinh doanh tõ Lîi nhuËn chia theo vèn chñ së h÷u</t>
  </si>
  <si>
    <t xml:space="preserve"> - C¸c bót to¸n ®c kh¸c</t>
  </si>
  <si>
    <t>Lîi nhuËn cßn l¹i ®­îc ph©n chia quü</t>
  </si>
  <si>
    <t>Tæng céng</t>
  </si>
  <si>
    <t xml:space="preserve">2, Chi phÝ tiÒn l­¬ng </t>
  </si>
  <si>
    <t>3, Chi phÝ kh¸c</t>
  </si>
  <si>
    <t>4, TiÒn ph¹t thuÕ</t>
  </si>
  <si>
    <t>C¸c kho¶n chi phÝ trõ sau thuÕ thu nhËp doanh nghiÖp n¨m 2012</t>
  </si>
  <si>
    <t xml:space="preserve">1, Chi phÝ khÊu hao xe  tÝnh v­ît </t>
  </si>
  <si>
    <t>5, ThuÕ GTGT ®Çu vµo lo¹i</t>
  </si>
  <si>
    <t xml:space="preserve">B¸o c¸o kÕt qu¶ ho¹t ®éng kinh doanh n¨m 2012 </t>
  </si>
  <si>
    <t>B¶ng c©n ®èi sè ph¸t sinh n¨m 2012 ( ®iÒu chØnh theo biªn b¶n kiÓm tra thuÕ + tµi chÝnh)</t>
  </si>
  <si>
    <t>, ngµy      th¸ng      n¨m 2013</t>
  </si>
  <si>
    <t>LËp, ngµy      th¸ng       n¨m 2013</t>
  </si>
  <si>
    <t>TrÝch quü ®Çu t­  ph¸t triÓn( 30%)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</si>
</sst>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_(* #,##0.000_);_(* \(#,##0.000\);_(* &quot;-&quot;??_);_(@_)"/>
    <numFmt numFmtId="176" formatCode="#,##0.0"/>
    <numFmt numFmtId="177" formatCode="_(* #,##0.0000_);_(* \(#,##0.0000\);_(* &quot;-&quot;??_);_(@_)"/>
  </numFmts>
  <fonts count="55">
    <font>
      <sz val="10"/>
      <name val=".VnArial"/>
      <family val="0"/>
    </font>
    <font>
      <sz val="8"/>
      <name val=".VnArial"/>
      <family val="0"/>
    </font>
    <font>
      <sz val="13"/>
      <name val=".VnTime"/>
      <family val="2"/>
    </font>
    <font>
      <b/>
      <sz val="12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sz val="12"/>
      <name val=".VnTime"/>
      <family val="2"/>
    </font>
    <font>
      <sz val="11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H"/>
      <family val="2"/>
    </font>
    <font>
      <b/>
      <sz val="14"/>
      <name val=".VnTimeH"/>
      <family val="2"/>
    </font>
    <font>
      <b/>
      <sz val="10"/>
      <name val=".VnTime"/>
      <family val="2"/>
    </font>
    <font>
      <sz val="12"/>
      <name val="Symbol"/>
      <family val="1"/>
    </font>
    <font>
      <sz val="12"/>
      <color indexed="8"/>
      <name val=".VnTime"/>
      <family val="2"/>
    </font>
    <font>
      <sz val="11"/>
      <name val=".VnArial"/>
      <family val="0"/>
    </font>
    <font>
      <b/>
      <sz val="11"/>
      <name val=".VnArial"/>
      <family val="2"/>
    </font>
    <font>
      <b/>
      <i/>
      <sz val="11"/>
      <name val=".VnArial"/>
      <family val="2"/>
    </font>
    <font>
      <b/>
      <i/>
      <u val="single"/>
      <sz val="11"/>
      <name val=".VnArial"/>
      <family val="2"/>
    </font>
    <font>
      <sz val="12"/>
      <color indexed="10"/>
      <name val=".VnTime"/>
      <family val="2"/>
    </font>
    <font>
      <sz val="14"/>
      <name val=".VnTimeH"/>
      <family val="2"/>
    </font>
    <font>
      <sz val="16"/>
      <name val=".VnTimeH"/>
      <family val="2"/>
    </font>
    <font>
      <sz val="10"/>
      <name val=".VnTimeH"/>
      <family val="2"/>
    </font>
    <font>
      <b/>
      <sz val="12"/>
      <color indexed="8"/>
      <name val=".VnTime"/>
      <family val="2"/>
    </font>
    <font>
      <sz val="9"/>
      <name val=".VnTime"/>
      <family val="2"/>
    </font>
    <font>
      <sz val="10"/>
      <name val=".VnTime"/>
      <family val="2"/>
    </font>
    <font>
      <b/>
      <i/>
      <sz val="12"/>
      <name val=".VnTime"/>
      <family val="2"/>
    </font>
    <font>
      <b/>
      <sz val="10"/>
      <name val=".VnTimeH"/>
      <family val="2"/>
    </font>
    <font>
      <sz val="10"/>
      <color indexed="10"/>
      <name val=".VnTimeH"/>
      <family val="2"/>
    </font>
    <font>
      <i/>
      <sz val="13"/>
      <name val=".VnTime"/>
      <family val="2"/>
    </font>
    <font>
      <sz val="13"/>
      <name val=".VnArial"/>
      <family val="0"/>
    </font>
    <font>
      <b/>
      <sz val="13"/>
      <name val=".VnTime"/>
      <family val="2"/>
    </font>
    <font>
      <b/>
      <u val="singleAccounting"/>
      <sz val="13"/>
      <name val=".VnTime"/>
      <family val="2"/>
    </font>
    <font>
      <b/>
      <u val="single"/>
      <sz val="12"/>
      <name val=".VnTime"/>
      <family val="2"/>
    </font>
    <font>
      <u val="single"/>
      <sz val="12"/>
      <name val=".VnTime"/>
      <family val="2"/>
    </font>
    <font>
      <b/>
      <sz val="14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3"/>
      <color indexed="10"/>
      <name val=".VnTime"/>
      <family val="2"/>
    </font>
    <font>
      <b/>
      <i/>
      <sz val="12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.VnTimeH"/>
      <family val="2"/>
    </font>
    <font>
      <i/>
      <sz val="11"/>
      <name val=".VnArial"/>
      <family val="2"/>
    </font>
    <font>
      <sz val="9"/>
      <name val=".VnTimeH"/>
      <family val="2"/>
    </font>
    <font>
      <i/>
      <sz val="14"/>
      <name val=".VnTime"/>
      <family val="2"/>
    </font>
    <font>
      <b/>
      <sz val="10"/>
      <name val=".VnArial"/>
      <family val="0"/>
    </font>
    <font>
      <sz val="11"/>
      <color indexed="10"/>
      <name val=".VnTime"/>
      <family val="2"/>
    </font>
    <font>
      <b/>
      <sz val="16"/>
      <name val=".VnTime"/>
      <family val="2"/>
    </font>
    <font>
      <sz val="16"/>
      <name val=".VnTime"/>
      <family val="2"/>
    </font>
    <font>
      <sz val="10"/>
      <color indexed="53"/>
      <name val=".VnTimeH"/>
      <family val="2"/>
    </font>
    <font>
      <sz val="14"/>
      <name val=".VnArial"/>
      <family val="0"/>
    </font>
    <font>
      <b/>
      <sz val="16"/>
      <name val=".VnTimeH"/>
      <family val="2"/>
    </font>
    <font>
      <b/>
      <sz val="8"/>
      <name val=".Vn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72" fontId="4" fillId="0" borderId="4" xfId="15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6" fillId="0" borderId="4" xfId="15" applyNumberFormat="1" applyFont="1" applyBorder="1" applyAlignment="1">
      <alignment horizontal="center"/>
    </xf>
    <xf numFmtId="0" fontId="8" fillId="0" borderId="0" xfId="0" applyFont="1" applyAlignment="1">
      <alignment/>
    </xf>
    <xf numFmtId="172" fontId="6" fillId="0" borderId="5" xfId="15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/>
    </xf>
    <xf numFmtId="0" fontId="7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7" fillId="0" borderId="6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7" fillId="0" borderId="4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8" fillId="0" borderId="4" xfId="0" applyNumberFormat="1" applyFont="1" applyBorder="1" applyAlignment="1">
      <alignment/>
    </xf>
    <xf numFmtId="3" fontId="18" fillId="0" borderId="4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5" fillId="2" borderId="2" xfId="0" applyNumberFormat="1" applyFont="1" applyFill="1" applyBorder="1" applyAlignment="1">
      <alignment/>
    </xf>
    <xf numFmtId="3" fontId="15" fillId="2" borderId="7" xfId="0" applyNumberFormat="1" applyFont="1" applyFill="1" applyBorder="1" applyAlignment="1">
      <alignment/>
    </xf>
    <xf numFmtId="3" fontId="24" fillId="2" borderId="2" xfId="0" applyNumberFormat="1" applyFont="1" applyFill="1" applyBorder="1" applyAlignment="1">
      <alignment/>
    </xf>
    <xf numFmtId="3" fontId="15" fillId="2" borderId="6" xfId="0" applyNumberFormat="1" applyFont="1" applyFill="1" applyBorder="1" applyAlignment="1">
      <alignment/>
    </xf>
    <xf numFmtId="3" fontId="24" fillId="2" borderId="4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72" fontId="5" fillId="2" borderId="2" xfId="15" applyNumberFormat="1" applyFont="1" applyFill="1" applyBorder="1" applyAlignment="1">
      <alignment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5" fillId="0" borderId="0" xfId="15" applyNumberFormat="1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 quotePrefix="1">
      <alignment/>
    </xf>
    <xf numFmtId="172" fontId="9" fillId="0" borderId="0" xfId="15" applyNumberFormat="1" applyFont="1" applyAlignment="1">
      <alignment/>
    </xf>
    <xf numFmtId="172" fontId="26" fillId="0" borderId="0" xfId="15" applyNumberFormat="1" applyFont="1" applyAlignment="1">
      <alignment/>
    </xf>
    <xf numFmtId="172" fontId="9" fillId="0" borderId="0" xfId="15" applyNumberFormat="1" applyFont="1" applyAlignment="1">
      <alignment horizontal="center"/>
    </xf>
    <xf numFmtId="172" fontId="7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16" fillId="0" borderId="0" xfId="0" applyNumberFormat="1" applyFont="1" applyAlignment="1">
      <alignment horizontal="center"/>
    </xf>
    <xf numFmtId="172" fontId="23" fillId="2" borderId="0" xfId="15" applyNumberFormat="1" applyFont="1" applyFill="1" applyAlignment="1">
      <alignment/>
    </xf>
    <xf numFmtId="172" fontId="28" fillId="2" borderId="0" xfId="15" applyNumberFormat="1" applyFont="1" applyFill="1" applyAlignment="1">
      <alignment/>
    </xf>
    <xf numFmtId="172" fontId="28" fillId="2" borderId="0" xfId="15" applyNumberFormat="1" applyFont="1" applyFill="1" applyAlignment="1">
      <alignment horizontal="center"/>
    </xf>
    <xf numFmtId="172" fontId="28" fillId="2" borderId="4" xfId="15" applyNumberFormat="1" applyFont="1" applyFill="1" applyBorder="1" applyAlignment="1">
      <alignment horizontal="center"/>
    </xf>
    <xf numFmtId="172" fontId="28" fillId="2" borderId="5" xfId="15" applyNumberFormat="1" applyFont="1" applyFill="1" applyBorder="1" applyAlignment="1">
      <alignment horizontal="center"/>
    </xf>
    <xf numFmtId="172" fontId="23" fillId="2" borderId="7" xfId="15" applyNumberFormat="1" applyFont="1" applyFill="1" applyBorder="1" applyAlignment="1">
      <alignment/>
    </xf>
    <xf numFmtId="172" fontId="28" fillId="2" borderId="7" xfId="15" applyNumberFormat="1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172" fontId="23" fillId="2" borderId="2" xfId="15" applyNumberFormat="1" applyFont="1" applyFill="1" applyBorder="1" applyAlignment="1">
      <alignment/>
    </xf>
    <xf numFmtId="172" fontId="28" fillId="2" borderId="2" xfId="15" applyNumberFormat="1" applyFont="1" applyFill="1" applyBorder="1" applyAlignment="1">
      <alignment/>
    </xf>
    <xf numFmtId="172" fontId="23" fillId="2" borderId="6" xfId="15" applyNumberFormat="1" applyFont="1" applyFill="1" applyBorder="1" applyAlignment="1">
      <alignment/>
    </xf>
    <xf numFmtId="172" fontId="23" fillId="2" borderId="8" xfId="15" applyNumberFormat="1" applyFont="1" applyFill="1" applyBorder="1" applyAlignment="1">
      <alignment/>
    </xf>
    <xf numFmtId="172" fontId="28" fillId="2" borderId="6" xfId="15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172" fontId="13" fillId="2" borderId="2" xfId="15" applyNumberFormat="1" applyFont="1" applyFill="1" applyBorder="1" applyAlignment="1">
      <alignment horizontal="center"/>
    </xf>
    <xf numFmtId="172" fontId="13" fillId="2" borderId="4" xfId="15" applyNumberFormat="1" applyFont="1" applyFill="1" applyBorder="1" applyAlignment="1">
      <alignment horizontal="center"/>
    </xf>
    <xf numFmtId="172" fontId="28" fillId="2" borderId="4" xfId="15" applyNumberFormat="1" applyFont="1" applyFill="1" applyBorder="1" applyAlignment="1">
      <alignment/>
    </xf>
    <xf numFmtId="172" fontId="28" fillId="2" borderId="9" xfId="15" applyNumberFormat="1" applyFont="1" applyFill="1" applyBorder="1" applyAlignment="1">
      <alignment/>
    </xf>
    <xf numFmtId="172" fontId="13" fillId="2" borderId="10" xfId="15" applyNumberFormat="1" applyFont="1" applyFill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172" fontId="23" fillId="2" borderId="0" xfId="15" applyNumberFormat="1" applyFont="1" applyFill="1" applyBorder="1" applyAlignment="1">
      <alignment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Border="1" applyAlignment="1">
      <alignment/>
    </xf>
    <xf numFmtId="172" fontId="9" fillId="0" borderId="0" xfId="15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72" fontId="28" fillId="2" borderId="9" xfId="15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72" fontId="23" fillId="2" borderId="1" xfId="15" applyNumberFormat="1" applyFont="1" applyFill="1" applyBorder="1" applyAlignment="1">
      <alignment/>
    </xf>
    <xf numFmtId="172" fontId="23" fillId="2" borderId="2" xfId="15" applyNumberFormat="1" applyFont="1" applyFill="1" applyBorder="1" applyAlignment="1">
      <alignment horizontal="center"/>
    </xf>
    <xf numFmtId="172" fontId="23" fillId="2" borderId="11" xfId="15" applyNumberFormat="1" applyFont="1" applyFill="1" applyBorder="1" applyAlignment="1">
      <alignment/>
    </xf>
    <xf numFmtId="172" fontId="23" fillId="2" borderId="12" xfId="15" applyNumberFormat="1" applyFont="1" applyFill="1" applyBorder="1" applyAlignment="1">
      <alignment/>
    </xf>
    <xf numFmtId="172" fontId="23" fillId="2" borderId="3" xfId="15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172" fontId="29" fillId="2" borderId="2" xfId="15" applyNumberFormat="1" applyFont="1" applyFill="1" applyBorder="1" applyAlignment="1">
      <alignment/>
    </xf>
    <xf numFmtId="172" fontId="3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3" fontId="15" fillId="0" borderId="7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3" fillId="0" borderId="0" xfId="0" applyFont="1" applyAlignment="1">
      <alignment/>
    </xf>
    <xf numFmtId="3" fontId="7" fillId="2" borderId="2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3" fontId="15" fillId="2" borderId="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72" fontId="23" fillId="0" borderId="0" xfId="15" applyNumberFormat="1" applyFont="1" applyAlignment="1">
      <alignment/>
    </xf>
    <xf numFmtId="172" fontId="20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72" fontId="8" fillId="0" borderId="0" xfId="15" applyNumberFormat="1" applyFont="1" applyAlignment="1">
      <alignment/>
    </xf>
    <xf numFmtId="172" fontId="2" fillId="2" borderId="0" xfId="15" applyNumberFormat="1" applyFont="1" applyFill="1" applyAlignment="1">
      <alignment/>
    </xf>
    <xf numFmtId="172" fontId="4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/>
    </xf>
    <xf numFmtId="172" fontId="23" fillId="0" borderId="4" xfId="15" applyNumberFormat="1" applyFont="1" applyBorder="1" applyAlignment="1">
      <alignment horizontal="center"/>
    </xf>
    <xf numFmtId="172" fontId="7" fillId="0" borderId="7" xfId="15" applyNumberFormat="1" applyFont="1" applyBorder="1" applyAlignment="1">
      <alignment horizontal="center"/>
    </xf>
    <xf numFmtId="172" fontId="7" fillId="0" borderId="2" xfId="15" applyNumberFormat="1" applyFont="1" applyBorder="1" applyAlignment="1">
      <alignment horizontal="center"/>
    </xf>
    <xf numFmtId="172" fontId="9" fillId="0" borderId="2" xfId="15" applyNumberFormat="1" applyFont="1" applyBorder="1" applyAlignment="1">
      <alignment horizontal="center"/>
    </xf>
    <xf numFmtId="172" fontId="7" fillId="0" borderId="3" xfId="15" applyNumberFormat="1" applyFont="1" applyBorder="1" applyAlignment="1">
      <alignment horizontal="center"/>
    </xf>
    <xf numFmtId="172" fontId="26" fillId="0" borderId="0" xfId="15" applyNumberFormat="1" applyFont="1" applyAlignment="1">
      <alignment horizontal="center"/>
    </xf>
    <xf numFmtId="172" fontId="7" fillId="0" borderId="2" xfId="15" applyNumberFormat="1" applyFont="1" applyBorder="1" applyAlignment="1">
      <alignment/>
    </xf>
    <xf numFmtId="172" fontId="9" fillId="0" borderId="2" xfId="15" applyNumberFormat="1" applyFont="1" applyBorder="1" applyAlignment="1">
      <alignment/>
    </xf>
    <xf numFmtId="172" fontId="27" fillId="0" borderId="2" xfId="15" applyNumberFormat="1" applyFont="1" applyBorder="1" applyAlignment="1">
      <alignment/>
    </xf>
    <xf numFmtId="172" fontId="27" fillId="0" borderId="3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26" fillId="0" borderId="0" xfId="15" applyNumberFormat="1" applyFont="1" applyAlignment="1">
      <alignment/>
    </xf>
    <xf numFmtId="172" fontId="28" fillId="0" borderId="4" xfId="15" applyNumberFormat="1" applyFont="1" applyBorder="1" applyAlignment="1">
      <alignment horizontal="center"/>
    </xf>
    <xf numFmtId="172" fontId="9" fillId="0" borderId="7" xfId="15" applyNumberFormat="1" applyFont="1" applyBorder="1" applyAlignment="1">
      <alignment horizontal="center"/>
    </xf>
    <xf numFmtId="172" fontId="9" fillId="0" borderId="3" xfId="15" applyNumberFormat="1" applyFont="1" applyBorder="1" applyAlignment="1">
      <alignment horizontal="center"/>
    </xf>
    <xf numFmtId="172" fontId="13" fillId="0" borderId="0" xfId="15" applyNumberFormat="1" applyFont="1" applyAlignment="1">
      <alignment horizontal="center"/>
    </xf>
    <xf numFmtId="172" fontId="7" fillId="3" borderId="0" xfId="15" applyNumberFormat="1" applyFont="1" applyFill="1" applyAlignment="1">
      <alignment/>
    </xf>
    <xf numFmtId="172" fontId="3" fillId="3" borderId="0" xfId="15" applyNumberFormat="1" applyFont="1" applyFill="1" applyAlignment="1">
      <alignment/>
    </xf>
    <xf numFmtId="172" fontId="23" fillId="3" borderId="0" xfId="15" applyNumberFormat="1" applyFont="1" applyFill="1" applyAlignment="1">
      <alignment/>
    </xf>
    <xf numFmtId="172" fontId="2" fillId="3" borderId="0" xfId="15" applyNumberFormat="1" applyFont="1" applyFill="1" applyAlignment="1">
      <alignment/>
    </xf>
    <xf numFmtId="172" fontId="9" fillId="3" borderId="0" xfId="15" applyNumberFormat="1" applyFont="1" applyFill="1" applyAlignment="1">
      <alignment/>
    </xf>
    <xf numFmtId="172" fontId="9" fillId="3" borderId="14" xfId="15" applyNumberFormat="1" applyFont="1" applyFill="1" applyBorder="1" applyAlignment="1">
      <alignment/>
    </xf>
    <xf numFmtId="172" fontId="7" fillId="3" borderId="14" xfId="15" applyNumberFormat="1" applyFont="1" applyFill="1" applyBorder="1" applyAlignment="1">
      <alignment/>
    </xf>
    <xf numFmtId="172" fontId="7" fillId="3" borderId="15" xfId="15" applyNumberFormat="1" applyFont="1" applyFill="1" applyBorder="1" applyAlignment="1">
      <alignment/>
    </xf>
    <xf numFmtId="172" fontId="7" fillId="3" borderId="16" xfId="15" applyNumberFormat="1" applyFont="1" applyFill="1" applyBorder="1" applyAlignment="1">
      <alignment/>
    </xf>
    <xf numFmtId="172" fontId="7" fillId="3" borderId="17" xfId="15" applyNumberFormat="1" applyFont="1" applyFill="1" applyBorder="1" applyAlignment="1">
      <alignment/>
    </xf>
    <xf numFmtId="172" fontId="26" fillId="3" borderId="0" xfId="15" applyNumberFormat="1" applyFont="1" applyFill="1" applyAlignment="1">
      <alignment/>
    </xf>
    <xf numFmtId="172" fontId="32" fillId="0" borderId="0" xfId="15" applyNumberFormat="1" applyFont="1" applyAlignment="1">
      <alignment/>
    </xf>
    <xf numFmtId="172" fontId="15" fillId="2" borderId="2" xfId="15" applyNumberFormat="1" applyFont="1" applyFill="1" applyBorder="1" applyAlignment="1">
      <alignment horizontal="center"/>
    </xf>
    <xf numFmtId="172" fontId="32" fillId="0" borderId="0" xfId="0" applyNumberFormat="1" applyFont="1" applyAlignment="1">
      <alignment/>
    </xf>
    <xf numFmtId="172" fontId="33" fillId="0" borderId="0" xfId="15" applyNumberFormat="1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2" fontId="34" fillId="0" borderId="0" xfId="15" applyNumberFormat="1" applyFont="1" applyAlignment="1">
      <alignment/>
    </xf>
    <xf numFmtId="172" fontId="35" fillId="0" borderId="0" xfId="15" applyNumberFormat="1" applyFont="1" applyAlignment="1">
      <alignment/>
    </xf>
    <xf numFmtId="0" fontId="7" fillId="0" borderId="14" xfId="0" applyFont="1" applyBorder="1" applyAlignment="1">
      <alignment/>
    </xf>
    <xf numFmtId="172" fontId="7" fillId="0" borderId="14" xfId="15" applyNumberFormat="1" applyFont="1" applyBorder="1" applyAlignment="1">
      <alignment/>
    </xf>
    <xf numFmtId="172" fontId="7" fillId="0" borderId="0" xfId="15" applyNumberFormat="1" applyFont="1" applyAlignment="1">
      <alignment horizontal="left"/>
    </xf>
    <xf numFmtId="0" fontId="35" fillId="0" borderId="14" xfId="0" applyFont="1" applyBorder="1" applyAlignment="1" quotePrefix="1">
      <alignment/>
    </xf>
    <xf numFmtId="172" fontId="35" fillId="0" borderId="14" xfId="15" applyNumberFormat="1" applyFont="1" applyBorder="1" applyAlignment="1">
      <alignment/>
    </xf>
    <xf numFmtId="0" fontId="9" fillId="0" borderId="14" xfId="0" applyFont="1" applyBorder="1" applyAlignment="1">
      <alignment/>
    </xf>
    <xf numFmtId="172" fontId="9" fillId="0" borderId="14" xfId="15" applyNumberFormat="1" applyFont="1" applyBorder="1" applyAlignment="1">
      <alignment/>
    </xf>
    <xf numFmtId="0" fontId="7" fillId="0" borderId="14" xfId="0" applyFont="1" applyBorder="1" applyAlignment="1" quotePrefix="1">
      <alignment/>
    </xf>
    <xf numFmtId="3" fontId="17" fillId="0" borderId="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3" fontId="2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172" fontId="28" fillId="2" borderId="1" xfId="15" applyNumberFormat="1" applyFont="1" applyFill="1" applyBorder="1" applyAlignment="1">
      <alignment horizontal="center"/>
    </xf>
    <xf numFmtId="172" fontId="28" fillId="2" borderId="2" xfId="15" applyNumberFormat="1" applyFont="1" applyFill="1" applyBorder="1" applyAlignment="1">
      <alignment horizontal="center"/>
    </xf>
    <xf numFmtId="172" fontId="28" fillId="2" borderId="3" xfId="15" applyNumberFormat="1" applyFont="1" applyFill="1" applyBorder="1" applyAlignment="1">
      <alignment horizontal="center"/>
    </xf>
    <xf numFmtId="172" fontId="6" fillId="0" borderId="0" xfId="15" applyNumberFormat="1" applyFont="1" applyAlignment="1">
      <alignment/>
    </xf>
    <xf numFmtId="172" fontId="32" fillId="2" borderId="0" xfId="15" applyNumberFormat="1" applyFont="1" applyFill="1" applyAlignment="1">
      <alignment/>
    </xf>
    <xf numFmtId="172" fontId="37" fillId="0" borderId="0" xfId="15" applyNumberFormat="1" applyFont="1" applyAlignment="1">
      <alignment/>
    </xf>
    <xf numFmtId="172" fontId="23" fillId="2" borderId="0" xfId="15" applyNumberFormat="1" applyFont="1" applyFill="1" applyAlignment="1">
      <alignment horizontal="center"/>
    </xf>
    <xf numFmtId="172" fontId="23" fillId="2" borderId="5" xfId="15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2" xfId="0" applyFont="1" applyBorder="1" applyAlignment="1">
      <alignment horizontal="center"/>
    </xf>
    <xf numFmtId="0" fontId="38" fillId="0" borderId="2" xfId="0" applyFont="1" applyBorder="1" applyAlignment="1">
      <alignment/>
    </xf>
    <xf numFmtId="0" fontId="36" fillId="0" borderId="2" xfId="0" applyFont="1" applyBorder="1" applyAlignment="1">
      <alignment horizontal="center"/>
    </xf>
    <xf numFmtId="0" fontId="36" fillId="0" borderId="2" xfId="0" applyFont="1" applyBorder="1" applyAlignment="1">
      <alignment/>
    </xf>
    <xf numFmtId="0" fontId="38" fillId="0" borderId="3" xfId="0" applyFont="1" applyBorder="1" applyAlignment="1">
      <alignment horizontal="center"/>
    </xf>
    <xf numFmtId="0" fontId="38" fillId="0" borderId="3" xfId="0" applyFont="1" applyBorder="1" applyAlignment="1">
      <alignment/>
    </xf>
    <xf numFmtId="172" fontId="38" fillId="0" borderId="0" xfId="15" applyNumberFormat="1" applyFont="1" applyAlignment="1">
      <alignment/>
    </xf>
    <xf numFmtId="172" fontId="2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7" fillId="0" borderId="2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7" fillId="0" borderId="5" xfId="15" applyNumberFormat="1" applyFont="1" applyBorder="1" applyAlignment="1">
      <alignment horizontal="center"/>
    </xf>
    <xf numFmtId="172" fontId="7" fillId="0" borderId="8" xfId="15" applyNumberFormat="1" applyFont="1" applyBorder="1" applyAlignment="1">
      <alignment horizontal="center"/>
    </xf>
    <xf numFmtId="172" fontId="7" fillId="0" borderId="14" xfId="15" applyNumberFormat="1" applyFont="1" applyBorder="1" applyAlignment="1">
      <alignment/>
    </xf>
    <xf numFmtId="172" fontId="7" fillId="0" borderId="14" xfId="15" applyNumberFormat="1" applyFont="1" applyBorder="1" applyAlignment="1">
      <alignment horizontal="center"/>
    </xf>
    <xf numFmtId="172" fontId="7" fillId="0" borderId="15" xfId="15" applyNumberFormat="1" applyFont="1" applyBorder="1" applyAlignment="1">
      <alignment horizontal="center"/>
    </xf>
    <xf numFmtId="172" fontId="7" fillId="0" borderId="16" xfId="15" applyNumberFormat="1" applyFont="1" applyBorder="1" applyAlignment="1">
      <alignment horizontal="center"/>
    </xf>
    <xf numFmtId="172" fontId="7" fillId="0" borderId="17" xfId="15" applyNumberFormat="1" applyFont="1" applyBorder="1" applyAlignment="1">
      <alignment horizontal="center"/>
    </xf>
    <xf numFmtId="172" fontId="39" fillId="0" borderId="7" xfId="15" applyNumberFormat="1" applyFont="1" applyBorder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72" fontId="21" fillId="0" borderId="0" xfId="15" applyNumberFormat="1" applyFont="1" applyAlignment="1">
      <alignment/>
    </xf>
    <xf numFmtId="0" fontId="23" fillId="0" borderId="4" xfId="0" applyFont="1" applyBorder="1" applyAlignment="1">
      <alignment horizontal="center"/>
    </xf>
    <xf numFmtId="172" fontId="9" fillId="0" borderId="1" xfId="15" applyNumberFormat="1" applyFont="1" applyBorder="1" applyAlignment="1">
      <alignment/>
    </xf>
    <xf numFmtId="172" fontId="9" fillId="0" borderId="2" xfId="15" applyNumberFormat="1" applyFont="1" applyBorder="1" applyAlignment="1">
      <alignment/>
    </xf>
    <xf numFmtId="172" fontId="9" fillId="0" borderId="7" xfId="15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26" fillId="0" borderId="0" xfId="0" applyFont="1" applyAlignment="1">
      <alignment horizontal="center"/>
    </xf>
    <xf numFmtId="0" fontId="40" fillId="0" borderId="0" xfId="0" applyFont="1" applyAlignment="1">
      <alignment/>
    </xf>
    <xf numFmtId="172" fontId="43" fillId="2" borderId="9" xfId="15" applyNumberFormat="1" applyFont="1" applyFill="1" applyBorder="1" applyAlignment="1">
      <alignment/>
    </xf>
    <xf numFmtId="172" fontId="5" fillId="0" borderId="2" xfId="15" applyNumberFormat="1" applyFont="1" applyFill="1" applyBorder="1" applyAlignment="1">
      <alignment/>
    </xf>
    <xf numFmtId="172" fontId="23" fillId="0" borderId="2" xfId="15" applyNumberFormat="1" applyFont="1" applyFill="1" applyBorder="1" applyAlignment="1">
      <alignment/>
    </xf>
    <xf numFmtId="172" fontId="23" fillId="2" borderId="18" xfId="15" applyNumberFormat="1" applyFont="1" applyFill="1" applyBorder="1" applyAlignment="1">
      <alignment/>
    </xf>
    <xf numFmtId="0" fontId="36" fillId="0" borderId="7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43" fontId="7" fillId="0" borderId="2" xfId="15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172" fontId="23" fillId="2" borderId="4" xfId="15" applyNumberFormat="1" applyFont="1" applyFill="1" applyBorder="1" applyAlignment="1">
      <alignment/>
    </xf>
    <xf numFmtId="172" fontId="28" fillId="0" borderId="2" xfId="15" applyNumberFormat="1" applyFont="1" applyFill="1" applyBorder="1" applyAlignment="1">
      <alignment/>
    </xf>
    <xf numFmtId="172" fontId="23" fillId="4" borderId="2" xfId="15" applyNumberFormat="1" applyFont="1" applyFill="1" applyBorder="1" applyAlignment="1">
      <alignment/>
    </xf>
    <xf numFmtId="3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left"/>
    </xf>
    <xf numFmtId="3" fontId="44" fillId="0" borderId="0" xfId="0" applyNumberFormat="1" applyFont="1" applyBorder="1" applyAlignment="1">
      <alignment horizontal="center"/>
    </xf>
    <xf numFmtId="172" fontId="36" fillId="0" borderId="0" xfId="15" applyNumberFormat="1" applyFont="1" applyAlignment="1">
      <alignment/>
    </xf>
    <xf numFmtId="0" fontId="7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0" fontId="45" fillId="0" borderId="4" xfId="0" applyFont="1" applyBorder="1" applyAlignment="1">
      <alignment horizontal="center"/>
    </xf>
    <xf numFmtId="172" fontId="0" fillId="0" borderId="0" xfId="15" applyNumberFormat="1" applyAlignment="1">
      <alignment/>
    </xf>
    <xf numFmtId="172" fontId="31" fillId="0" borderId="0" xfId="15" applyNumberFormat="1" applyFont="1" applyAlignment="1">
      <alignment/>
    </xf>
    <xf numFmtId="172" fontId="0" fillId="0" borderId="0" xfId="15" applyNumberFormat="1" applyBorder="1" applyAlignment="1">
      <alignment/>
    </xf>
    <xf numFmtId="49" fontId="7" fillId="0" borderId="0" xfId="15" applyNumberFormat="1" applyFont="1" applyAlignment="1">
      <alignment horizontal="center"/>
    </xf>
    <xf numFmtId="0" fontId="46" fillId="0" borderId="0" xfId="0" applyFont="1" applyAlignment="1">
      <alignment/>
    </xf>
    <xf numFmtId="172" fontId="5" fillId="0" borderId="0" xfId="15" applyNumberFormat="1" applyFont="1" applyAlignment="1">
      <alignment/>
    </xf>
    <xf numFmtId="49" fontId="0" fillId="0" borderId="0" xfId="0" applyNumberFormat="1" applyAlignment="1">
      <alignment/>
    </xf>
    <xf numFmtId="172" fontId="47" fillId="0" borderId="0" xfId="15" applyNumberFormat="1" applyFon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28" fillId="0" borderId="4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172" fontId="47" fillId="0" borderId="0" xfId="15" applyNumberFormat="1" applyFont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72" fontId="26" fillId="0" borderId="7" xfId="15" applyNumberFormat="1" applyFont="1" applyBorder="1" applyAlignment="1">
      <alignment/>
    </xf>
    <xf numFmtId="172" fontId="26" fillId="0" borderId="1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26" fillId="0" borderId="2" xfId="15" applyNumberFormat="1" applyFont="1" applyBorder="1" applyAlignment="1">
      <alignment/>
    </xf>
    <xf numFmtId="172" fontId="13" fillId="0" borderId="2" xfId="15" applyNumberFormat="1" applyFont="1" applyBorder="1" applyAlignment="1">
      <alignment/>
    </xf>
    <xf numFmtId="172" fontId="13" fillId="4" borderId="2" xfId="15" applyNumberFormat="1" applyFont="1" applyFill="1" applyBorder="1" applyAlignment="1">
      <alignment/>
    </xf>
    <xf numFmtId="172" fontId="26" fillId="0" borderId="3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72" fontId="26" fillId="0" borderId="0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28" fillId="0" borderId="4" xfId="15" applyNumberFormat="1" applyFont="1" applyFill="1" applyBorder="1" applyAlignment="1">
      <alignment horizontal="center"/>
    </xf>
    <xf numFmtId="172" fontId="0" fillId="0" borderId="4" xfId="15" applyNumberFormat="1" applyBorder="1" applyAlignment="1">
      <alignment/>
    </xf>
    <xf numFmtId="0" fontId="3" fillId="0" borderId="8" xfId="0" applyFont="1" applyBorder="1" applyAlignment="1">
      <alignment horizontal="center"/>
    </xf>
    <xf numFmtId="49" fontId="5" fillId="0" borderId="4" xfId="15" applyNumberFormat="1" applyFont="1" applyBorder="1" applyAlignment="1">
      <alignment horizontal="center"/>
    </xf>
    <xf numFmtId="49" fontId="28" fillId="0" borderId="4" xfId="15" applyNumberFormat="1" applyFont="1" applyFill="1" applyBorder="1" applyAlignment="1">
      <alignment horizontal="center"/>
    </xf>
    <xf numFmtId="0" fontId="38" fillId="0" borderId="7" xfId="0" applyFont="1" applyBorder="1" applyAlignment="1">
      <alignment/>
    </xf>
    <xf numFmtId="172" fontId="5" fillId="0" borderId="7" xfId="15" applyNumberFormat="1" applyFont="1" applyBorder="1" applyAlignment="1">
      <alignment/>
    </xf>
    <xf numFmtId="172" fontId="47" fillId="0" borderId="7" xfId="15" applyNumberFormat="1" applyFont="1" applyBorder="1" applyAlignment="1">
      <alignment/>
    </xf>
    <xf numFmtId="172" fontId="0" fillId="0" borderId="7" xfId="15" applyNumberFormat="1" applyBorder="1" applyAlignment="1">
      <alignment/>
    </xf>
    <xf numFmtId="172" fontId="47" fillId="0" borderId="2" xfId="15" applyNumberFormat="1" applyFont="1" applyBorder="1" applyAlignment="1">
      <alignment/>
    </xf>
    <xf numFmtId="172" fontId="0" fillId="0" borderId="2" xfId="15" applyNumberFormat="1" applyBorder="1" applyAlignment="1">
      <alignment/>
    </xf>
    <xf numFmtId="172" fontId="48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0" fontId="36" fillId="4" borderId="2" xfId="0" applyFont="1" applyFill="1" applyBorder="1" applyAlignment="1">
      <alignment horizontal="center"/>
    </xf>
    <xf numFmtId="0" fontId="36" fillId="4" borderId="2" xfId="0" applyFont="1" applyFill="1" applyBorder="1" applyAlignment="1">
      <alignment/>
    </xf>
    <xf numFmtId="172" fontId="4" fillId="4" borderId="2" xfId="15" applyNumberFormat="1" applyFont="1" applyFill="1" applyBorder="1" applyAlignment="1">
      <alignment/>
    </xf>
    <xf numFmtId="172" fontId="5" fillId="4" borderId="2" xfId="15" applyNumberFormat="1" applyFont="1" applyFill="1" applyBorder="1" applyAlignment="1">
      <alignment/>
    </xf>
    <xf numFmtId="172" fontId="0" fillId="4" borderId="2" xfId="15" applyNumberFormat="1" applyFont="1" applyFill="1" applyBorder="1" applyAlignment="1">
      <alignment/>
    </xf>
    <xf numFmtId="172" fontId="0" fillId="4" borderId="2" xfId="15" applyNumberFormat="1" applyFill="1" applyBorder="1" applyAlignment="1">
      <alignment/>
    </xf>
    <xf numFmtId="49" fontId="0" fillId="4" borderId="0" xfId="0" applyNumberFormat="1" applyFill="1" applyAlignment="1">
      <alignment/>
    </xf>
    <xf numFmtId="0" fontId="0" fillId="4" borderId="0" xfId="0" applyFill="1" applyAlignment="1">
      <alignment/>
    </xf>
    <xf numFmtId="172" fontId="4" fillId="5" borderId="2" xfId="15" applyNumberFormat="1" applyFont="1" applyFill="1" applyBorder="1" applyAlignment="1">
      <alignment/>
    </xf>
    <xf numFmtId="172" fontId="5" fillId="0" borderId="19" xfId="15" applyNumberFormat="1" applyFon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13" fillId="0" borderId="4" xfId="15" applyNumberFormat="1" applyFont="1" applyBorder="1" applyAlignment="1">
      <alignment/>
    </xf>
    <xf numFmtId="0" fontId="38" fillId="0" borderId="6" xfId="0" applyFont="1" applyBorder="1" applyAlignment="1">
      <alignment horizontal="center"/>
    </xf>
    <xf numFmtId="0" fontId="38" fillId="0" borderId="6" xfId="0" applyFont="1" applyBorder="1" applyAlignment="1">
      <alignment/>
    </xf>
    <xf numFmtId="172" fontId="26" fillId="0" borderId="6" xfId="15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172" fontId="7" fillId="0" borderId="19" xfId="15" applyNumberFormat="1" applyFont="1" applyBorder="1" applyAlignment="1">
      <alignment/>
    </xf>
    <xf numFmtId="0" fontId="20" fillId="0" borderId="0" xfId="0" applyFont="1" applyAlignment="1">
      <alignment/>
    </xf>
    <xf numFmtId="172" fontId="23" fillId="4" borderId="7" xfId="15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36" fillId="0" borderId="4" xfId="0" applyFont="1" applyBorder="1" applyAlignment="1">
      <alignment horizontal="center"/>
    </xf>
    <xf numFmtId="172" fontId="7" fillId="0" borderId="4" xfId="15" applyNumberFormat="1" applyFont="1" applyBorder="1" applyAlignment="1">
      <alignment/>
    </xf>
    <xf numFmtId="0" fontId="20" fillId="0" borderId="4" xfId="0" applyFont="1" applyBorder="1" applyAlignment="1">
      <alignment/>
    </xf>
    <xf numFmtId="0" fontId="50" fillId="0" borderId="0" xfId="0" applyFont="1" applyAlignment="1">
      <alignment/>
    </xf>
    <xf numFmtId="172" fontId="50" fillId="0" borderId="0" xfId="15" applyNumberFormat="1" applyFont="1" applyAlignment="1">
      <alignment/>
    </xf>
    <xf numFmtId="172" fontId="9" fillId="0" borderId="4" xfId="0" applyNumberFormat="1" applyFont="1" applyBorder="1" applyAlignment="1">
      <alignment/>
    </xf>
    <xf numFmtId="172" fontId="7" fillId="4" borderId="4" xfId="15" applyNumberFormat="1" applyFont="1" applyFill="1" applyBorder="1" applyAlignment="1">
      <alignment/>
    </xf>
    <xf numFmtId="172" fontId="7" fillId="0" borderId="4" xfId="15" applyNumberFormat="1" applyFont="1" applyFill="1" applyBorder="1" applyAlignment="1">
      <alignment/>
    </xf>
    <xf numFmtId="172" fontId="36" fillId="0" borderId="4" xfId="15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172" fontId="29" fillId="4" borderId="2" xfId="15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7" fillId="2" borderId="6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172" fontId="51" fillId="2" borderId="2" xfId="15" applyNumberFormat="1" applyFont="1" applyFill="1" applyBorder="1" applyAlignment="1">
      <alignment/>
    </xf>
    <xf numFmtId="172" fontId="9" fillId="6" borderId="6" xfId="15" applyNumberFormat="1" applyFont="1" applyFill="1" applyBorder="1" applyAlignment="1">
      <alignment/>
    </xf>
    <xf numFmtId="0" fontId="52" fillId="0" borderId="0" xfId="0" applyFont="1" applyAlignment="1">
      <alignment/>
    </xf>
    <xf numFmtId="172" fontId="52" fillId="0" borderId="0" xfId="15" applyNumberFormat="1" applyFont="1" applyAlignment="1">
      <alignment/>
    </xf>
    <xf numFmtId="172" fontId="36" fillId="0" borderId="0" xfId="0" applyNumberFormat="1" applyFont="1" applyAlignment="1">
      <alignment/>
    </xf>
    <xf numFmtId="0" fontId="7" fillId="4" borderId="4" xfId="0" applyFont="1" applyFill="1" applyBorder="1" applyAlignment="1">
      <alignment/>
    </xf>
    <xf numFmtId="172" fontId="23" fillId="6" borderId="2" xfId="15" applyNumberFormat="1" applyFont="1" applyFill="1" applyBorder="1" applyAlignment="1">
      <alignment/>
    </xf>
    <xf numFmtId="177" fontId="7" fillId="0" borderId="2" xfId="15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72" fontId="32" fillId="0" borderId="0" xfId="15" applyNumberFormat="1" applyFont="1" applyFill="1" applyAlignment="1">
      <alignment/>
    </xf>
    <xf numFmtId="172" fontId="2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172" fontId="23" fillId="7" borderId="2" xfId="15" applyNumberFormat="1" applyFont="1" applyFill="1" applyBorder="1" applyAlignment="1">
      <alignment/>
    </xf>
    <xf numFmtId="172" fontId="5" fillId="7" borderId="2" xfId="15" applyNumberFormat="1" applyFont="1" applyFill="1" applyBorder="1" applyAlignment="1">
      <alignment/>
    </xf>
    <xf numFmtId="172" fontId="29" fillId="7" borderId="2" xfId="15" applyNumberFormat="1" applyFont="1" applyFill="1" applyBorder="1" applyAlignment="1">
      <alignment/>
    </xf>
    <xf numFmtId="172" fontId="23" fillId="3" borderId="5" xfId="15" applyNumberFormat="1" applyFont="1" applyFill="1" applyBorder="1" applyAlignment="1">
      <alignment horizontal="center"/>
    </xf>
    <xf numFmtId="172" fontId="23" fillId="3" borderId="19" xfId="15" applyNumberFormat="1" applyFont="1" applyFill="1" applyBorder="1" applyAlignment="1">
      <alignment horizontal="center"/>
    </xf>
    <xf numFmtId="172" fontId="23" fillId="0" borderId="4" xfId="15" applyNumberFormat="1" applyFont="1" applyBorder="1" applyAlignment="1">
      <alignment horizontal="center"/>
    </xf>
    <xf numFmtId="172" fontId="9" fillId="3" borderId="20" xfId="15" applyNumberFormat="1" applyFont="1" applyFill="1" applyBorder="1" applyAlignment="1">
      <alignment horizontal="center"/>
    </xf>
    <xf numFmtId="172" fontId="9" fillId="3" borderId="14" xfId="15" applyNumberFormat="1" applyFont="1" applyFill="1" applyBorder="1" applyAlignment="1">
      <alignment horizontal="center"/>
    </xf>
    <xf numFmtId="172" fontId="7" fillId="0" borderId="14" xfId="15" applyNumberFormat="1" applyFont="1" applyBorder="1" applyAlignment="1">
      <alignment horizontal="center"/>
    </xf>
    <xf numFmtId="172" fontId="23" fillId="0" borderId="5" xfId="15" applyNumberFormat="1" applyFont="1" applyBorder="1" applyAlignment="1">
      <alignment horizontal="center" vertical="center" wrapText="1"/>
    </xf>
    <xf numFmtId="172" fontId="23" fillId="0" borderId="19" xfId="15" applyNumberFormat="1" applyFont="1" applyBorder="1" applyAlignment="1">
      <alignment horizontal="center" vertical="center" wrapText="1"/>
    </xf>
    <xf numFmtId="172" fontId="23" fillId="3" borderId="4" xfId="15" applyNumberFormat="1" applyFont="1" applyFill="1" applyBorder="1" applyAlignment="1">
      <alignment horizontal="center"/>
    </xf>
    <xf numFmtId="172" fontId="23" fillId="0" borderId="4" xfId="15" applyNumberFormat="1" applyFont="1" applyBorder="1" applyAlignment="1">
      <alignment/>
    </xf>
    <xf numFmtId="172" fontId="23" fillId="0" borderId="5" xfId="15" applyNumberFormat="1" applyFont="1" applyBorder="1" applyAlignment="1">
      <alignment horizontal="center"/>
    </xf>
    <xf numFmtId="172" fontId="23" fillId="0" borderId="19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center"/>
    </xf>
    <xf numFmtId="172" fontId="23" fillId="0" borderId="4" xfId="15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vertical="center" wrapText="1"/>
    </xf>
    <xf numFmtId="172" fontId="28" fillId="2" borderId="10" xfId="15" applyNumberFormat="1" applyFont="1" applyFill="1" applyBorder="1" applyAlignment="1">
      <alignment horizontal="center"/>
    </xf>
    <xf numFmtId="172" fontId="28" fillId="2" borderId="0" xfId="15" applyNumberFormat="1" applyFont="1" applyFill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72" fontId="6" fillId="0" borderId="13" xfId="15" applyNumberFormat="1" applyFont="1" applyBorder="1" applyAlignment="1">
      <alignment horizontal="center"/>
    </xf>
    <xf numFmtId="172" fontId="6" fillId="0" borderId="9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4" fillId="2" borderId="4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2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hoa\data%20(d)\quyet%20toan%203%20nam%202009-2010-2011%20so%20chua%20dieu%20chinh\BCTC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hxh"/>
      <sheetName val="giai trih chi tiet mot so TK"/>
      <sheetName val="so du cac TK"/>
      <sheetName val="chi tiet DT-LN"/>
      <sheetName val="ban co ca nam 2011"/>
      <sheetName val="BCDPS - 2011"/>
      <sheetName val="BCDKT - 2011"/>
      <sheetName val="KQKD- 2011"/>
      <sheetName val="PP LN"/>
    </sheetNames>
    <sheetDataSet>
      <sheetData sheetId="3">
        <row r="40">
          <cell r="F40">
            <v>3229356290</v>
          </cell>
          <cell r="G40">
            <v>377776468</v>
          </cell>
          <cell r="H40">
            <v>135578251</v>
          </cell>
          <cell r="I40">
            <v>259584298</v>
          </cell>
        </row>
        <row r="41">
          <cell r="F41">
            <v>587890022</v>
          </cell>
          <cell r="G41">
            <v>36048818</v>
          </cell>
          <cell r="H41">
            <v>125782008</v>
          </cell>
          <cell r="I41">
            <v>216246328</v>
          </cell>
        </row>
        <row r="42">
          <cell r="F42">
            <v>338095858</v>
          </cell>
          <cell r="G42">
            <v>55524434</v>
          </cell>
          <cell r="H42">
            <v>21759935</v>
          </cell>
          <cell r="I42">
            <v>47259604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4"/>
  <sheetViews>
    <sheetView workbookViewId="0" topLeftCell="A1">
      <selection activeCell="F5" sqref="F5:F7"/>
    </sheetView>
  </sheetViews>
  <sheetFormatPr defaultColWidth="9.00390625" defaultRowHeight="12.75"/>
  <cols>
    <col min="1" max="1" width="5.875" style="161" customWidth="1"/>
    <col min="2" max="2" width="22.375" style="155" customWidth="1"/>
    <col min="3" max="6" width="16.375" style="155" customWidth="1"/>
    <col min="7" max="7" width="16.25390625" style="155" customWidth="1"/>
    <col min="8" max="8" width="22.875" style="155" customWidth="1"/>
    <col min="9" max="9" width="16.375" style="165" customWidth="1"/>
    <col min="10" max="10" width="11.75390625" style="155" customWidth="1"/>
    <col min="11" max="11" width="16.375" style="176" bestFit="1" customWidth="1"/>
    <col min="12" max="12" width="16.625" style="176" customWidth="1"/>
    <col min="13" max="13" width="15.75390625" style="176" customWidth="1"/>
    <col min="14" max="14" width="17.375" style="176" customWidth="1"/>
    <col min="15" max="15" width="16.625" style="176" customWidth="1"/>
    <col min="16" max="20" width="9.125" style="75" customWidth="1"/>
    <col min="21" max="16384" width="9.125" style="72" customWidth="1"/>
  </cols>
  <sheetData>
    <row r="1" spans="1:20" s="12" customFormat="1" ht="17.25">
      <c r="A1" s="382" t="s">
        <v>244</v>
      </c>
      <c r="B1" s="382"/>
      <c r="C1" s="382"/>
      <c r="D1" s="382"/>
      <c r="E1" s="382"/>
      <c r="F1" s="382"/>
      <c r="G1" s="382"/>
      <c r="H1" s="382"/>
      <c r="I1" s="382"/>
      <c r="J1" s="382"/>
      <c r="K1" s="167"/>
      <c r="L1" s="167" t="s">
        <v>255</v>
      </c>
      <c r="M1" s="167"/>
      <c r="N1" s="167"/>
      <c r="O1" s="167"/>
      <c r="P1" s="13"/>
      <c r="Q1" s="13"/>
      <c r="R1" s="13"/>
      <c r="S1" s="13"/>
      <c r="T1" s="13"/>
    </row>
    <row r="2" spans="1:20" s="25" customFormat="1" ht="15.75">
      <c r="A2" s="149"/>
      <c r="B2" s="148"/>
      <c r="C2" s="148"/>
      <c r="D2" s="148"/>
      <c r="E2" s="148"/>
      <c r="F2" s="148"/>
      <c r="G2" s="148"/>
      <c r="H2" s="148"/>
      <c r="I2" s="76"/>
      <c r="J2" s="148"/>
      <c r="K2" s="166"/>
      <c r="L2" s="166"/>
      <c r="M2" s="166"/>
      <c r="N2" s="166"/>
      <c r="O2" s="166"/>
      <c r="P2" s="14"/>
      <c r="Q2" s="14"/>
      <c r="R2" s="14"/>
      <c r="S2" s="14"/>
      <c r="T2" s="14"/>
    </row>
    <row r="3" spans="1:20" s="135" customFormat="1" ht="14.25">
      <c r="A3" s="379" t="s">
        <v>219</v>
      </c>
      <c r="B3" s="372" t="s">
        <v>238</v>
      </c>
      <c r="C3" s="383" t="s">
        <v>243</v>
      </c>
      <c r="D3" s="376" t="s">
        <v>274</v>
      </c>
      <c r="E3" s="376" t="s">
        <v>275</v>
      </c>
      <c r="F3" s="376" t="s">
        <v>242</v>
      </c>
      <c r="G3" s="372" t="s">
        <v>241</v>
      </c>
      <c r="H3" s="372"/>
      <c r="I3" s="372"/>
      <c r="J3" s="380" t="s">
        <v>245</v>
      </c>
      <c r="K3" s="370"/>
      <c r="L3" s="378" t="s">
        <v>228</v>
      </c>
      <c r="M3" s="378" t="s">
        <v>246</v>
      </c>
      <c r="N3" s="378" t="s">
        <v>247</v>
      </c>
      <c r="O3" s="168"/>
      <c r="P3" s="142"/>
      <c r="Q3" s="142"/>
      <c r="R3" s="142"/>
      <c r="S3" s="142"/>
      <c r="T3" s="142"/>
    </row>
    <row r="4" spans="1:20" s="135" customFormat="1" ht="14.25">
      <c r="A4" s="379"/>
      <c r="B4" s="372"/>
      <c r="C4" s="383"/>
      <c r="D4" s="377"/>
      <c r="E4" s="377"/>
      <c r="F4" s="377"/>
      <c r="G4" s="150" t="s">
        <v>239</v>
      </c>
      <c r="H4" s="150" t="s">
        <v>240</v>
      </c>
      <c r="I4" s="162" t="s">
        <v>242</v>
      </c>
      <c r="J4" s="381"/>
      <c r="K4" s="371"/>
      <c r="L4" s="378"/>
      <c r="M4" s="378"/>
      <c r="N4" s="378"/>
      <c r="O4" s="168"/>
      <c r="P4" s="142"/>
      <c r="Q4" s="142"/>
      <c r="R4" s="142"/>
      <c r="S4" s="142"/>
      <c r="T4" s="142"/>
    </row>
    <row r="5" spans="1:20" s="18" customFormat="1" ht="18.75" customHeight="1">
      <c r="A5" s="151">
        <v>1</v>
      </c>
      <c r="B5" s="228">
        <v>459812400</v>
      </c>
      <c r="C5" s="224">
        <f>B5*28.5/100</f>
        <v>131046534</v>
      </c>
      <c r="D5" s="224">
        <v>12998769</v>
      </c>
      <c r="E5" s="224">
        <f>97784+2549466</f>
        <v>2647250</v>
      </c>
      <c r="F5" s="235">
        <f>C5+D5-E5</f>
        <v>141398053</v>
      </c>
      <c r="G5" s="151">
        <f>F5/28.5*20</f>
        <v>99226703.85964912</v>
      </c>
      <c r="H5" s="151">
        <f>F5/28.5*8.5</f>
        <v>42171349.14035087</v>
      </c>
      <c r="I5" s="163">
        <f>SUM(G5:H5)</f>
        <v>141398053</v>
      </c>
      <c r="J5" s="151"/>
      <c r="K5" s="169">
        <v>114612323</v>
      </c>
      <c r="L5" s="166"/>
      <c r="M5" s="166"/>
      <c r="N5" s="166"/>
      <c r="O5" s="166"/>
      <c r="P5" s="14"/>
      <c r="Q5" s="14"/>
      <c r="R5" s="14"/>
      <c r="S5" s="14"/>
      <c r="T5" s="14"/>
    </row>
    <row r="6" spans="1:20" s="18" customFormat="1" ht="18.75" customHeight="1">
      <c r="A6" s="152">
        <v>2</v>
      </c>
      <c r="B6" s="229">
        <v>456753700</v>
      </c>
      <c r="C6" s="225">
        <f aca="true" t="shared" si="0" ref="C6:C16">B6*28.5/100</f>
        <v>130174804.5</v>
      </c>
      <c r="D6" s="225"/>
      <c r="E6" s="225"/>
      <c r="F6" s="235">
        <f aca="true" t="shared" si="1" ref="F6:F18">C6+D6-E6</f>
        <v>130174804.5</v>
      </c>
      <c r="G6" s="151">
        <f aca="true" t="shared" si="2" ref="G6:G16">F6/28.5*20</f>
        <v>91350740</v>
      </c>
      <c r="H6" s="151">
        <f aca="true" t="shared" si="3" ref="H6:H16">F6/28.5*8.5</f>
        <v>38824064.5</v>
      </c>
      <c r="I6" s="163">
        <f aca="true" t="shared" si="4" ref="I6:I18">D6+G6+H6-E6</f>
        <v>130174804.5</v>
      </c>
      <c r="J6" s="152"/>
      <c r="K6" s="169">
        <v>113532315</v>
      </c>
      <c r="L6" s="166"/>
      <c r="M6" s="166">
        <v>73585681</v>
      </c>
      <c r="N6" s="166">
        <v>264633882</v>
      </c>
      <c r="O6" s="166">
        <v>3383</v>
      </c>
      <c r="P6" s="14"/>
      <c r="Q6" s="14"/>
      <c r="R6" s="14"/>
      <c r="S6" s="14"/>
      <c r="T6" s="14"/>
    </row>
    <row r="7" spans="1:20" s="18" customFormat="1" ht="18.75" customHeight="1">
      <c r="A7" s="151">
        <v>3</v>
      </c>
      <c r="B7" s="229">
        <v>455133100</v>
      </c>
      <c r="C7" s="225">
        <f t="shared" si="0"/>
        <v>129712933.5</v>
      </c>
      <c r="D7" s="225"/>
      <c r="E7" s="225"/>
      <c r="F7" s="235">
        <f t="shared" si="1"/>
        <v>129712933.5</v>
      </c>
      <c r="G7" s="151">
        <f t="shared" si="2"/>
        <v>91026620</v>
      </c>
      <c r="H7" s="151">
        <f t="shared" si="3"/>
        <v>38686313.5</v>
      </c>
      <c r="I7" s="163">
        <f t="shared" si="4"/>
        <v>129712933.5</v>
      </c>
      <c r="J7" s="152"/>
      <c r="K7" s="169">
        <v>114242358</v>
      </c>
      <c r="L7" s="166" t="s">
        <v>229</v>
      </c>
      <c r="M7" s="166"/>
      <c r="N7" s="166">
        <v>66053969</v>
      </c>
      <c r="O7" s="166">
        <v>3384</v>
      </c>
      <c r="P7" s="14"/>
      <c r="Q7" s="14"/>
      <c r="R7" s="14"/>
      <c r="S7" s="14"/>
      <c r="T7" s="14"/>
    </row>
    <row r="8" spans="1:20" s="18" customFormat="1" ht="18.75" customHeight="1">
      <c r="A8" s="152">
        <v>4</v>
      </c>
      <c r="B8" s="229">
        <v>455133100</v>
      </c>
      <c r="C8" s="225">
        <f t="shared" si="0"/>
        <v>129712933.5</v>
      </c>
      <c r="D8" s="225">
        <v>668256</v>
      </c>
      <c r="E8" s="225"/>
      <c r="F8" s="227">
        <f t="shared" si="1"/>
        <v>130381189.5</v>
      </c>
      <c r="G8" s="151">
        <f t="shared" si="2"/>
        <v>91495571.57894737</v>
      </c>
      <c r="H8" s="151">
        <f t="shared" si="3"/>
        <v>38885617.92105263</v>
      </c>
      <c r="I8" s="163">
        <f t="shared" si="4"/>
        <v>131049445.5</v>
      </c>
      <c r="J8" s="152"/>
      <c r="K8" s="169">
        <v>115162515</v>
      </c>
      <c r="L8" s="166"/>
      <c r="M8" s="166"/>
      <c r="N8" s="166">
        <v>44458912</v>
      </c>
      <c r="O8" s="166">
        <v>3389</v>
      </c>
      <c r="P8" s="14"/>
      <c r="Q8" s="14"/>
      <c r="R8" s="14"/>
      <c r="S8" s="14"/>
      <c r="T8" s="14"/>
    </row>
    <row r="9" spans="1:20" s="25" customFormat="1" ht="18.75" customHeight="1">
      <c r="A9" s="151">
        <v>5</v>
      </c>
      <c r="B9" s="229">
        <v>517480100</v>
      </c>
      <c r="C9" s="225">
        <f t="shared" si="0"/>
        <v>147481828.5</v>
      </c>
      <c r="D9" s="225"/>
      <c r="E9" s="225"/>
      <c r="F9" s="227">
        <f t="shared" si="1"/>
        <v>147481828.5</v>
      </c>
      <c r="G9" s="151">
        <f t="shared" si="2"/>
        <v>103496020</v>
      </c>
      <c r="H9" s="151">
        <f t="shared" si="3"/>
        <v>43985808.5</v>
      </c>
      <c r="I9" s="163">
        <f t="shared" si="4"/>
        <v>147481828.5</v>
      </c>
      <c r="J9" s="152"/>
      <c r="K9" s="169">
        <v>128714293</v>
      </c>
      <c r="L9" s="166"/>
      <c r="M9" s="166"/>
      <c r="N9" s="166"/>
      <c r="O9" s="166"/>
      <c r="P9" s="14"/>
      <c r="Q9" s="14"/>
      <c r="R9" s="14"/>
      <c r="S9" s="14"/>
      <c r="T9" s="14"/>
    </row>
    <row r="10" spans="1:20" s="18" customFormat="1" ht="18.75" customHeight="1">
      <c r="A10" s="152">
        <v>6</v>
      </c>
      <c r="B10" s="229">
        <v>512931700</v>
      </c>
      <c r="C10" s="225">
        <f t="shared" si="0"/>
        <v>146185534.5</v>
      </c>
      <c r="D10" s="225">
        <v>2687208</v>
      </c>
      <c r="E10" s="225">
        <f>2033589+2136981</f>
        <v>4170570</v>
      </c>
      <c r="F10" s="227">
        <f t="shared" si="1"/>
        <v>144702172.5</v>
      </c>
      <c r="G10" s="151">
        <f t="shared" si="2"/>
        <v>101545384.21052632</v>
      </c>
      <c r="H10" s="151">
        <f t="shared" si="3"/>
        <v>43156788.28947368</v>
      </c>
      <c r="I10" s="163">
        <f t="shared" si="4"/>
        <v>143218810.5</v>
      </c>
      <c r="J10" s="152"/>
      <c r="K10" s="169">
        <v>128739260</v>
      </c>
      <c r="L10" s="166"/>
      <c r="M10" s="166"/>
      <c r="N10" s="166"/>
      <c r="O10" s="166"/>
      <c r="P10" s="14"/>
      <c r="Q10" s="14"/>
      <c r="R10" s="14"/>
      <c r="S10" s="14"/>
      <c r="T10" s="14"/>
    </row>
    <row r="11" spans="1:20" s="18" customFormat="1" ht="18.75" customHeight="1">
      <c r="A11" s="151">
        <v>7</v>
      </c>
      <c r="B11" s="229">
        <v>505196100</v>
      </c>
      <c r="C11" s="225">
        <f t="shared" si="0"/>
        <v>143980888.5</v>
      </c>
      <c r="D11" s="225">
        <v>1992249</v>
      </c>
      <c r="E11" s="225"/>
      <c r="F11" s="227">
        <f t="shared" si="1"/>
        <v>145973137.5</v>
      </c>
      <c r="G11" s="151">
        <f t="shared" si="2"/>
        <v>102437289.4736842</v>
      </c>
      <c r="H11" s="151">
        <f t="shared" si="3"/>
        <v>43535848.026315786</v>
      </c>
      <c r="I11" s="163">
        <f t="shared" si="4"/>
        <v>147965386.5</v>
      </c>
      <c r="J11" s="152"/>
      <c r="K11" s="169">
        <v>126330041</v>
      </c>
      <c r="L11" s="166"/>
      <c r="M11" s="166"/>
      <c r="N11" s="166"/>
      <c r="O11" s="166"/>
      <c r="P11" s="14"/>
      <c r="Q11" s="14"/>
      <c r="R11" s="14"/>
      <c r="S11" s="14"/>
      <c r="T11" s="14"/>
    </row>
    <row r="12" spans="1:20" s="18" customFormat="1" ht="18.75" customHeight="1">
      <c r="A12" s="152">
        <v>8</v>
      </c>
      <c r="B12" s="229">
        <v>508350100</v>
      </c>
      <c r="C12" s="225">
        <f t="shared" si="0"/>
        <v>144879778.5</v>
      </c>
      <c r="D12" s="225">
        <f>1492755+973137</f>
        <v>2465892</v>
      </c>
      <c r="E12" s="225"/>
      <c r="F12" s="227">
        <f t="shared" si="1"/>
        <v>147345670.5</v>
      </c>
      <c r="G12" s="151">
        <f t="shared" si="2"/>
        <v>103400470.5263158</v>
      </c>
      <c r="H12" s="151">
        <f t="shared" si="3"/>
        <v>43945199.973684214</v>
      </c>
      <c r="I12" s="163">
        <f t="shared" si="4"/>
        <v>149811562.5</v>
      </c>
      <c r="J12" s="152"/>
      <c r="K12" s="169">
        <v>125206570</v>
      </c>
      <c r="L12" s="166"/>
      <c r="M12" s="166"/>
      <c r="N12" s="166"/>
      <c r="O12" s="166"/>
      <c r="P12" s="14"/>
      <c r="Q12" s="14"/>
      <c r="R12" s="14"/>
      <c r="S12" s="14"/>
      <c r="T12" s="14"/>
    </row>
    <row r="13" spans="1:20" s="18" customFormat="1" ht="18.75" customHeight="1">
      <c r="A13" s="151">
        <v>9</v>
      </c>
      <c r="B13" s="229">
        <v>509238200</v>
      </c>
      <c r="C13" s="225">
        <f t="shared" si="0"/>
        <v>145132887</v>
      </c>
      <c r="D13" s="225">
        <v>7345671</v>
      </c>
      <c r="E13" s="225"/>
      <c r="F13" s="227">
        <f t="shared" si="1"/>
        <v>152478558</v>
      </c>
      <c r="G13" s="151">
        <f t="shared" si="2"/>
        <v>107002496.84210525</v>
      </c>
      <c r="H13" s="151">
        <f t="shared" si="3"/>
        <v>45476061.15789474</v>
      </c>
      <c r="I13" s="163">
        <f t="shared" si="4"/>
        <v>159824229</v>
      </c>
      <c r="J13" s="152"/>
      <c r="K13" s="169">
        <v>123880372</v>
      </c>
      <c r="L13" s="166"/>
      <c r="M13" s="166"/>
      <c r="N13" s="166"/>
      <c r="O13" s="166"/>
      <c r="P13" s="14"/>
      <c r="Q13" s="14"/>
      <c r="R13" s="14"/>
      <c r="S13" s="14"/>
      <c r="T13" s="14"/>
    </row>
    <row r="14" spans="1:20" s="18" customFormat="1" ht="18.75" customHeight="1">
      <c r="A14" s="152">
        <v>10</v>
      </c>
      <c r="B14" s="229">
        <v>509238200</v>
      </c>
      <c r="C14" s="225">
        <f t="shared" si="0"/>
        <v>145132887</v>
      </c>
      <c r="D14" s="225"/>
      <c r="E14" s="225"/>
      <c r="F14" s="227">
        <f t="shared" si="1"/>
        <v>145132887</v>
      </c>
      <c r="G14" s="151">
        <f t="shared" si="2"/>
        <v>101847640</v>
      </c>
      <c r="H14" s="151">
        <f t="shared" si="3"/>
        <v>43285247</v>
      </c>
      <c r="I14" s="163">
        <f t="shared" si="4"/>
        <v>145132887</v>
      </c>
      <c r="J14" s="152"/>
      <c r="K14" s="169">
        <v>125458311</v>
      </c>
      <c r="L14" s="166"/>
      <c r="M14" s="166"/>
      <c r="N14" s="166"/>
      <c r="O14" s="166"/>
      <c r="P14" s="14"/>
      <c r="Q14" s="14"/>
      <c r="R14" s="14"/>
      <c r="S14" s="14"/>
      <c r="T14" s="14"/>
    </row>
    <row r="15" spans="1:20" s="25" customFormat="1" ht="18.75" customHeight="1">
      <c r="A15" s="151">
        <v>11</v>
      </c>
      <c r="B15" s="229">
        <v>506798000</v>
      </c>
      <c r="C15" s="225">
        <f t="shared" si="0"/>
        <v>144437430</v>
      </c>
      <c r="D15" s="225">
        <f>468369</f>
        <v>468369</v>
      </c>
      <c r="E15" s="225">
        <f>4867113+730940</f>
        <v>5598053</v>
      </c>
      <c r="F15" s="227">
        <f t="shared" si="1"/>
        <v>139307746</v>
      </c>
      <c r="G15" s="151">
        <f t="shared" si="2"/>
        <v>97759821.75438596</v>
      </c>
      <c r="H15" s="151">
        <f t="shared" si="3"/>
        <v>41547924.24561403</v>
      </c>
      <c r="I15" s="163">
        <f t="shared" si="4"/>
        <v>134178062</v>
      </c>
      <c r="J15" s="152"/>
      <c r="K15" s="169">
        <v>125433345</v>
      </c>
      <c r="L15" s="166"/>
      <c r="M15" s="166"/>
      <c r="N15" s="166"/>
      <c r="O15" s="166"/>
      <c r="P15" s="14"/>
      <c r="Q15" s="14"/>
      <c r="R15" s="14"/>
      <c r="S15" s="14"/>
      <c r="T15" s="14"/>
    </row>
    <row r="16" spans="1:20" s="18" customFormat="1" ht="18.75" customHeight="1">
      <c r="A16" s="152">
        <v>12</v>
      </c>
      <c r="B16" s="229">
        <v>519322700</v>
      </c>
      <c r="C16" s="225">
        <f t="shared" si="0"/>
        <v>148006969.5</v>
      </c>
      <c r="D16" s="225">
        <v>3670988</v>
      </c>
      <c r="E16" s="225">
        <v>5692254</v>
      </c>
      <c r="F16" s="227">
        <f t="shared" si="1"/>
        <v>145985703.5</v>
      </c>
      <c r="G16" s="151">
        <f t="shared" si="2"/>
        <v>102446107.71929824</v>
      </c>
      <c r="H16" s="151">
        <f t="shared" si="3"/>
        <v>43539595.78070176</v>
      </c>
      <c r="I16" s="163">
        <f t="shared" si="4"/>
        <v>143964437.5</v>
      </c>
      <c r="J16" s="152"/>
      <c r="K16" s="169">
        <v>125865747</v>
      </c>
      <c r="L16" s="166" t="s">
        <v>229</v>
      </c>
      <c r="M16" s="166"/>
      <c r="N16" s="166"/>
      <c r="O16" s="166"/>
      <c r="P16" s="14"/>
      <c r="Q16" s="14"/>
      <c r="R16" s="14"/>
      <c r="S16" s="14"/>
      <c r="T16" s="14"/>
    </row>
    <row r="17" spans="1:20" s="18" customFormat="1" ht="18.75" customHeight="1">
      <c r="A17" s="156"/>
      <c r="B17" s="152"/>
      <c r="C17" s="226"/>
      <c r="D17" s="226"/>
      <c r="E17" s="226"/>
      <c r="F17" s="227"/>
      <c r="G17" s="152"/>
      <c r="H17" s="151">
        <f>B17*8.5/100</f>
        <v>0</v>
      </c>
      <c r="I17" s="163">
        <f t="shared" si="4"/>
        <v>0</v>
      </c>
      <c r="J17" s="152"/>
      <c r="K17" s="166"/>
      <c r="L17" s="166"/>
      <c r="M17" s="166"/>
      <c r="N17" s="166"/>
      <c r="O17" s="166"/>
      <c r="P17" s="14"/>
      <c r="Q17" s="14"/>
      <c r="R17" s="14"/>
      <c r="S17" s="14"/>
      <c r="T17" s="14"/>
    </row>
    <row r="18" spans="1:20" s="18" customFormat="1" ht="18.75" customHeight="1">
      <c r="A18" s="156"/>
      <c r="B18" s="152"/>
      <c r="C18" s="152"/>
      <c r="D18" s="152"/>
      <c r="E18" s="152"/>
      <c r="F18" s="227">
        <f t="shared" si="1"/>
        <v>0</v>
      </c>
      <c r="G18" s="152"/>
      <c r="H18" s="152"/>
      <c r="I18" s="163">
        <f t="shared" si="4"/>
        <v>0</v>
      </c>
      <c r="J18" s="152"/>
      <c r="K18" s="166"/>
      <c r="L18" s="166"/>
      <c r="M18" s="166"/>
      <c r="N18" s="166"/>
      <c r="O18" s="166"/>
      <c r="P18" s="14"/>
      <c r="Q18" s="14"/>
      <c r="R18" s="14"/>
      <c r="S18" s="14"/>
      <c r="T18" s="14"/>
    </row>
    <row r="19" spans="1:20" s="25" customFormat="1" ht="18.75" customHeight="1">
      <c r="A19" s="157"/>
      <c r="B19" s="153">
        <f aca="true" t="shared" si="5" ref="B19:I19">SUM(B5:B18)</f>
        <v>5915387400</v>
      </c>
      <c r="C19" s="153">
        <f t="shared" si="5"/>
        <v>1685885409</v>
      </c>
      <c r="D19" s="153">
        <f t="shared" si="5"/>
        <v>32297402</v>
      </c>
      <c r="E19" s="153">
        <f t="shared" si="5"/>
        <v>18108127</v>
      </c>
      <c r="F19" s="153">
        <f t="shared" si="5"/>
        <v>1700074684</v>
      </c>
      <c r="G19" s="153">
        <f t="shared" si="5"/>
        <v>1193034865.9649124</v>
      </c>
      <c r="H19" s="153">
        <f t="shared" si="5"/>
        <v>507039818.0350877</v>
      </c>
      <c r="I19" s="153">
        <f t="shared" si="5"/>
        <v>1703912440</v>
      </c>
      <c r="J19" s="153"/>
      <c r="K19" s="170">
        <f>SUM(K5:K18)</f>
        <v>1467177450</v>
      </c>
      <c r="L19" s="170">
        <f>K19-C19</f>
        <v>-218707959</v>
      </c>
      <c r="M19" s="170">
        <f>SUM(M6:M18)</f>
        <v>73585681</v>
      </c>
      <c r="N19" s="170">
        <f>SUM(N6:N18)</f>
        <v>375146763</v>
      </c>
      <c r="O19" s="170"/>
      <c r="P19" s="74"/>
      <c r="Q19" s="74"/>
      <c r="R19" s="74"/>
      <c r="S19" s="74"/>
      <c r="T19" s="74"/>
    </row>
    <row r="20" spans="1:20" s="18" customFormat="1" ht="18.75" customHeight="1">
      <c r="A20" s="156"/>
      <c r="B20" s="152"/>
      <c r="C20" s="152"/>
      <c r="D20" s="152"/>
      <c r="E20" s="152"/>
      <c r="F20" s="152"/>
      <c r="G20" s="152"/>
      <c r="H20" s="152"/>
      <c r="I20" s="153"/>
      <c r="J20" s="152"/>
      <c r="K20" s="166"/>
      <c r="L20" s="166"/>
      <c r="M20" s="166"/>
      <c r="N20" s="166"/>
      <c r="O20" s="166"/>
      <c r="P20" s="14"/>
      <c r="Q20" s="14"/>
      <c r="R20" s="14"/>
      <c r="S20" s="14"/>
      <c r="T20" s="14"/>
    </row>
    <row r="21" spans="1:20" s="25" customFormat="1" ht="18.75" customHeight="1">
      <c r="A21" s="157"/>
      <c r="B21" s="152"/>
      <c r="C21" s="152">
        <v>1480428178</v>
      </c>
      <c r="D21" s="152"/>
      <c r="E21" s="152"/>
      <c r="F21" s="152"/>
      <c r="G21" s="152"/>
      <c r="H21" s="152"/>
      <c r="I21" s="153"/>
      <c r="J21" s="152"/>
      <c r="K21" s="373">
        <v>3383</v>
      </c>
      <c r="L21" s="374"/>
      <c r="M21" s="171"/>
      <c r="N21" s="171"/>
      <c r="O21" s="166"/>
      <c r="P21" s="14"/>
      <c r="Q21" s="14"/>
      <c r="R21" s="14"/>
      <c r="S21" s="14"/>
      <c r="T21" s="14"/>
    </row>
    <row r="22" spans="1:20" s="18" customFormat="1" ht="18.75" customHeight="1">
      <c r="A22" s="156"/>
      <c r="B22" s="152"/>
      <c r="C22" s="152"/>
      <c r="D22" s="152"/>
      <c r="E22" s="152"/>
      <c r="F22" s="152"/>
      <c r="G22" s="152"/>
      <c r="H22" s="152"/>
      <c r="I22" s="153">
        <f>C19-I19</f>
        <v>-18027031</v>
      </c>
      <c r="J22" s="152"/>
      <c r="K22" s="166" t="s">
        <v>248</v>
      </c>
      <c r="L22" s="173">
        <v>1333976607</v>
      </c>
      <c r="M22" s="166">
        <f>944221290+50886599</f>
        <v>995107889</v>
      </c>
      <c r="N22" s="166" t="s">
        <v>250</v>
      </c>
      <c r="O22" s="166"/>
      <c r="P22" s="14"/>
      <c r="Q22" s="14"/>
      <c r="R22" s="14"/>
      <c r="S22" s="14"/>
      <c r="T22" s="14"/>
    </row>
    <row r="23" spans="1:20" s="18" customFormat="1" ht="18.75" customHeight="1">
      <c r="A23" s="156"/>
      <c r="B23" s="152"/>
      <c r="C23" s="152">
        <f>C21-C19</f>
        <v>-205457231</v>
      </c>
      <c r="D23" s="152"/>
      <c r="E23" s="152"/>
      <c r="F23" s="152"/>
      <c r="G23" s="152">
        <f>G21-G19</f>
        <v>-1193034865.9649124</v>
      </c>
      <c r="H23" s="152"/>
      <c r="I23" s="153"/>
      <c r="J23" s="152"/>
      <c r="K23" s="166"/>
      <c r="L23" s="174"/>
      <c r="M23" s="166">
        <v>338868718</v>
      </c>
      <c r="N23" s="166" t="s">
        <v>247</v>
      </c>
      <c r="O23" s="166"/>
      <c r="P23" s="14"/>
      <c r="Q23" s="14"/>
      <c r="R23" s="14"/>
      <c r="S23" s="14"/>
      <c r="T23" s="14"/>
    </row>
    <row r="24" spans="1:20" s="18" customFormat="1" ht="18.75" customHeight="1">
      <c r="A24" s="158"/>
      <c r="B24" s="152" t="s">
        <v>254</v>
      </c>
      <c r="C24" s="152">
        <v>2549466</v>
      </c>
      <c r="D24" s="152"/>
      <c r="E24" s="152"/>
      <c r="F24" s="152"/>
      <c r="G24" s="152"/>
      <c r="H24" s="152"/>
      <c r="I24" s="153"/>
      <c r="J24" s="152"/>
      <c r="K24" s="166"/>
      <c r="L24" s="174"/>
      <c r="M24" s="166"/>
      <c r="N24" s="166"/>
      <c r="O24" s="166"/>
      <c r="P24" s="14"/>
      <c r="Q24" s="14"/>
      <c r="R24" s="14"/>
      <c r="S24" s="14"/>
      <c r="T24" s="14"/>
    </row>
    <row r="25" spans="1:20" s="18" customFormat="1" ht="18.75" customHeight="1">
      <c r="A25" s="156"/>
      <c r="B25" s="152"/>
      <c r="C25" s="152">
        <f>C23-C24</f>
        <v>-208006697</v>
      </c>
      <c r="D25" s="152"/>
      <c r="E25" s="152"/>
      <c r="F25" s="152"/>
      <c r="G25" s="152"/>
      <c r="H25" s="152"/>
      <c r="I25" s="153"/>
      <c r="J25" s="152"/>
      <c r="K25" s="166" t="s">
        <v>249</v>
      </c>
      <c r="L25" s="174">
        <v>102670500</v>
      </c>
      <c r="M25" s="166">
        <v>97065258</v>
      </c>
      <c r="N25" s="166" t="s">
        <v>251</v>
      </c>
      <c r="O25" s="166"/>
      <c r="P25" s="14"/>
      <c r="Q25" s="14"/>
      <c r="R25" s="14"/>
      <c r="S25" s="14"/>
      <c r="T25" s="14"/>
    </row>
    <row r="26" spans="1:20" s="18" customFormat="1" ht="18.75" customHeight="1">
      <c r="A26" s="156"/>
      <c r="B26" s="152"/>
      <c r="C26" s="152"/>
      <c r="D26" s="152"/>
      <c r="E26" s="152"/>
      <c r="F26" s="152"/>
      <c r="G26" s="152"/>
      <c r="H26" s="152"/>
      <c r="I26" s="153"/>
      <c r="J26" s="152"/>
      <c r="K26" s="166"/>
      <c r="L26" s="174"/>
      <c r="M26" s="166"/>
      <c r="N26" s="166"/>
      <c r="O26" s="166"/>
      <c r="P26" s="14"/>
      <c r="Q26" s="14"/>
      <c r="R26" s="14"/>
      <c r="S26" s="14"/>
      <c r="T26" s="14"/>
    </row>
    <row r="27" spans="1:20" s="18" customFormat="1" ht="15.75">
      <c r="A27" s="159"/>
      <c r="B27" s="154"/>
      <c r="C27" s="154"/>
      <c r="D27" s="154"/>
      <c r="E27" s="154"/>
      <c r="F27" s="154"/>
      <c r="G27" s="154"/>
      <c r="H27" s="154"/>
      <c r="I27" s="164"/>
      <c r="J27" s="154"/>
      <c r="K27" s="166" t="s">
        <v>253</v>
      </c>
      <c r="L27" s="174">
        <f>144702173+401645328</f>
        <v>546347501</v>
      </c>
      <c r="M27" s="166">
        <v>546347501</v>
      </c>
      <c r="N27" s="166" t="s">
        <v>252</v>
      </c>
      <c r="O27" s="166"/>
      <c r="P27" s="14"/>
      <c r="Q27" s="14"/>
      <c r="R27" s="14"/>
      <c r="S27" s="14"/>
      <c r="T27" s="14"/>
    </row>
    <row r="28" spans="1:20" s="18" customFormat="1" ht="15.75">
      <c r="A28" s="149"/>
      <c r="B28" s="148"/>
      <c r="C28" s="148"/>
      <c r="D28" s="148"/>
      <c r="E28" s="148"/>
      <c r="F28" s="148"/>
      <c r="G28" s="148"/>
      <c r="H28" s="148"/>
      <c r="I28" s="76"/>
      <c r="J28" s="148"/>
      <c r="K28" s="166"/>
      <c r="L28" s="174"/>
      <c r="M28" s="166"/>
      <c r="N28" s="166"/>
      <c r="O28" s="166"/>
      <c r="P28" s="14"/>
      <c r="Q28" s="14"/>
      <c r="R28" s="14"/>
      <c r="S28" s="14"/>
      <c r="T28" s="14"/>
    </row>
    <row r="29" spans="1:20" s="18" customFormat="1" ht="15.75">
      <c r="A29" s="149"/>
      <c r="B29" s="148"/>
      <c r="C29" s="148"/>
      <c r="D29" s="148"/>
      <c r="E29" s="375">
        <v>338</v>
      </c>
      <c r="F29" s="375"/>
      <c r="G29" s="230"/>
      <c r="H29" s="230"/>
      <c r="I29" s="76"/>
      <c r="J29" s="148"/>
      <c r="K29" s="172"/>
      <c r="L29" s="175"/>
      <c r="M29" s="172"/>
      <c r="N29" s="172"/>
      <c r="O29" s="166"/>
      <c r="P29" s="14"/>
      <c r="Q29" s="14"/>
      <c r="R29" s="14"/>
      <c r="S29" s="14"/>
      <c r="T29" s="14"/>
    </row>
    <row r="30" spans="1:20" s="18" customFormat="1" ht="15.75">
      <c r="A30" s="149"/>
      <c r="B30" s="148"/>
      <c r="C30" s="148"/>
      <c r="D30" s="148"/>
      <c r="E30" s="148" t="s">
        <v>248</v>
      </c>
      <c r="F30" s="232">
        <f>L22+L37+L52</f>
        <v>1703783969</v>
      </c>
      <c r="G30" s="148">
        <f>M22+M37+M52</f>
        <v>1231163214</v>
      </c>
      <c r="H30" s="148" t="s">
        <v>278</v>
      </c>
      <c r="I30" s="76">
        <f>G30+G31</f>
        <v>1708838442</v>
      </c>
      <c r="J30" s="148"/>
      <c r="K30" s="166"/>
      <c r="L30" s="174">
        <f>SUM(L22:L29)</f>
        <v>1982994608</v>
      </c>
      <c r="M30" s="166">
        <f>SUM(M22:M29)</f>
        <v>1977389366</v>
      </c>
      <c r="N30" s="166"/>
      <c r="O30" s="166"/>
      <c r="P30" s="14"/>
      <c r="Q30" s="14"/>
      <c r="R30" s="14"/>
      <c r="S30" s="14"/>
      <c r="T30" s="14"/>
    </row>
    <row r="31" spans="1:20" s="18" customFormat="1" ht="15.75">
      <c r="A31" s="149"/>
      <c r="B31" s="148"/>
      <c r="C31" s="148"/>
      <c r="D31" s="148"/>
      <c r="E31" s="148"/>
      <c r="F31" s="233"/>
      <c r="G31" s="148">
        <f>M23+M38+M53</f>
        <v>477675228</v>
      </c>
      <c r="H31" s="148" t="s">
        <v>280</v>
      </c>
      <c r="I31" s="76"/>
      <c r="J31" s="148"/>
      <c r="K31" s="166"/>
      <c r="L31" s="174"/>
      <c r="M31" s="166"/>
      <c r="N31" s="166"/>
      <c r="O31" s="166"/>
      <c r="P31" s="14"/>
      <c r="Q31" s="14"/>
      <c r="R31" s="14"/>
      <c r="S31" s="14"/>
      <c r="T31" s="14"/>
    </row>
    <row r="32" spans="1:20" s="18" customFormat="1" ht="15.75">
      <c r="A32" s="149"/>
      <c r="B32" s="148"/>
      <c r="C32" s="148"/>
      <c r="D32" s="148"/>
      <c r="I32" s="76"/>
      <c r="J32" s="148"/>
      <c r="K32" s="166"/>
      <c r="L32" s="174"/>
      <c r="M32" s="166">
        <f>L22-M22-M23</f>
        <v>0</v>
      </c>
      <c r="N32" s="166"/>
      <c r="O32" s="166"/>
      <c r="P32" s="14"/>
      <c r="Q32" s="14"/>
      <c r="R32" s="14"/>
      <c r="S32" s="14"/>
      <c r="T32" s="14"/>
    </row>
    <row r="33" spans="1:20" s="18" customFormat="1" ht="15.75">
      <c r="A33" s="149"/>
      <c r="B33" s="148"/>
      <c r="C33" s="148"/>
      <c r="D33" s="148"/>
      <c r="E33" s="148" t="s">
        <v>276</v>
      </c>
      <c r="F33" s="233">
        <v>546347501</v>
      </c>
      <c r="G33" s="148">
        <v>546347501</v>
      </c>
      <c r="H33" s="148" t="s">
        <v>276</v>
      </c>
      <c r="I33" s="76"/>
      <c r="J33" s="148"/>
      <c r="K33" s="166"/>
      <c r="L33" s="174"/>
      <c r="M33" s="166"/>
      <c r="N33" s="166"/>
      <c r="O33" s="166"/>
      <c r="P33" s="14"/>
      <c r="Q33" s="14"/>
      <c r="R33" s="14"/>
      <c r="S33" s="14"/>
      <c r="T33" s="14"/>
    </row>
    <row r="34" spans="1:20" s="18" customFormat="1" ht="15.75">
      <c r="A34" s="149"/>
      <c r="B34" s="148"/>
      <c r="C34" s="148"/>
      <c r="D34" s="148"/>
      <c r="E34" s="148"/>
      <c r="F34" s="233"/>
      <c r="G34" s="148"/>
      <c r="H34" s="148"/>
      <c r="I34" s="76"/>
      <c r="J34" s="148"/>
      <c r="K34" s="166"/>
      <c r="L34" s="174"/>
      <c r="M34" s="166"/>
      <c r="N34" s="166"/>
      <c r="O34" s="166"/>
      <c r="P34" s="14"/>
      <c r="Q34" s="14"/>
      <c r="R34" s="14"/>
      <c r="S34" s="14"/>
      <c r="T34" s="14"/>
    </row>
    <row r="35" spans="1:20" s="18" customFormat="1" ht="15.75">
      <c r="A35" s="149"/>
      <c r="B35" s="148"/>
      <c r="C35" s="148"/>
      <c r="D35" s="148"/>
      <c r="E35" s="148" t="s">
        <v>277</v>
      </c>
      <c r="F35" s="233">
        <v>102670500</v>
      </c>
      <c r="G35" s="148">
        <v>97065258</v>
      </c>
      <c r="H35" s="148" t="s">
        <v>279</v>
      </c>
      <c r="I35" s="76"/>
      <c r="J35" s="148"/>
      <c r="K35" s="166"/>
      <c r="L35" s="166"/>
      <c r="M35" s="166"/>
      <c r="N35" s="166"/>
      <c r="O35" s="166"/>
      <c r="P35" s="14"/>
      <c r="Q35" s="14"/>
      <c r="R35" s="14"/>
      <c r="S35" s="14"/>
      <c r="T35" s="14"/>
    </row>
    <row r="36" spans="1:20" s="25" customFormat="1" ht="15.75">
      <c r="A36" s="160"/>
      <c r="B36" s="148"/>
      <c r="C36" s="148"/>
      <c r="D36" s="148"/>
      <c r="E36" s="148"/>
      <c r="F36" s="233"/>
      <c r="G36" s="148"/>
      <c r="H36" s="148"/>
      <c r="I36" s="76"/>
      <c r="J36" s="148"/>
      <c r="K36" s="373">
        <v>3384</v>
      </c>
      <c r="L36" s="374"/>
      <c r="M36" s="171"/>
      <c r="N36" s="172"/>
      <c r="O36" s="166"/>
      <c r="P36" s="14"/>
      <c r="Q36" s="14"/>
      <c r="R36" s="14"/>
      <c r="S36" s="14"/>
      <c r="T36" s="14"/>
    </row>
    <row r="37" spans="1:20" s="18" customFormat="1" ht="15.75">
      <c r="A37" s="149"/>
      <c r="B37" s="148"/>
      <c r="C37" s="148"/>
      <c r="D37" s="148"/>
      <c r="E37" s="231"/>
      <c r="F37" s="234"/>
      <c r="G37" s="231"/>
      <c r="H37" s="231"/>
      <c r="I37" s="76"/>
      <c r="J37" s="148"/>
      <c r="K37" s="166" t="s">
        <v>248</v>
      </c>
      <c r="L37" s="173">
        <v>250579374</v>
      </c>
      <c r="M37" s="166">
        <v>177041493</v>
      </c>
      <c r="N37" s="166" t="s">
        <v>250</v>
      </c>
      <c r="O37" s="166"/>
      <c r="P37" s="14"/>
      <c r="Q37" s="14"/>
      <c r="R37" s="14"/>
      <c r="S37" s="14"/>
      <c r="T37" s="14"/>
    </row>
    <row r="38" spans="1:20" s="25" customFormat="1" ht="15.75">
      <c r="A38" s="160"/>
      <c r="B38" s="148"/>
      <c r="C38" s="148"/>
      <c r="D38" s="148"/>
      <c r="E38" s="148"/>
      <c r="F38" s="233"/>
      <c r="G38" s="148"/>
      <c r="H38" s="148"/>
      <c r="I38" s="76"/>
      <c r="J38" s="148"/>
      <c r="K38" s="166"/>
      <c r="L38" s="174"/>
      <c r="M38" s="166">
        <v>82414257</v>
      </c>
      <c r="N38" s="166" t="s">
        <v>247</v>
      </c>
      <c r="O38" s="166"/>
      <c r="P38" s="14"/>
      <c r="Q38" s="14"/>
      <c r="R38" s="14"/>
      <c r="S38" s="14"/>
      <c r="T38" s="14"/>
    </row>
    <row r="39" spans="1:20" s="25" customFormat="1" ht="15.75">
      <c r="A39" s="160"/>
      <c r="B39" s="148"/>
      <c r="C39" s="148"/>
      <c r="D39" s="148"/>
      <c r="E39" s="148"/>
      <c r="F39" s="233">
        <f>SUM(F30:F37)</f>
        <v>2352801970</v>
      </c>
      <c r="G39" s="148">
        <f>SUM(G30:G37)</f>
        <v>2352251201</v>
      </c>
      <c r="H39" s="148"/>
      <c r="I39" s="76"/>
      <c r="J39" s="148"/>
      <c r="K39" s="166"/>
      <c r="L39" s="174"/>
      <c r="M39" s="166"/>
      <c r="N39" s="166"/>
      <c r="O39" s="166"/>
      <c r="P39" s="14"/>
      <c r="Q39" s="14"/>
      <c r="R39" s="14"/>
      <c r="S39" s="14"/>
      <c r="T39" s="14"/>
    </row>
    <row r="40" spans="1:20" s="18" customFormat="1" ht="15.75">
      <c r="A40" s="149"/>
      <c r="B40" s="148"/>
      <c r="C40" s="148"/>
      <c r="D40" s="148"/>
      <c r="E40" s="148"/>
      <c r="F40" s="233"/>
      <c r="G40" s="148"/>
      <c r="H40" s="148"/>
      <c r="I40" s="76"/>
      <c r="J40" s="148"/>
      <c r="K40" s="166"/>
      <c r="L40" s="174"/>
      <c r="M40" s="166"/>
      <c r="N40" s="166"/>
      <c r="O40" s="166"/>
      <c r="P40" s="14"/>
      <c r="Q40" s="14"/>
      <c r="R40" s="14"/>
      <c r="S40" s="14"/>
      <c r="T40" s="14"/>
    </row>
    <row r="41" spans="1:20" s="18" customFormat="1" ht="15.75">
      <c r="A41" s="149"/>
      <c r="B41" s="148"/>
      <c r="C41" s="148"/>
      <c r="D41" s="148"/>
      <c r="E41" s="148"/>
      <c r="F41" s="233"/>
      <c r="G41" s="148"/>
      <c r="H41" s="148"/>
      <c r="I41" s="76"/>
      <c r="J41" s="148"/>
      <c r="K41" s="166"/>
      <c r="L41" s="174"/>
      <c r="M41" s="166"/>
      <c r="N41" s="166"/>
      <c r="O41" s="166"/>
      <c r="P41" s="14"/>
      <c r="Q41" s="14"/>
      <c r="R41" s="14"/>
      <c r="S41" s="14"/>
      <c r="T41" s="14"/>
    </row>
    <row r="42" spans="1:20" s="18" customFormat="1" ht="15.75">
      <c r="A42" s="149"/>
      <c r="B42" s="148"/>
      <c r="C42" s="148"/>
      <c r="D42" s="148"/>
      <c r="E42" s="148"/>
      <c r="F42" s="233"/>
      <c r="G42" s="148"/>
      <c r="H42" s="148"/>
      <c r="I42" s="76"/>
      <c r="J42" s="148"/>
      <c r="K42" s="166"/>
      <c r="L42" s="174"/>
      <c r="M42" s="166"/>
      <c r="N42" s="166"/>
      <c r="O42" s="166"/>
      <c r="P42" s="14"/>
      <c r="Q42" s="14"/>
      <c r="R42" s="14"/>
      <c r="S42" s="14"/>
      <c r="T42" s="14"/>
    </row>
    <row r="43" spans="1:20" s="18" customFormat="1" ht="15.75">
      <c r="A43" s="149"/>
      <c r="B43" s="148"/>
      <c r="C43" s="148"/>
      <c r="D43" s="148"/>
      <c r="E43" s="148"/>
      <c r="F43" s="233"/>
      <c r="G43" s="148"/>
      <c r="H43" s="148"/>
      <c r="I43" s="76"/>
      <c r="J43" s="148"/>
      <c r="K43" s="166"/>
      <c r="L43" s="174"/>
      <c r="M43" s="166"/>
      <c r="N43" s="166"/>
      <c r="O43" s="166"/>
      <c r="P43" s="14"/>
      <c r="Q43" s="14"/>
      <c r="R43" s="14"/>
      <c r="S43" s="14"/>
      <c r="T43" s="14"/>
    </row>
    <row r="44" spans="1:20" s="18" customFormat="1" ht="15.75">
      <c r="A44" s="149"/>
      <c r="B44" s="148"/>
      <c r="C44" s="148"/>
      <c r="D44" s="148"/>
      <c r="E44" s="148"/>
      <c r="F44" s="233"/>
      <c r="G44" s="148"/>
      <c r="H44" s="148"/>
      <c r="I44" s="76"/>
      <c r="J44" s="148"/>
      <c r="K44" s="172"/>
      <c r="L44" s="175"/>
      <c r="M44" s="172"/>
      <c r="N44" s="172"/>
      <c r="O44" s="166"/>
      <c r="P44" s="14"/>
      <c r="Q44" s="14"/>
      <c r="R44" s="14"/>
      <c r="S44" s="14"/>
      <c r="T44" s="14"/>
    </row>
    <row r="45" spans="1:20" s="18" customFormat="1" ht="15.75">
      <c r="A45" s="149"/>
      <c r="B45" s="148"/>
      <c r="C45" s="148"/>
      <c r="D45" s="148"/>
      <c r="E45" s="148"/>
      <c r="F45" s="233"/>
      <c r="G45" s="148"/>
      <c r="H45" s="148"/>
      <c r="I45" s="76"/>
      <c r="J45" s="148"/>
      <c r="K45" s="166"/>
      <c r="L45" s="174">
        <f>SUM(L37:L44)</f>
        <v>250579374</v>
      </c>
      <c r="M45" s="166">
        <f>SUM(M37:M44)</f>
        <v>259455750</v>
      </c>
      <c r="N45" s="166"/>
      <c r="O45" s="166"/>
      <c r="P45" s="14"/>
      <c r="Q45" s="14"/>
      <c r="R45" s="14"/>
      <c r="S45" s="14"/>
      <c r="T45" s="14"/>
    </row>
    <row r="46" spans="1:20" s="18" customFormat="1" ht="15.75">
      <c r="A46" s="149"/>
      <c r="B46" s="148"/>
      <c r="C46" s="148"/>
      <c r="D46" s="148"/>
      <c r="E46" s="148"/>
      <c r="F46" s="148"/>
      <c r="G46" s="148"/>
      <c r="H46" s="148"/>
      <c r="I46" s="76"/>
      <c r="J46" s="148"/>
      <c r="K46" s="166"/>
      <c r="L46" s="174"/>
      <c r="M46" s="166"/>
      <c r="N46" s="166"/>
      <c r="O46" s="166"/>
      <c r="P46" s="14"/>
      <c r="Q46" s="14"/>
      <c r="R46" s="14"/>
      <c r="S46" s="14"/>
      <c r="T46" s="14"/>
    </row>
    <row r="47" spans="1:20" s="25" customFormat="1" ht="15.75">
      <c r="A47" s="160"/>
      <c r="B47" s="148"/>
      <c r="C47" s="148"/>
      <c r="D47" s="148"/>
      <c r="E47" s="148"/>
      <c r="F47" s="148"/>
      <c r="G47" s="148"/>
      <c r="H47" s="148"/>
      <c r="I47" s="76"/>
      <c r="J47" s="148"/>
      <c r="K47" s="166"/>
      <c r="L47" s="174"/>
      <c r="M47" s="166"/>
      <c r="N47" s="166"/>
      <c r="O47" s="166"/>
      <c r="P47" s="14"/>
      <c r="Q47" s="14"/>
      <c r="R47" s="14"/>
      <c r="S47" s="14"/>
      <c r="T47" s="14"/>
    </row>
    <row r="48" spans="1:20" s="18" customFormat="1" ht="15.75">
      <c r="A48" s="149"/>
      <c r="B48" s="148"/>
      <c r="C48" s="148"/>
      <c r="D48" s="148"/>
      <c r="E48" s="148"/>
      <c r="F48" s="148"/>
      <c r="G48" s="148"/>
      <c r="H48" s="148"/>
      <c r="I48" s="76"/>
      <c r="J48" s="148"/>
      <c r="K48" s="166"/>
      <c r="L48" s="174"/>
      <c r="M48" s="166">
        <f>L37-M37-M38</f>
        <v>-8876376</v>
      </c>
      <c r="N48" s="166"/>
      <c r="O48" s="166"/>
      <c r="P48" s="14"/>
      <c r="Q48" s="14"/>
      <c r="R48" s="14"/>
      <c r="S48" s="14"/>
      <c r="T48" s="14"/>
    </row>
    <row r="49" spans="1:20" s="18" customFormat="1" ht="15.75">
      <c r="A49" s="149"/>
      <c r="B49" s="148"/>
      <c r="C49" s="148"/>
      <c r="D49" s="148"/>
      <c r="E49" s="148"/>
      <c r="F49" s="148"/>
      <c r="G49" s="148"/>
      <c r="H49" s="148"/>
      <c r="I49" s="76"/>
      <c r="J49" s="148"/>
      <c r="K49" s="166"/>
      <c r="L49" s="174"/>
      <c r="M49" s="166"/>
      <c r="N49" s="166"/>
      <c r="O49" s="166"/>
      <c r="P49" s="14"/>
      <c r="Q49" s="14"/>
      <c r="R49" s="14"/>
      <c r="S49" s="14"/>
      <c r="T49" s="14"/>
    </row>
    <row r="50" spans="1:20" s="18" customFormat="1" ht="15.75">
      <c r="A50" s="149"/>
      <c r="B50" s="148"/>
      <c r="C50" s="148"/>
      <c r="D50" s="148"/>
      <c r="E50" s="148"/>
      <c r="F50" s="148"/>
      <c r="G50" s="148"/>
      <c r="H50" s="148"/>
      <c r="I50" s="76"/>
      <c r="J50" s="148"/>
      <c r="K50" s="166"/>
      <c r="L50" s="166"/>
      <c r="M50" s="166"/>
      <c r="N50" s="166"/>
      <c r="O50" s="166"/>
      <c r="P50" s="14"/>
      <c r="Q50" s="14"/>
      <c r="R50" s="14"/>
      <c r="S50" s="14"/>
      <c r="T50" s="14"/>
    </row>
    <row r="51" spans="1:20" s="18" customFormat="1" ht="15.75">
      <c r="A51" s="149"/>
      <c r="B51" s="148"/>
      <c r="C51" s="148"/>
      <c r="D51" s="148"/>
      <c r="E51" s="148"/>
      <c r="F51" s="148"/>
      <c r="G51" s="148"/>
      <c r="H51" s="148"/>
      <c r="I51" s="76"/>
      <c r="J51" s="148"/>
      <c r="K51" s="373">
        <v>3389</v>
      </c>
      <c r="L51" s="374"/>
      <c r="M51" s="171"/>
      <c r="N51" s="172"/>
      <c r="O51" s="166"/>
      <c r="P51" s="14"/>
      <c r="Q51" s="14"/>
      <c r="R51" s="14"/>
      <c r="S51" s="14"/>
      <c r="T51" s="14"/>
    </row>
    <row r="52" spans="1:20" s="18" customFormat="1" ht="15.75">
      <c r="A52" s="149"/>
      <c r="B52" s="148"/>
      <c r="C52" s="148"/>
      <c r="D52" s="148"/>
      <c r="E52" s="148"/>
      <c r="F52" s="148"/>
      <c r="G52" s="148"/>
      <c r="H52" s="148"/>
      <c r="I52" s="76"/>
      <c r="J52" s="148"/>
      <c r="K52" s="166" t="s">
        <v>248</v>
      </c>
      <c r="L52" s="173">
        <v>119227988</v>
      </c>
      <c r="M52" s="166">
        <v>59013832</v>
      </c>
      <c r="N52" s="166" t="s">
        <v>250</v>
      </c>
      <c r="O52" s="166"/>
      <c r="P52" s="14"/>
      <c r="Q52" s="14"/>
      <c r="R52" s="14"/>
      <c r="S52" s="14"/>
      <c r="T52" s="14"/>
    </row>
    <row r="53" spans="1:20" s="18" customFormat="1" ht="15.75">
      <c r="A53" s="149"/>
      <c r="B53" s="148"/>
      <c r="C53" s="148"/>
      <c r="D53" s="148"/>
      <c r="E53" s="148"/>
      <c r="F53" s="148"/>
      <c r="G53" s="148"/>
      <c r="H53" s="148"/>
      <c r="I53" s="76"/>
      <c r="J53" s="148"/>
      <c r="K53" s="166"/>
      <c r="L53" s="174"/>
      <c r="M53" s="166">
        <v>56392253</v>
      </c>
      <c r="N53" s="166" t="s">
        <v>247</v>
      </c>
      <c r="O53" s="166"/>
      <c r="P53" s="14"/>
      <c r="Q53" s="14"/>
      <c r="R53" s="14"/>
      <c r="S53" s="14"/>
      <c r="T53" s="14"/>
    </row>
    <row r="54" spans="1:20" s="25" customFormat="1" ht="15.75">
      <c r="A54" s="160"/>
      <c r="B54" s="148"/>
      <c r="C54" s="148"/>
      <c r="D54" s="148"/>
      <c r="E54" s="148"/>
      <c r="F54" s="148"/>
      <c r="G54" s="148"/>
      <c r="H54" s="148"/>
      <c r="I54" s="76"/>
      <c r="J54" s="148"/>
      <c r="K54" s="166"/>
      <c r="L54" s="174"/>
      <c r="M54" s="166"/>
      <c r="N54" s="166"/>
      <c r="O54" s="166"/>
      <c r="P54" s="14"/>
      <c r="Q54" s="14"/>
      <c r="R54" s="14"/>
      <c r="S54" s="14"/>
      <c r="T54" s="14"/>
    </row>
    <row r="55" spans="1:20" s="18" customFormat="1" ht="15.75">
      <c r="A55" s="149"/>
      <c r="B55" s="148"/>
      <c r="C55" s="148"/>
      <c r="D55" s="148"/>
      <c r="E55" s="148"/>
      <c r="F55" s="148"/>
      <c r="G55" s="148"/>
      <c r="H55" s="148"/>
      <c r="I55" s="76"/>
      <c r="J55" s="148"/>
      <c r="K55" s="166"/>
      <c r="L55" s="174"/>
      <c r="M55" s="166"/>
      <c r="N55" s="166"/>
      <c r="O55" s="166"/>
      <c r="P55" s="14"/>
      <c r="Q55" s="14"/>
      <c r="R55" s="14"/>
      <c r="S55" s="14"/>
      <c r="T55" s="14"/>
    </row>
    <row r="56" spans="1:20" s="18" customFormat="1" ht="15.75">
      <c r="A56" s="149"/>
      <c r="B56" s="148"/>
      <c r="C56" s="148"/>
      <c r="D56" s="148"/>
      <c r="E56" s="148"/>
      <c r="F56" s="148"/>
      <c r="G56" s="148"/>
      <c r="H56" s="148"/>
      <c r="I56" s="76"/>
      <c r="J56" s="148"/>
      <c r="K56" s="166"/>
      <c r="L56" s="174"/>
      <c r="M56" s="166"/>
      <c r="N56" s="166"/>
      <c r="O56" s="166"/>
      <c r="P56" s="14"/>
      <c r="Q56" s="14"/>
      <c r="R56" s="14"/>
      <c r="S56" s="14"/>
      <c r="T56" s="14"/>
    </row>
    <row r="57" spans="1:20" s="18" customFormat="1" ht="15.75">
      <c r="A57" s="149"/>
      <c r="B57" s="148"/>
      <c r="C57" s="148"/>
      <c r="D57" s="148"/>
      <c r="E57" s="148"/>
      <c r="F57" s="148"/>
      <c r="G57" s="148"/>
      <c r="H57" s="148"/>
      <c r="I57" s="76"/>
      <c r="J57" s="148"/>
      <c r="K57" s="166" t="s">
        <v>253</v>
      </c>
      <c r="L57" s="174"/>
      <c r="M57" s="166"/>
      <c r="N57" s="166" t="s">
        <v>252</v>
      </c>
      <c r="O57" s="166"/>
      <c r="P57" s="14"/>
      <c r="Q57" s="14"/>
      <c r="R57" s="14"/>
      <c r="S57" s="14"/>
      <c r="T57" s="14"/>
    </row>
    <row r="58" spans="1:20" s="18" customFormat="1" ht="15.75">
      <c r="A58" s="149"/>
      <c r="B58" s="148"/>
      <c r="C58" s="148"/>
      <c r="D58" s="148"/>
      <c r="E58" s="148"/>
      <c r="F58" s="148"/>
      <c r="G58" s="148"/>
      <c r="H58" s="148"/>
      <c r="I58" s="76"/>
      <c r="J58" s="148"/>
      <c r="K58" s="166"/>
      <c r="L58" s="174"/>
      <c r="M58" s="166"/>
      <c r="N58" s="166"/>
      <c r="O58" s="166"/>
      <c r="P58" s="14"/>
      <c r="Q58" s="14"/>
      <c r="R58" s="14"/>
      <c r="S58" s="14"/>
      <c r="T58" s="14"/>
    </row>
    <row r="59" spans="1:20" s="18" customFormat="1" ht="15.75">
      <c r="A59" s="149"/>
      <c r="B59" s="148"/>
      <c r="C59" s="148"/>
      <c r="D59" s="148"/>
      <c r="E59" s="148"/>
      <c r="F59" s="148"/>
      <c r="G59" s="148"/>
      <c r="H59" s="148"/>
      <c r="I59" s="76"/>
      <c r="J59" s="148"/>
      <c r="K59" s="172"/>
      <c r="L59" s="175"/>
      <c r="M59" s="172"/>
      <c r="N59" s="172"/>
      <c r="O59" s="166"/>
      <c r="P59" s="14"/>
      <c r="Q59" s="14"/>
      <c r="R59" s="14"/>
      <c r="S59" s="14"/>
      <c r="T59" s="14"/>
    </row>
    <row r="60" spans="1:20" s="18" customFormat="1" ht="15.75">
      <c r="A60" s="149"/>
      <c r="B60" s="148"/>
      <c r="C60" s="148"/>
      <c r="D60" s="148"/>
      <c r="E60" s="148"/>
      <c r="F60" s="148"/>
      <c r="G60" s="148"/>
      <c r="H60" s="148"/>
      <c r="I60" s="76"/>
      <c r="J60" s="148"/>
      <c r="K60" s="166"/>
      <c r="L60" s="174">
        <f>SUM(L52:L59)</f>
        <v>119227988</v>
      </c>
      <c r="M60" s="166">
        <f>SUM(M52:M59)</f>
        <v>115406085</v>
      </c>
      <c r="N60" s="166"/>
      <c r="O60" s="166"/>
      <c r="P60" s="14"/>
      <c r="Q60" s="14"/>
      <c r="R60" s="14"/>
      <c r="S60" s="14"/>
      <c r="T60" s="14"/>
    </row>
    <row r="61" spans="1:20" s="18" customFormat="1" ht="15.75">
      <c r="A61" s="149"/>
      <c r="B61" s="148"/>
      <c r="C61" s="148"/>
      <c r="D61" s="148"/>
      <c r="E61" s="148"/>
      <c r="F61" s="148"/>
      <c r="G61" s="148"/>
      <c r="H61" s="148"/>
      <c r="I61" s="76"/>
      <c r="J61" s="148"/>
      <c r="K61" s="166"/>
      <c r="L61" s="174"/>
      <c r="M61" s="166"/>
      <c r="N61" s="166"/>
      <c r="O61" s="166"/>
      <c r="P61" s="14"/>
      <c r="Q61" s="14"/>
      <c r="R61" s="14"/>
      <c r="S61" s="14"/>
      <c r="T61" s="14"/>
    </row>
    <row r="62" spans="1:20" s="18" customFormat="1" ht="15.75">
      <c r="A62" s="149"/>
      <c r="B62" s="148"/>
      <c r="C62" s="148"/>
      <c r="D62" s="148"/>
      <c r="E62" s="148"/>
      <c r="F62" s="148"/>
      <c r="G62" s="148"/>
      <c r="H62" s="148"/>
      <c r="I62" s="76"/>
      <c r="J62" s="148"/>
      <c r="K62" s="166"/>
      <c r="L62" s="174"/>
      <c r="M62" s="166"/>
      <c r="N62" s="166"/>
      <c r="O62" s="166"/>
      <c r="P62" s="14"/>
      <c r="Q62" s="14"/>
      <c r="R62" s="14"/>
      <c r="S62" s="14"/>
      <c r="T62" s="14"/>
    </row>
    <row r="63" spans="1:20" s="18" customFormat="1" ht="15.75">
      <c r="A63" s="149"/>
      <c r="B63" s="148"/>
      <c r="C63" s="148"/>
      <c r="D63" s="148"/>
      <c r="E63" s="148"/>
      <c r="F63" s="148"/>
      <c r="G63" s="148"/>
      <c r="H63" s="148"/>
      <c r="I63" s="76"/>
      <c r="J63" s="148"/>
      <c r="K63" s="166"/>
      <c r="L63" s="174"/>
      <c r="M63" s="166">
        <f>L52-M52-M53</f>
        <v>3821903</v>
      </c>
      <c r="N63" s="166"/>
      <c r="O63" s="166"/>
      <c r="P63" s="14"/>
      <c r="Q63" s="14"/>
      <c r="R63" s="14"/>
      <c r="S63" s="14"/>
      <c r="T63" s="14"/>
    </row>
    <row r="64" spans="1:20" s="18" customFormat="1" ht="15.75">
      <c r="A64" s="149"/>
      <c r="B64" s="148"/>
      <c r="C64" s="148"/>
      <c r="D64" s="148"/>
      <c r="E64" s="148"/>
      <c r="F64" s="148"/>
      <c r="G64" s="148"/>
      <c r="H64" s="148"/>
      <c r="I64" s="76"/>
      <c r="J64" s="148"/>
      <c r="K64" s="166"/>
      <c r="L64" s="174"/>
      <c r="M64" s="166"/>
      <c r="N64" s="166"/>
      <c r="O64" s="166"/>
      <c r="P64" s="14"/>
      <c r="Q64" s="14"/>
      <c r="R64" s="14"/>
      <c r="S64" s="14"/>
      <c r="T64" s="14"/>
    </row>
    <row r="65" spans="1:20" s="18" customFormat="1" ht="15.75">
      <c r="A65" s="149"/>
      <c r="B65" s="148"/>
      <c r="C65" s="148"/>
      <c r="D65" s="148"/>
      <c r="E65" s="148"/>
      <c r="F65" s="148"/>
      <c r="G65" s="148"/>
      <c r="H65" s="148"/>
      <c r="I65" s="76"/>
      <c r="J65" s="148"/>
      <c r="K65" s="166"/>
      <c r="L65" s="166"/>
      <c r="M65" s="166"/>
      <c r="N65" s="166"/>
      <c r="O65" s="166"/>
      <c r="P65" s="14"/>
      <c r="Q65" s="14"/>
      <c r="R65" s="14"/>
      <c r="S65" s="14"/>
      <c r="T65" s="14"/>
    </row>
    <row r="66" spans="1:20" s="18" customFormat="1" ht="15.75">
      <c r="A66" s="149"/>
      <c r="B66" s="148"/>
      <c r="C66" s="148"/>
      <c r="D66" s="148"/>
      <c r="E66" s="148"/>
      <c r="F66" s="148"/>
      <c r="G66" s="148"/>
      <c r="H66" s="148"/>
      <c r="I66" s="76"/>
      <c r="J66" s="148"/>
      <c r="K66" s="166"/>
      <c r="L66" s="166"/>
      <c r="M66" s="166"/>
      <c r="N66" s="166"/>
      <c r="O66" s="166"/>
      <c r="P66" s="14"/>
      <c r="Q66" s="14"/>
      <c r="R66" s="14"/>
      <c r="S66" s="14"/>
      <c r="T66" s="14"/>
    </row>
    <row r="67" spans="1:20" s="18" customFormat="1" ht="15.75">
      <c r="A67" s="149"/>
      <c r="B67" s="148"/>
      <c r="C67" s="148"/>
      <c r="D67" s="148"/>
      <c r="E67" s="148"/>
      <c r="F67" s="148"/>
      <c r="G67" s="148"/>
      <c r="H67" s="148"/>
      <c r="I67" s="76"/>
      <c r="J67" s="148"/>
      <c r="K67" s="166"/>
      <c r="L67" s="166"/>
      <c r="M67" s="166"/>
      <c r="N67" s="166"/>
      <c r="O67" s="166"/>
      <c r="P67" s="14"/>
      <c r="Q67" s="14"/>
      <c r="R67" s="14"/>
      <c r="S67" s="14"/>
      <c r="T67" s="14"/>
    </row>
    <row r="68" spans="1:20" s="18" customFormat="1" ht="15.75">
      <c r="A68" s="149"/>
      <c r="B68" s="148"/>
      <c r="C68" s="148"/>
      <c r="D68" s="148"/>
      <c r="E68" s="148"/>
      <c r="F68" s="148"/>
      <c r="G68" s="148"/>
      <c r="H68" s="148"/>
      <c r="I68" s="76"/>
      <c r="J68" s="148"/>
      <c r="K68" s="166"/>
      <c r="L68" s="166"/>
      <c r="M68" s="166"/>
      <c r="N68" s="166"/>
      <c r="O68" s="166"/>
      <c r="P68" s="14"/>
      <c r="Q68" s="14"/>
      <c r="R68" s="14"/>
      <c r="S68" s="14"/>
      <c r="T68" s="14"/>
    </row>
    <row r="69" spans="1:20" s="18" customFormat="1" ht="15.75">
      <c r="A69" s="149"/>
      <c r="B69" s="148"/>
      <c r="C69" s="148"/>
      <c r="D69" s="148"/>
      <c r="E69" s="148"/>
      <c r="F69" s="148"/>
      <c r="G69" s="148"/>
      <c r="H69" s="148"/>
      <c r="I69" s="76"/>
      <c r="J69" s="148"/>
      <c r="K69" s="166"/>
      <c r="L69" s="166"/>
      <c r="M69" s="166"/>
      <c r="N69" s="166"/>
      <c r="O69" s="166"/>
      <c r="P69" s="14"/>
      <c r="Q69" s="14"/>
      <c r="R69" s="14"/>
      <c r="S69" s="14"/>
      <c r="T69" s="14"/>
    </row>
    <row r="70" spans="1:20" s="18" customFormat="1" ht="15.75">
      <c r="A70" s="149"/>
      <c r="B70" s="148"/>
      <c r="C70" s="148"/>
      <c r="D70" s="148"/>
      <c r="E70" s="148"/>
      <c r="F70" s="148"/>
      <c r="G70" s="148"/>
      <c r="H70" s="148"/>
      <c r="I70" s="76"/>
      <c r="J70" s="148"/>
      <c r="K70" s="166"/>
      <c r="L70" s="166"/>
      <c r="M70" s="166"/>
      <c r="N70" s="166"/>
      <c r="O70" s="166"/>
      <c r="P70" s="14"/>
      <c r="Q70" s="14"/>
      <c r="R70" s="14"/>
      <c r="S70" s="14"/>
      <c r="T70" s="14"/>
    </row>
    <row r="71" spans="1:20" s="18" customFormat="1" ht="15.75">
      <c r="A71" s="149"/>
      <c r="B71" s="148"/>
      <c r="C71" s="148"/>
      <c r="D71" s="148"/>
      <c r="E71" s="148"/>
      <c r="F71" s="148"/>
      <c r="G71" s="148"/>
      <c r="H71" s="148"/>
      <c r="I71" s="76"/>
      <c r="J71" s="148"/>
      <c r="K71" s="166"/>
      <c r="L71" s="166"/>
      <c r="M71" s="166"/>
      <c r="N71" s="166"/>
      <c r="O71" s="166"/>
      <c r="P71" s="14"/>
      <c r="Q71" s="14"/>
      <c r="R71" s="14"/>
      <c r="S71" s="14"/>
      <c r="T71" s="14"/>
    </row>
    <row r="72" spans="1:20" s="18" customFormat="1" ht="15.75">
      <c r="A72" s="149"/>
      <c r="B72" s="148"/>
      <c r="C72" s="148"/>
      <c r="D72" s="148"/>
      <c r="E72" s="148"/>
      <c r="F72" s="148"/>
      <c r="G72" s="148"/>
      <c r="H72" s="148"/>
      <c r="I72" s="76"/>
      <c r="J72" s="148"/>
      <c r="K72" s="166"/>
      <c r="L72" s="166"/>
      <c r="M72" s="166"/>
      <c r="N72" s="166"/>
      <c r="O72" s="166"/>
      <c r="P72" s="14"/>
      <c r="Q72" s="14"/>
      <c r="R72" s="14"/>
      <c r="S72" s="14"/>
      <c r="T72" s="14"/>
    </row>
    <row r="73" spans="1:20" s="18" customFormat="1" ht="15.75">
      <c r="A73" s="149"/>
      <c r="B73" s="148"/>
      <c r="C73" s="148"/>
      <c r="D73" s="148"/>
      <c r="E73" s="148"/>
      <c r="F73" s="148"/>
      <c r="G73" s="148"/>
      <c r="H73" s="148"/>
      <c r="I73" s="76"/>
      <c r="J73" s="148"/>
      <c r="K73" s="166"/>
      <c r="L73" s="166"/>
      <c r="M73" s="166"/>
      <c r="N73" s="166"/>
      <c r="O73" s="166"/>
      <c r="P73" s="14"/>
      <c r="Q73" s="14"/>
      <c r="R73" s="14"/>
      <c r="S73" s="14"/>
      <c r="T73" s="14"/>
    </row>
    <row r="74" spans="1:20" s="18" customFormat="1" ht="15.75">
      <c r="A74" s="149"/>
      <c r="B74" s="148"/>
      <c r="C74" s="148"/>
      <c r="D74" s="148"/>
      <c r="E74" s="148"/>
      <c r="F74" s="148"/>
      <c r="G74" s="148"/>
      <c r="H74" s="148"/>
      <c r="I74" s="76"/>
      <c r="J74" s="148"/>
      <c r="K74" s="166"/>
      <c r="L74" s="166"/>
      <c r="M74" s="166"/>
      <c r="N74" s="166"/>
      <c r="O74" s="166"/>
      <c r="P74" s="14"/>
      <c r="Q74" s="14"/>
      <c r="R74" s="14"/>
      <c r="S74" s="14"/>
      <c r="T74" s="14"/>
    </row>
    <row r="75" spans="1:20" s="18" customFormat="1" ht="15.75">
      <c r="A75" s="149"/>
      <c r="B75" s="148"/>
      <c r="C75" s="148"/>
      <c r="D75" s="148"/>
      <c r="E75" s="148"/>
      <c r="F75" s="148"/>
      <c r="G75" s="148"/>
      <c r="H75" s="148"/>
      <c r="I75" s="76"/>
      <c r="J75" s="148"/>
      <c r="K75" s="166"/>
      <c r="L75" s="166"/>
      <c r="M75" s="166"/>
      <c r="N75" s="166"/>
      <c r="O75" s="166"/>
      <c r="P75" s="14"/>
      <c r="Q75" s="14"/>
      <c r="R75" s="14"/>
      <c r="S75" s="14"/>
      <c r="T75" s="14"/>
    </row>
    <row r="76" spans="1:20" s="18" customFormat="1" ht="15.75">
      <c r="A76" s="149"/>
      <c r="B76" s="148"/>
      <c r="C76" s="148"/>
      <c r="D76" s="148"/>
      <c r="E76" s="148"/>
      <c r="F76" s="148"/>
      <c r="G76" s="148"/>
      <c r="H76" s="148"/>
      <c r="I76" s="76"/>
      <c r="J76" s="148"/>
      <c r="K76" s="166"/>
      <c r="L76" s="166"/>
      <c r="M76" s="166"/>
      <c r="N76" s="166"/>
      <c r="O76" s="166"/>
      <c r="P76" s="14"/>
      <c r="Q76" s="14"/>
      <c r="R76" s="14"/>
      <c r="S76" s="14"/>
      <c r="T76" s="14"/>
    </row>
    <row r="77" spans="1:20" s="18" customFormat="1" ht="15.75">
      <c r="A77" s="149"/>
      <c r="B77" s="148"/>
      <c r="C77" s="148"/>
      <c r="D77" s="148"/>
      <c r="E77" s="148"/>
      <c r="F77" s="148"/>
      <c r="G77" s="148"/>
      <c r="H77" s="148"/>
      <c r="I77" s="76"/>
      <c r="J77" s="148"/>
      <c r="K77" s="166"/>
      <c r="L77" s="166"/>
      <c r="M77" s="166"/>
      <c r="N77" s="166"/>
      <c r="O77" s="166"/>
      <c r="P77" s="14"/>
      <c r="Q77" s="14"/>
      <c r="R77" s="14"/>
      <c r="S77" s="14"/>
      <c r="T77" s="14"/>
    </row>
    <row r="78" spans="1:20" s="18" customFormat="1" ht="15.75">
      <c r="A78" s="149"/>
      <c r="B78" s="148"/>
      <c r="C78" s="148"/>
      <c r="D78" s="148"/>
      <c r="E78" s="148"/>
      <c r="F78" s="148"/>
      <c r="G78" s="148"/>
      <c r="H78" s="148"/>
      <c r="I78" s="76"/>
      <c r="J78" s="148"/>
      <c r="K78" s="166"/>
      <c r="L78" s="166"/>
      <c r="M78" s="166"/>
      <c r="N78" s="166"/>
      <c r="O78" s="166"/>
      <c r="P78" s="14"/>
      <c r="Q78" s="14"/>
      <c r="R78" s="14"/>
      <c r="S78" s="14"/>
      <c r="T78" s="14"/>
    </row>
    <row r="79" spans="1:20" s="18" customFormat="1" ht="15.75">
      <c r="A79" s="149"/>
      <c r="B79" s="148"/>
      <c r="C79" s="148"/>
      <c r="D79" s="148"/>
      <c r="E79" s="148"/>
      <c r="F79" s="148"/>
      <c r="G79" s="148"/>
      <c r="H79" s="148"/>
      <c r="I79" s="76"/>
      <c r="J79" s="148"/>
      <c r="K79" s="166"/>
      <c r="L79" s="166"/>
      <c r="M79" s="166"/>
      <c r="N79" s="166"/>
      <c r="O79" s="166"/>
      <c r="P79" s="14"/>
      <c r="Q79" s="14"/>
      <c r="R79" s="14"/>
      <c r="S79" s="14"/>
      <c r="T79" s="14"/>
    </row>
    <row r="80" spans="1:20" s="18" customFormat="1" ht="15.75">
      <c r="A80" s="149"/>
      <c r="B80" s="148"/>
      <c r="C80" s="148"/>
      <c r="D80" s="148"/>
      <c r="E80" s="148"/>
      <c r="F80" s="148"/>
      <c r="G80" s="148"/>
      <c r="H80" s="148"/>
      <c r="I80" s="76"/>
      <c r="J80" s="148"/>
      <c r="K80" s="166"/>
      <c r="L80" s="166"/>
      <c r="M80" s="166"/>
      <c r="N80" s="166"/>
      <c r="O80" s="166"/>
      <c r="P80" s="14"/>
      <c r="Q80" s="14"/>
      <c r="R80" s="14"/>
      <c r="S80" s="14"/>
      <c r="T80" s="14"/>
    </row>
    <row r="81" spans="1:20" s="18" customFormat="1" ht="15.75">
      <c r="A81" s="149"/>
      <c r="B81" s="148"/>
      <c r="C81" s="148"/>
      <c r="D81" s="148"/>
      <c r="E81" s="148"/>
      <c r="F81" s="148"/>
      <c r="G81" s="148"/>
      <c r="H81" s="148"/>
      <c r="I81" s="76"/>
      <c r="J81" s="148"/>
      <c r="K81" s="166"/>
      <c r="L81" s="166"/>
      <c r="M81" s="166"/>
      <c r="N81" s="166"/>
      <c r="O81" s="166"/>
      <c r="P81" s="14"/>
      <c r="Q81" s="14"/>
      <c r="R81" s="14"/>
      <c r="S81" s="14"/>
      <c r="T81" s="14"/>
    </row>
    <row r="82" spans="1:20" s="18" customFormat="1" ht="15.75">
      <c r="A82" s="149"/>
      <c r="B82" s="148"/>
      <c r="C82" s="148"/>
      <c r="D82" s="148"/>
      <c r="E82" s="148"/>
      <c r="F82" s="148"/>
      <c r="G82" s="148"/>
      <c r="H82" s="148"/>
      <c r="I82" s="76"/>
      <c r="J82" s="148"/>
      <c r="K82" s="166"/>
      <c r="L82" s="166"/>
      <c r="M82" s="166"/>
      <c r="N82" s="166"/>
      <c r="O82" s="166"/>
      <c r="P82" s="14"/>
      <c r="Q82" s="14"/>
      <c r="R82" s="14"/>
      <c r="S82" s="14"/>
      <c r="T82" s="14"/>
    </row>
    <row r="83" spans="1:20" s="18" customFormat="1" ht="15.75">
      <c r="A83" s="149"/>
      <c r="B83" s="148"/>
      <c r="C83" s="148"/>
      <c r="D83" s="148"/>
      <c r="E83" s="148"/>
      <c r="F83" s="148"/>
      <c r="G83" s="148"/>
      <c r="H83" s="148"/>
      <c r="I83" s="76"/>
      <c r="J83" s="148"/>
      <c r="K83" s="166"/>
      <c r="L83" s="166"/>
      <c r="M83" s="166"/>
      <c r="N83" s="166"/>
      <c r="O83" s="166"/>
      <c r="P83" s="14"/>
      <c r="Q83" s="14"/>
      <c r="R83" s="14"/>
      <c r="S83" s="14"/>
      <c r="T83" s="14"/>
    </row>
    <row r="84" spans="1:20" s="18" customFormat="1" ht="15.75">
      <c r="A84" s="149"/>
      <c r="B84" s="148"/>
      <c r="C84" s="148"/>
      <c r="D84" s="148"/>
      <c r="E84" s="148"/>
      <c r="F84" s="148"/>
      <c r="G84" s="148"/>
      <c r="H84" s="148"/>
      <c r="I84" s="76"/>
      <c r="J84" s="148"/>
      <c r="K84" s="166"/>
      <c r="L84" s="166"/>
      <c r="M84" s="166"/>
      <c r="N84" s="166"/>
      <c r="O84" s="166"/>
      <c r="P84" s="14"/>
      <c r="Q84" s="14"/>
      <c r="R84" s="14"/>
      <c r="S84" s="14"/>
      <c r="T84" s="14"/>
    </row>
    <row r="85" spans="1:20" s="18" customFormat="1" ht="15.75">
      <c r="A85" s="149"/>
      <c r="B85" s="148"/>
      <c r="C85" s="148"/>
      <c r="D85" s="148"/>
      <c r="E85" s="148"/>
      <c r="F85" s="148"/>
      <c r="G85" s="148"/>
      <c r="H85" s="148"/>
      <c r="I85" s="76"/>
      <c r="J85" s="148"/>
      <c r="K85" s="166"/>
      <c r="L85" s="166"/>
      <c r="M85" s="166"/>
      <c r="N85" s="166"/>
      <c r="O85" s="166"/>
      <c r="P85" s="14"/>
      <c r="Q85" s="14"/>
      <c r="R85" s="14"/>
      <c r="S85" s="14"/>
      <c r="T85" s="14"/>
    </row>
    <row r="86" spans="1:20" s="18" customFormat="1" ht="15.75">
      <c r="A86" s="149"/>
      <c r="B86" s="148"/>
      <c r="C86" s="148"/>
      <c r="D86" s="148"/>
      <c r="E86" s="148"/>
      <c r="F86" s="148"/>
      <c r="G86" s="148"/>
      <c r="H86" s="148"/>
      <c r="I86" s="76"/>
      <c r="J86" s="148"/>
      <c r="K86" s="166"/>
      <c r="L86" s="166"/>
      <c r="M86" s="166"/>
      <c r="N86" s="166"/>
      <c r="O86" s="166"/>
      <c r="P86" s="14"/>
      <c r="Q86" s="14"/>
      <c r="R86" s="14"/>
      <c r="S86" s="14"/>
      <c r="T86" s="14"/>
    </row>
    <row r="87" spans="1:20" s="18" customFormat="1" ht="15.75">
      <c r="A87" s="149"/>
      <c r="B87" s="148"/>
      <c r="C87" s="148"/>
      <c r="D87" s="148"/>
      <c r="E87" s="148"/>
      <c r="F87" s="148"/>
      <c r="G87" s="148"/>
      <c r="H87" s="148"/>
      <c r="I87" s="76"/>
      <c r="J87" s="148"/>
      <c r="K87" s="166"/>
      <c r="L87" s="166"/>
      <c r="M87" s="166"/>
      <c r="N87" s="166"/>
      <c r="O87" s="166"/>
      <c r="P87" s="14"/>
      <c r="Q87" s="14"/>
      <c r="R87" s="14"/>
      <c r="S87" s="14"/>
      <c r="T87" s="14"/>
    </row>
    <row r="88" spans="1:20" s="18" customFormat="1" ht="15.75">
      <c r="A88" s="149"/>
      <c r="B88" s="148"/>
      <c r="C88" s="148"/>
      <c r="D88" s="148"/>
      <c r="E88" s="148"/>
      <c r="F88" s="148"/>
      <c r="G88" s="148"/>
      <c r="H88" s="148"/>
      <c r="I88" s="76"/>
      <c r="J88" s="148"/>
      <c r="K88" s="166"/>
      <c r="L88" s="166"/>
      <c r="M88" s="166"/>
      <c r="N88" s="166"/>
      <c r="O88" s="166"/>
      <c r="P88" s="14"/>
      <c r="Q88" s="14"/>
      <c r="R88" s="14"/>
      <c r="S88" s="14"/>
      <c r="T88" s="14"/>
    </row>
    <row r="89" spans="1:20" s="18" customFormat="1" ht="15.75">
      <c r="A89" s="149"/>
      <c r="B89" s="148"/>
      <c r="C89" s="148"/>
      <c r="D89" s="148"/>
      <c r="E89" s="148"/>
      <c r="F89" s="148"/>
      <c r="G89" s="148"/>
      <c r="H89" s="148"/>
      <c r="I89" s="76"/>
      <c r="J89" s="148"/>
      <c r="K89" s="166"/>
      <c r="L89" s="166"/>
      <c r="M89" s="166"/>
      <c r="N89" s="166"/>
      <c r="O89" s="166"/>
      <c r="P89" s="14"/>
      <c r="Q89" s="14"/>
      <c r="R89" s="14"/>
      <c r="S89" s="14"/>
      <c r="T89" s="14"/>
    </row>
    <row r="90" spans="1:20" s="18" customFormat="1" ht="15.75">
      <c r="A90" s="149"/>
      <c r="B90" s="148"/>
      <c r="C90" s="148"/>
      <c r="D90" s="148"/>
      <c r="E90" s="148"/>
      <c r="F90" s="148"/>
      <c r="G90" s="148"/>
      <c r="H90" s="148"/>
      <c r="I90" s="76"/>
      <c r="J90" s="148"/>
      <c r="K90" s="166"/>
      <c r="L90" s="166"/>
      <c r="M90" s="166"/>
      <c r="N90" s="166"/>
      <c r="O90" s="166"/>
      <c r="P90" s="14"/>
      <c r="Q90" s="14"/>
      <c r="R90" s="14"/>
      <c r="S90" s="14"/>
      <c r="T90" s="14"/>
    </row>
    <row r="91" spans="1:20" s="18" customFormat="1" ht="15.75">
      <c r="A91" s="149"/>
      <c r="B91" s="148"/>
      <c r="C91" s="148"/>
      <c r="D91" s="148"/>
      <c r="E91" s="148"/>
      <c r="F91" s="148"/>
      <c r="G91" s="148"/>
      <c r="H91" s="148"/>
      <c r="I91" s="76"/>
      <c r="J91" s="148"/>
      <c r="K91" s="166"/>
      <c r="L91" s="166"/>
      <c r="M91" s="166"/>
      <c r="N91" s="166"/>
      <c r="O91" s="166"/>
      <c r="P91" s="14"/>
      <c r="Q91" s="14"/>
      <c r="R91" s="14"/>
      <c r="S91" s="14"/>
      <c r="T91" s="14"/>
    </row>
    <row r="92" spans="1:20" s="18" customFormat="1" ht="15.75">
      <c r="A92" s="149"/>
      <c r="B92" s="148"/>
      <c r="C92" s="148"/>
      <c r="D92" s="148"/>
      <c r="E92" s="148"/>
      <c r="F92" s="148"/>
      <c r="G92" s="148"/>
      <c r="H92" s="148"/>
      <c r="I92" s="76"/>
      <c r="J92" s="148"/>
      <c r="K92" s="166"/>
      <c r="L92" s="166"/>
      <c r="M92" s="166"/>
      <c r="N92" s="166"/>
      <c r="O92" s="166"/>
      <c r="P92" s="14"/>
      <c r="Q92" s="14"/>
      <c r="R92" s="14"/>
      <c r="S92" s="14"/>
      <c r="T92" s="14"/>
    </row>
    <row r="93" spans="1:20" s="18" customFormat="1" ht="15.75">
      <c r="A93" s="149"/>
      <c r="B93" s="148"/>
      <c r="C93" s="148"/>
      <c r="D93" s="148"/>
      <c r="E93" s="148"/>
      <c r="F93" s="148"/>
      <c r="G93" s="148"/>
      <c r="H93" s="148"/>
      <c r="I93" s="76"/>
      <c r="J93" s="148"/>
      <c r="K93" s="166"/>
      <c r="L93" s="166"/>
      <c r="M93" s="166"/>
      <c r="N93" s="166"/>
      <c r="O93" s="166"/>
      <c r="P93" s="14"/>
      <c r="Q93" s="14"/>
      <c r="R93" s="14"/>
      <c r="S93" s="14"/>
      <c r="T93" s="14"/>
    </row>
    <row r="94" spans="1:20" s="18" customFormat="1" ht="15.75">
      <c r="A94" s="149"/>
      <c r="B94" s="148"/>
      <c r="C94" s="148"/>
      <c r="D94" s="148"/>
      <c r="E94" s="148"/>
      <c r="F94" s="148"/>
      <c r="G94" s="148"/>
      <c r="H94" s="148"/>
      <c r="I94" s="76"/>
      <c r="J94" s="148"/>
      <c r="K94" s="166"/>
      <c r="L94" s="166"/>
      <c r="M94" s="166"/>
      <c r="N94" s="166"/>
      <c r="O94" s="166"/>
      <c r="P94" s="14"/>
      <c r="Q94" s="14"/>
      <c r="R94" s="14"/>
      <c r="S94" s="14"/>
      <c r="T94" s="14"/>
    </row>
    <row r="95" spans="1:20" s="18" customFormat="1" ht="15.75">
      <c r="A95" s="149"/>
      <c r="B95" s="148"/>
      <c r="C95" s="148"/>
      <c r="D95" s="148"/>
      <c r="E95" s="148"/>
      <c r="F95" s="148"/>
      <c r="G95" s="148"/>
      <c r="H95" s="148"/>
      <c r="I95" s="76"/>
      <c r="J95" s="148"/>
      <c r="K95" s="166"/>
      <c r="L95" s="166"/>
      <c r="M95" s="166"/>
      <c r="N95" s="166"/>
      <c r="O95" s="166"/>
      <c r="P95" s="14"/>
      <c r="Q95" s="14"/>
      <c r="R95" s="14"/>
      <c r="S95" s="14"/>
      <c r="T95" s="14"/>
    </row>
    <row r="96" spans="1:20" s="18" customFormat="1" ht="15.75">
      <c r="A96" s="149"/>
      <c r="B96" s="148"/>
      <c r="C96" s="148"/>
      <c r="D96" s="148"/>
      <c r="E96" s="148"/>
      <c r="F96" s="148"/>
      <c r="G96" s="148"/>
      <c r="H96" s="148"/>
      <c r="I96" s="76"/>
      <c r="J96" s="148"/>
      <c r="K96" s="166"/>
      <c r="L96" s="166"/>
      <c r="M96" s="166"/>
      <c r="N96" s="166"/>
      <c r="O96" s="166"/>
      <c r="P96" s="14"/>
      <c r="Q96" s="14"/>
      <c r="R96" s="14"/>
      <c r="S96" s="14"/>
      <c r="T96" s="14"/>
    </row>
    <row r="97" spans="1:20" s="18" customFormat="1" ht="15.75">
      <c r="A97" s="149"/>
      <c r="B97" s="148"/>
      <c r="C97" s="148"/>
      <c r="D97" s="148"/>
      <c r="E97" s="148"/>
      <c r="F97" s="148"/>
      <c r="G97" s="148"/>
      <c r="H97" s="148"/>
      <c r="I97" s="76"/>
      <c r="J97" s="148"/>
      <c r="K97" s="166"/>
      <c r="L97" s="166"/>
      <c r="M97" s="166"/>
      <c r="N97" s="166"/>
      <c r="O97" s="166"/>
      <c r="P97" s="14"/>
      <c r="Q97" s="14"/>
      <c r="R97" s="14"/>
      <c r="S97" s="14"/>
      <c r="T97" s="14"/>
    </row>
    <row r="98" spans="1:20" s="18" customFormat="1" ht="15.75">
      <c r="A98" s="149"/>
      <c r="B98" s="148"/>
      <c r="C98" s="148"/>
      <c r="D98" s="148"/>
      <c r="E98" s="148"/>
      <c r="F98" s="148"/>
      <c r="G98" s="148"/>
      <c r="H98" s="148"/>
      <c r="I98" s="76"/>
      <c r="J98" s="148"/>
      <c r="K98" s="166"/>
      <c r="L98" s="166"/>
      <c r="M98" s="166"/>
      <c r="N98" s="166"/>
      <c r="O98" s="166"/>
      <c r="P98" s="14"/>
      <c r="Q98" s="14"/>
      <c r="R98" s="14"/>
      <c r="S98" s="14"/>
      <c r="T98" s="14"/>
    </row>
    <row r="99" spans="1:20" s="18" customFormat="1" ht="15.75">
      <c r="A99" s="149"/>
      <c r="B99" s="148"/>
      <c r="C99" s="148"/>
      <c r="D99" s="148"/>
      <c r="E99" s="148"/>
      <c r="F99" s="148"/>
      <c r="G99" s="148"/>
      <c r="H99" s="148"/>
      <c r="I99" s="76"/>
      <c r="J99" s="148"/>
      <c r="K99" s="166"/>
      <c r="L99" s="166"/>
      <c r="M99" s="166"/>
      <c r="N99" s="166"/>
      <c r="O99" s="166"/>
      <c r="P99" s="14"/>
      <c r="Q99" s="14"/>
      <c r="R99" s="14"/>
      <c r="S99" s="14"/>
      <c r="T99" s="14"/>
    </row>
    <row r="100" spans="1:20" s="18" customFormat="1" ht="15.75">
      <c r="A100" s="149"/>
      <c r="B100" s="148"/>
      <c r="C100" s="148"/>
      <c r="D100" s="148"/>
      <c r="E100" s="148"/>
      <c r="F100" s="148"/>
      <c r="G100" s="148"/>
      <c r="H100" s="148"/>
      <c r="I100" s="76"/>
      <c r="J100" s="148"/>
      <c r="K100" s="166"/>
      <c r="L100" s="166"/>
      <c r="M100" s="166"/>
      <c r="N100" s="166"/>
      <c r="O100" s="166"/>
      <c r="P100" s="14"/>
      <c r="Q100" s="14"/>
      <c r="R100" s="14"/>
      <c r="S100" s="14"/>
      <c r="T100" s="14"/>
    </row>
    <row r="101" spans="1:20" s="18" customFormat="1" ht="15.75">
      <c r="A101" s="149"/>
      <c r="B101" s="148"/>
      <c r="C101" s="148"/>
      <c r="D101" s="148"/>
      <c r="E101" s="148"/>
      <c r="F101" s="148"/>
      <c r="G101" s="148"/>
      <c r="H101" s="148"/>
      <c r="I101" s="76"/>
      <c r="J101" s="148"/>
      <c r="K101" s="166"/>
      <c r="L101" s="166"/>
      <c r="M101" s="166"/>
      <c r="N101" s="166"/>
      <c r="O101" s="166"/>
      <c r="P101" s="14"/>
      <c r="Q101" s="14"/>
      <c r="R101" s="14"/>
      <c r="S101" s="14"/>
      <c r="T101" s="14"/>
    </row>
    <row r="102" spans="1:20" s="18" customFormat="1" ht="15.75">
      <c r="A102" s="149"/>
      <c r="B102" s="148"/>
      <c r="C102" s="148"/>
      <c r="D102" s="148"/>
      <c r="E102" s="148"/>
      <c r="F102" s="148"/>
      <c r="G102" s="148"/>
      <c r="H102" s="148"/>
      <c r="I102" s="76"/>
      <c r="J102" s="148"/>
      <c r="K102" s="166"/>
      <c r="L102" s="166"/>
      <c r="M102" s="166"/>
      <c r="N102" s="166"/>
      <c r="O102" s="166"/>
      <c r="P102" s="14"/>
      <c r="Q102" s="14"/>
      <c r="R102" s="14"/>
      <c r="S102" s="14"/>
      <c r="T102" s="14"/>
    </row>
    <row r="103" spans="1:20" s="18" customFormat="1" ht="15.75">
      <c r="A103" s="149"/>
      <c r="B103" s="148"/>
      <c r="C103" s="148"/>
      <c r="D103" s="148"/>
      <c r="E103" s="148"/>
      <c r="F103" s="148"/>
      <c r="G103" s="148"/>
      <c r="H103" s="148"/>
      <c r="I103" s="76"/>
      <c r="J103" s="148"/>
      <c r="K103" s="166"/>
      <c r="L103" s="166"/>
      <c r="M103" s="166"/>
      <c r="N103" s="166"/>
      <c r="O103" s="166"/>
      <c r="P103" s="14"/>
      <c r="Q103" s="14"/>
      <c r="R103" s="14"/>
      <c r="S103" s="14"/>
      <c r="T103" s="14"/>
    </row>
    <row r="104" spans="1:20" s="18" customFormat="1" ht="15.75">
      <c r="A104" s="149"/>
      <c r="B104" s="148"/>
      <c r="C104" s="148"/>
      <c r="D104" s="148"/>
      <c r="E104" s="148"/>
      <c r="F104" s="148"/>
      <c r="G104" s="148"/>
      <c r="H104" s="148"/>
      <c r="I104" s="76"/>
      <c r="J104" s="148"/>
      <c r="K104" s="166"/>
      <c r="L104" s="166"/>
      <c r="M104" s="166"/>
      <c r="N104" s="166"/>
      <c r="O104" s="166"/>
      <c r="P104" s="14"/>
      <c r="Q104" s="14"/>
      <c r="R104" s="14"/>
      <c r="S104" s="14"/>
      <c r="T104" s="14"/>
    </row>
    <row r="105" spans="1:20" s="18" customFormat="1" ht="15.75">
      <c r="A105" s="149"/>
      <c r="B105" s="148"/>
      <c r="C105" s="148"/>
      <c r="D105" s="148"/>
      <c r="E105" s="148"/>
      <c r="F105" s="148"/>
      <c r="G105" s="148"/>
      <c r="H105" s="148"/>
      <c r="I105" s="76"/>
      <c r="J105" s="148"/>
      <c r="K105" s="166"/>
      <c r="L105" s="166"/>
      <c r="M105" s="166"/>
      <c r="N105" s="166"/>
      <c r="O105" s="166"/>
      <c r="P105" s="14"/>
      <c r="Q105" s="14"/>
      <c r="R105" s="14"/>
      <c r="S105" s="14"/>
      <c r="T105" s="14"/>
    </row>
    <row r="106" spans="1:20" s="18" customFormat="1" ht="15.75">
      <c r="A106" s="149"/>
      <c r="B106" s="148"/>
      <c r="C106" s="148"/>
      <c r="D106" s="148"/>
      <c r="E106" s="148"/>
      <c r="F106" s="148"/>
      <c r="G106" s="148"/>
      <c r="H106" s="148"/>
      <c r="I106" s="76"/>
      <c r="J106" s="148"/>
      <c r="K106" s="166"/>
      <c r="L106" s="166"/>
      <c r="M106" s="166"/>
      <c r="N106" s="166"/>
      <c r="O106" s="166"/>
      <c r="P106" s="14"/>
      <c r="Q106" s="14"/>
      <c r="R106" s="14"/>
      <c r="S106" s="14"/>
      <c r="T106" s="14"/>
    </row>
    <row r="107" spans="1:20" s="18" customFormat="1" ht="15.75">
      <c r="A107" s="149"/>
      <c r="B107" s="148"/>
      <c r="C107" s="148"/>
      <c r="D107" s="148"/>
      <c r="E107" s="148"/>
      <c r="F107" s="148"/>
      <c r="G107" s="148"/>
      <c r="H107" s="148"/>
      <c r="I107" s="76"/>
      <c r="J107" s="148"/>
      <c r="K107" s="166"/>
      <c r="L107" s="166"/>
      <c r="M107" s="166"/>
      <c r="N107" s="166"/>
      <c r="O107" s="166"/>
      <c r="P107" s="14"/>
      <c r="Q107" s="14"/>
      <c r="R107" s="14"/>
      <c r="S107" s="14"/>
      <c r="T107" s="14"/>
    </row>
    <row r="108" spans="1:20" s="18" customFormat="1" ht="15.75">
      <c r="A108" s="149"/>
      <c r="B108" s="148"/>
      <c r="C108" s="148"/>
      <c r="D108" s="148"/>
      <c r="E108" s="148"/>
      <c r="F108" s="148"/>
      <c r="G108" s="148"/>
      <c r="H108" s="148"/>
      <c r="I108" s="76"/>
      <c r="J108" s="148"/>
      <c r="K108" s="166"/>
      <c r="L108" s="166"/>
      <c r="M108" s="166"/>
      <c r="N108" s="166"/>
      <c r="O108" s="166"/>
      <c r="P108" s="14"/>
      <c r="Q108" s="14"/>
      <c r="R108" s="14"/>
      <c r="S108" s="14"/>
      <c r="T108" s="14"/>
    </row>
    <row r="109" spans="1:20" s="18" customFormat="1" ht="15.75">
      <c r="A109" s="149"/>
      <c r="B109" s="148"/>
      <c r="C109" s="148"/>
      <c r="D109" s="148"/>
      <c r="E109" s="148"/>
      <c r="F109" s="148"/>
      <c r="G109" s="148"/>
      <c r="H109" s="148"/>
      <c r="I109" s="76"/>
      <c r="J109" s="148"/>
      <c r="K109" s="166"/>
      <c r="L109" s="166"/>
      <c r="M109" s="166"/>
      <c r="N109" s="166"/>
      <c r="O109" s="166"/>
      <c r="P109" s="14"/>
      <c r="Q109" s="14"/>
      <c r="R109" s="14"/>
      <c r="S109" s="14"/>
      <c r="T109" s="14"/>
    </row>
    <row r="110" spans="1:20" s="18" customFormat="1" ht="15.75">
      <c r="A110" s="149"/>
      <c r="B110" s="148"/>
      <c r="C110" s="148"/>
      <c r="D110" s="148"/>
      <c r="E110" s="148"/>
      <c r="F110" s="148"/>
      <c r="G110" s="148"/>
      <c r="H110" s="148"/>
      <c r="I110" s="76"/>
      <c r="J110" s="148"/>
      <c r="K110" s="166"/>
      <c r="L110" s="166"/>
      <c r="M110" s="166"/>
      <c r="N110" s="166"/>
      <c r="O110" s="166"/>
      <c r="P110" s="14"/>
      <c r="Q110" s="14"/>
      <c r="R110" s="14"/>
      <c r="S110" s="14"/>
      <c r="T110" s="14"/>
    </row>
    <row r="111" spans="1:20" s="18" customFormat="1" ht="15.75">
      <c r="A111" s="149"/>
      <c r="B111" s="148"/>
      <c r="C111" s="148"/>
      <c r="D111" s="148"/>
      <c r="E111" s="148"/>
      <c r="F111" s="148"/>
      <c r="G111" s="148"/>
      <c r="H111" s="148"/>
      <c r="I111" s="76"/>
      <c r="J111" s="148"/>
      <c r="K111" s="166"/>
      <c r="L111" s="166"/>
      <c r="M111" s="166"/>
      <c r="N111" s="166"/>
      <c r="O111" s="166"/>
      <c r="P111" s="14"/>
      <c r="Q111" s="14"/>
      <c r="R111" s="14"/>
      <c r="S111" s="14"/>
      <c r="T111" s="14"/>
    </row>
    <row r="112" spans="1:20" s="18" customFormat="1" ht="15.75">
      <c r="A112" s="149"/>
      <c r="B112" s="148"/>
      <c r="C112" s="148"/>
      <c r="D112" s="148"/>
      <c r="E112" s="148"/>
      <c r="F112" s="148"/>
      <c r="G112" s="148"/>
      <c r="H112" s="148"/>
      <c r="I112" s="76"/>
      <c r="J112" s="148"/>
      <c r="K112" s="166"/>
      <c r="L112" s="166"/>
      <c r="M112" s="166"/>
      <c r="N112" s="166"/>
      <c r="O112" s="166"/>
      <c r="P112" s="14"/>
      <c r="Q112" s="14"/>
      <c r="R112" s="14"/>
      <c r="S112" s="14"/>
      <c r="T112" s="14"/>
    </row>
    <row r="113" spans="1:20" s="18" customFormat="1" ht="15.75">
      <c r="A113" s="149"/>
      <c r="B113" s="148"/>
      <c r="C113" s="148"/>
      <c r="D113" s="148"/>
      <c r="E113" s="148"/>
      <c r="F113" s="148"/>
      <c r="G113" s="148"/>
      <c r="H113" s="148"/>
      <c r="I113" s="76"/>
      <c r="J113" s="148"/>
      <c r="K113" s="166"/>
      <c r="L113" s="166"/>
      <c r="M113" s="166"/>
      <c r="N113" s="166"/>
      <c r="O113" s="166"/>
      <c r="P113" s="14"/>
      <c r="Q113" s="14"/>
      <c r="R113" s="14"/>
      <c r="S113" s="14"/>
      <c r="T113" s="14"/>
    </row>
    <row r="114" spans="1:20" s="18" customFormat="1" ht="15.75">
      <c r="A114" s="149"/>
      <c r="B114" s="148"/>
      <c r="C114" s="148"/>
      <c r="D114" s="148"/>
      <c r="E114" s="148"/>
      <c r="F114" s="148"/>
      <c r="G114" s="148"/>
      <c r="H114" s="148"/>
      <c r="I114" s="76"/>
      <c r="J114" s="148"/>
      <c r="K114" s="166"/>
      <c r="L114" s="166"/>
      <c r="M114" s="166"/>
      <c r="N114" s="166"/>
      <c r="O114" s="166"/>
      <c r="P114" s="14"/>
      <c r="Q114" s="14"/>
      <c r="R114" s="14"/>
      <c r="S114" s="14"/>
      <c r="T114" s="14"/>
    </row>
    <row r="115" spans="1:20" s="18" customFormat="1" ht="15.75">
      <c r="A115" s="149"/>
      <c r="B115" s="148"/>
      <c r="C115" s="148"/>
      <c r="D115" s="148"/>
      <c r="E115" s="148"/>
      <c r="F115" s="148"/>
      <c r="G115" s="148"/>
      <c r="H115" s="148"/>
      <c r="I115" s="76"/>
      <c r="J115" s="148"/>
      <c r="K115" s="166"/>
      <c r="L115" s="166"/>
      <c r="M115" s="166"/>
      <c r="N115" s="166"/>
      <c r="O115" s="166"/>
      <c r="P115" s="14"/>
      <c r="Q115" s="14"/>
      <c r="R115" s="14"/>
      <c r="S115" s="14"/>
      <c r="T115" s="14"/>
    </row>
    <row r="116" spans="1:20" s="18" customFormat="1" ht="15.75">
      <c r="A116" s="149"/>
      <c r="B116" s="148"/>
      <c r="C116" s="148"/>
      <c r="D116" s="148"/>
      <c r="E116" s="148"/>
      <c r="F116" s="148"/>
      <c r="G116" s="148"/>
      <c r="H116" s="148"/>
      <c r="I116" s="76"/>
      <c r="J116" s="148"/>
      <c r="K116" s="166"/>
      <c r="L116" s="166"/>
      <c r="M116" s="166"/>
      <c r="N116" s="166"/>
      <c r="O116" s="166"/>
      <c r="P116" s="14"/>
      <c r="Q116" s="14"/>
      <c r="R116" s="14"/>
      <c r="S116" s="14"/>
      <c r="T116" s="14"/>
    </row>
    <row r="117" spans="1:20" s="18" customFormat="1" ht="15.75">
      <c r="A117" s="149"/>
      <c r="B117" s="148"/>
      <c r="C117" s="148"/>
      <c r="D117" s="148"/>
      <c r="E117" s="148"/>
      <c r="F117" s="148"/>
      <c r="G117" s="148"/>
      <c r="H117" s="148"/>
      <c r="I117" s="76"/>
      <c r="J117" s="148"/>
      <c r="K117" s="166"/>
      <c r="L117" s="166"/>
      <c r="M117" s="166"/>
      <c r="N117" s="166"/>
      <c r="O117" s="166"/>
      <c r="P117" s="14"/>
      <c r="Q117" s="14"/>
      <c r="R117" s="14"/>
      <c r="S117" s="14"/>
      <c r="T117" s="14"/>
    </row>
    <row r="118" spans="1:20" s="18" customFormat="1" ht="15.75">
      <c r="A118" s="149"/>
      <c r="B118" s="148"/>
      <c r="C118" s="148"/>
      <c r="D118" s="148"/>
      <c r="E118" s="148"/>
      <c r="F118" s="148"/>
      <c r="G118" s="148"/>
      <c r="H118" s="148"/>
      <c r="I118" s="76"/>
      <c r="J118" s="148"/>
      <c r="K118" s="166"/>
      <c r="L118" s="166"/>
      <c r="M118" s="166"/>
      <c r="N118" s="166"/>
      <c r="O118" s="166"/>
      <c r="P118" s="14"/>
      <c r="Q118" s="14"/>
      <c r="R118" s="14"/>
      <c r="S118" s="14"/>
      <c r="T118" s="14"/>
    </row>
    <row r="119" spans="1:20" s="18" customFormat="1" ht="15.75">
      <c r="A119" s="149"/>
      <c r="B119" s="148"/>
      <c r="C119" s="148"/>
      <c r="D119" s="148"/>
      <c r="E119" s="148"/>
      <c r="F119" s="148"/>
      <c r="G119" s="148"/>
      <c r="H119" s="148"/>
      <c r="I119" s="76"/>
      <c r="J119" s="148"/>
      <c r="K119" s="166"/>
      <c r="L119" s="166"/>
      <c r="M119" s="166"/>
      <c r="N119" s="166"/>
      <c r="O119" s="166"/>
      <c r="P119" s="14"/>
      <c r="Q119" s="14"/>
      <c r="R119" s="14"/>
      <c r="S119" s="14"/>
      <c r="T119" s="14"/>
    </row>
    <row r="120" spans="1:20" s="18" customFormat="1" ht="15.75">
      <c r="A120" s="149"/>
      <c r="B120" s="148"/>
      <c r="C120" s="148"/>
      <c r="D120" s="148"/>
      <c r="E120" s="148"/>
      <c r="F120" s="148"/>
      <c r="G120" s="148"/>
      <c r="H120" s="148"/>
      <c r="I120" s="76"/>
      <c r="J120" s="148"/>
      <c r="K120" s="166"/>
      <c r="L120" s="166"/>
      <c r="M120" s="166"/>
      <c r="N120" s="166"/>
      <c r="O120" s="166"/>
      <c r="P120" s="14"/>
      <c r="Q120" s="14"/>
      <c r="R120" s="14"/>
      <c r="S120" s="14"/>
      <c r="T120" s="14"/>
    </row>
    <row r="121" spans="1:20" s="18" customFormat="1" ht="15.75">
      <c r="A121" s="149"/>
      <c r="B121" s="148"/>
      <c r="C121" s="148"/>
      <c r="D121" s="148"/>
      <c r="E121" s="148"/>
      <c r="F121" s="148"/>
      <c r="G121" s="148"/>
      <c r="H121" s="148"/>
      <c r="I121" s="76"/>
      <c r="J121" s="148"/>
      <c r="K121" s="166"/>
      <c r="L121" s="166"/>
      <c r="M121" s="166"/>
      <c r="N121" s="166"/>
      <c r="O121" s="166"/>
      <c r="P121" s="14"/>
      <c r="Q121" s="14"/>
      <c r="R121" s="14"/>
      <c r="S121" s="14"/>
      <c r="T121" s="14"/>
    </row>
    <row r="122" spans="1:20" s="18" customFormat="1" ht="15.75">
      <c r="A122" s="149"/>
      <c r="B122" s="148"/>
      <c r="C122" s="148"/>
      <c r="D122" s="148"/>
      <c r="E122" s="148"/>
      <c r="F122" s="148"/>
      <c r="G122" s="148"/>
      <c r="H122" s="148"/>
      <c r="I122" s="76"/>
      <c r="J122" s="148"/>
      <c r="K122" s="166"/>
      <c r="L122" s="166"/>
      <c r="M122" s="166"/>
      <c r="N122" s="166"/>
      <c r="O122" s="166"/>
      <c r="P122" s="14"/>
      <c r="Q122" s="14"/>
      <c r="R122" s="14"/>
      <c r="S122" s="14"/>
      <c r="T122" s="14"/>
    </row>
    <row r="123" spans="1:20" s="18" customFormat="1" ht="15.75">
      <c r="A123" s="149"/>
      <c r="B123" s="148"/>
      <c r="C123" s="148"/>
      <c r="D123" s="148"/>
      <c r="E123" s="148"/>
      <c r="F123" s="148"/>
      <c r="G123" s="148"/>
      <c r="H123" s="148"/>
      <c r="I123" s="76"/>
      <c r="J123" s="148"/>
      <c r="K123" s="166"/>
      <c r="L123" s="166"/>
      <c r="M123" s="166"/>
      <c r="N123" s="166"/>
      <c r="O123" s="166"/>
      <c r="P123" s="14"/>
      <c r="Q123" s="14"/>
      <c r="R123" s="14"/>
      <c r="S123" s="14"/>
      <c r="T123" s="14"/>
    </row>
    <row r="124" spans="1:20" s="18" customFormat="1" ht="15.75">
      <c r="A124" s="149"/>
      <c r="B124" s="148"/>
      <c r="C124" s="148"/>
      <c r="D124" s="148"/>
      <c r="E124" s="148"/>
      <c r="F124" s="148"/>
      <c r="G124" s="148"/>
      <c r="H124" s="148"/>
      <c r="I124" s="76"/>
      <c r="J124" s="148"/>
      <c r="K124" s="166"/>
      <c r="L124" s="166"/>
      <c r="M124" s="166"/>
      <c r="N124" s="166"/>
      <c r="O124" s="166"/>
      <c r="P124" s="14"/>
      <c r="Q124" s="14"/>
      <c r="R124" s="14"/>
      <c r="S124" s="14"/>
      <c r="T124" s="14"/>
    </row>
    <row r="125" spans="1:20" s="18" customFormat="1" ht="15.75">
      <c r="A125" s="149"/>
      <c r="B125" s="148"/>
      <c r="C125" s="148"/>
      <c r="D125" s="148"/>
      <c r="E125" s="148"/>
      <c r="F125" s="148"/>
      <c r="G125" s="148"/>
      <c r="H125" s="148"/>
      <c r="I125" s="76"/>
      <c r="J125" s="148"/>
      <c r="K125" s="166"/>
      <c r="L125" s="166"/>
      <c r="M125" s="166"/>
      <c r="N125" s="166"/>
      <c r="O125" s="166"/>
      <c r="P125" s="14"/>
      <c r="Q125" s="14"/>
      <c r="R125" s="14"/>
      <c r="S125" s="14"/>
      <c r="T125" s="14"/>
    </row>
    <row r="126" spans="1:20" s="18" customFormat="1" ht="15.75">
      <c r="A126" s="149"/>
      <c r="B126" s="148"/>
      <c r="C126" s="148"/>
      <c r="D126" s="148"/>
      <c r="E126" s="148"/>
      <c r="F126" s="148"/>
      <c r="G126" s="148"/>
      <c r="H126" s="148"/>
      <c r="I126" s="76"/>
      <c r="J126" s="148"/>
      <c r="K126" s="166"/>
      <c r="L126" s="166"/>
      <c r="M126" s="166"/>
      <c r="N126" s="166"/>
      <c r="O126" s="166"/>
      <c r="P126" s="14"/>
      <c r="Q126" s="14"/>
      <c r="R126" s="14"/>
      <c r="S126" s="14"/>
      <c r="T126" s="14"/>
    </row>
    <row r="127" spans="1:20" s="18" customFormat="1" ht="15.75">
      <c r="A127" s="149"/>
      <c r="B127" s="148"/>
      <c r="C127" s="148"/>
      <c r="D127" s="148"/>
      <c r="E127" s="148"/>
      <c r="F127" s="148"/>
      <c r="G127" s="148"/>
      <c r="H127" s="148"/>
      <c r="I127" s="76"/>
      <c r="J127" s="148"/>
      <c r="K127" s="166"/>
      <c r="L127" s="166"/>
      <c r="M127" s="166"/>
      <c r="N127" s="166"/>
      <c r="O127" s="166"/>
      <c r="P127" s="14"/>
      <c r="Q127" s="14"/>
      <c r="R127" s="14"/>
      <c r="S127" s="14"/>
      <c r="T127" s="14"/>
    </row>
    <row r="128" spans="1:20" s="18" customFormat="1" ht="15.75">
      <c r="A128" s="149"/>
      <c r="B128" s="148"/>
      <c r="C128" s="148"/>
      <c r="D128" s="148"/>
      <c r="E128" s="148"/>
      <c r="F128" s="148"/>
      <c r="G128" s="148"/>
      <c r="H128" s="148"/>
      <c r="I128" s="76"/>
      <c r="J128" s="148"/>
      <c r="K128" s="166"/>
      <c r="L128" s="166"/>
      <c r="M128" s="166"/>
      <c r="N128" s="166"/>
      <c r="O128" s="166"/>
      <c r="P128" s="14"/>
      <c r="Q128" s="14"/>
      <c r="R128" s="14"/>
      <c r="S128" s="14"/>
      <c r="T128" s="14"/>
    </row>
    <row r="129" spans="1:20" s="18" customFormat="1" ht="15.75">
      <c r="A129" s="149"/>
      <c r="B129" s="148"/>
      <c r="C129" s="148"/>
      <c r="D129" s="148"/>
      <c r="E129" s="148"/>
      <c r="F129" s="148"/>
      <c r="G129" s="148"/>
      <c r="H129" s="148"/>
      <c r="I129" s="76"/>
      <c r="J129" s="148"/>
      <c r="K129" s="166"/>
      <c r="L129" s="166"/>
      <c r="M129" s="166"/>
      <c r="N129" s="166"/>
      <c r="O129" s="166"/>
      <c r="P129" s="14"/>
      <c r="Q129" s="14"/>
      <c r="R129" s="14"/>
      <c r="S129" s="14"/>
      <c r="T129" s="14"/>
    </row>
    <row r="130" spans="1:20" s="18" customFormat="1" ht="15.75">
      <c r="A130" s="149"/>
      <c r="B130" s="148"/>
      <c r="C130" s="148"/>
      <c r="D130" s="148"/>
      <c r="E130" s="148"/>
      <c r="F130" s="148"/>
      <c r="G130" s="148"/>
      <c r="H130" s="148"/>
      <c r="I130" s="76"/>
      <c r="J130" s="148"/>
      <c r="K130" s="166"/>
      <c r="L130" s="166"/>
      <c r="M130" s="166"/>
      <c r="N130" s="166"/>
      <c r="O130" s="166"/>
      <c r="P130" s="14"/>
      <c r="Q130" s="14"/>
      <c r="R130" s="14"/>
      <c r="S130" s="14"/>
      <c r="T130" s="14"/>
    </row>
    <row r="131" spans="1:20" s="18" customFormat="1" ht="15.75">
      <c r="A131" s="149"/>
      <c r="B131" s="148"/>
      <c r="C131" s="148"/>
      <c r="D131" s="148"/>
      <c r="E131" s="148"/>
      <c r="F131" s="148"/>
      <c r="G131" s="148"/>
      <c r="H131" s="148"/>
      <c r="I131" s="76"/>
      <c r="J131" s="148"/>
      <c r="K131" s="166"/>
      <c r="L131" s="166"/>
      <c r="M131" s="166"/>
      <c r="N131" s="166"/>
      <c r="O131" s="166"/>
      <c r="P131" s="14"/>
      <c r="Q131" s="14"/>
      <c r="R131" s="14"/>
      <c r="S131" s="14"/>
      <c r="T131" s="14"/>
    </row>
    <row r="132" spans="1:20" s="18" customFormat="1" ht="15.75">
      <c r="A132" s="149"/>
      <c r="B132" s="148"/>
      <c r="C132" s="148"/>
      <c r="D132" s="148"/>
      <c r="E132" s="148"/>
      <c r="F132" s="148"/>
      <c r="G132" s="148"/>
      <c r="H132" s="148"/>
      <c r="I132" s="76"/>
      <c r="J132" s="148"/>
      <c r="K132" s="166"/>
      <c r="L132" s="166"/>
      <c r="M132" s="166"/>
      <c r="N132" s="166"/>
      <c r="O132" s="166"/>
      <c r="P132" s="14"/>
      <c r="Q132" s="14"/>
      <c r="R132" s="14"/>
      <c r="S132" s="14"/>
      <c r="T132" s="14"/>
    </row>
    <row r="133" spans="1:20" s="18" customFormat="1" ht="15.75">
      <c r="A133" s="149"/>
      <c r="B133" s="148"/>
      <c r="C133" s="148"/>
      <c r="D133" s="148"/>
      <c r="E133" s="148"/>
      <c r="F133" s="148"/>
      <c r="G133" s="148"/>
      <c r="H133" s="148"/>
      <c r="I133" s="76"/>
      <c r="J133" s="148"/>
      <c r="K133" s="166"/>
      <c r="L133" s="166"/>
      <c r="M133" s="166"/>
      <c r="N133" s="166"/>
      <c r="O133" s="166"/>
      <c r="P133" s="14"/>
      <c r="Q133" s="14"/>
      <c r="R133" s="14"/>
      <c r="S133" s="14"/>
      <c r="T133" s="14"/>
    </row>
    <row r="134" spans="1:20" s="18" customFormat="1" ht="15.75">
      <c r="A134" s="149"/>
      <c r="B134" s="148"/>
      <c r="C134" s="148"/>
      <c r="D134" s="148"/>
      <c r="E134" s="148"/>
      <c r="F134" s="148"/>
      <c r="G134" s="148"/>
      <c r="H134" s="148"/>
      <c r="I134" s="76"/>
      <c r="J134" s="148"/>
      <c r="K134" s="166"/>
      <c r="L134" s="166"/>
      <c r="M134" s="166"/>
      <c r="N134" s="166"/>
      <c r="O134" s="166"/>
      <c r="P134" s="14"/>
      <c r="Q134" s="14"/>
      <c r="R134" s="14"/>
      <c r="S134" s="14"/>
      <c r="T134" s="14"/>
    </row>
    <row r="135" spans="1:20" s="18" customFormat="1" ht="15.75">
      <c r="A135" s="149"/>
      <c r="B135" s="148"/>
      <c r="C135" s="148"/>
      <c r="D135" s="148"/>
      <c r="E135" s="148"/>
      <c r="F135" s="148"/>
      <c r="G135" s="148"/>
      <c r="H135" s="148"/>
      <c r="I135" s="76"/>
      <c r="J135" s="148"/>
      <c r="K135" s="166"/>
      <c r="L135" s="166"/>
      <c r="M135" s="166"/>
      <c r="N135" s="166"/>
      <c r="O135" s="166"/>
      <c r="P135" s="14"/>
      <c r="Q135" s="14"/>
      <c r="R135" s="14"/>
      <c r="S135" s="14"/>
      <c r="T135" s="14"/>
    </row>
    <row r="136" spans="1:20" s="18" customFormat="1" ht="15.75">
      <c r="A136" s="149"/>
      <c r="B136" s="148"/>
      <c r="C136" s="148"/>
      <c r="D136" s="148"/>
      <c r="E136" s="148"/>
      <c r="F136" s="148"/>
      <c r="G136" s="148"/>
      <c r="H136" s="148"/>
      <c r="I136" s="76"/>
      <c r="J136" s="148"/>
      <c r="K136" s="166"/>
      <c r="L136" s="166"/>
      <c r="M136" s="166"/>
      <c r="N136" s="166"/>
      <c r="O136" s="166"/>
      <c r="P136" s="14"/>
      <c r="Q136" s="14"/>
      <c r="R136" s="14"/>
      <c r="S136" s="14"/>
      <c r="T136" s="14"/>
    </row>
    <row r="137" spans="1:20" s="18" customFormat="1" ht="15.75">
      <c r="A137" s="149"/>
      <c r="B137" s="148"/>
      <c r="C137" s="148"/>
      <c r="D137" s="148"/>
      <c r="E137" s="148"/>
      <c r="F137" s="148"/>
      <c r="G137" s="148"/>
      <c r="H137" s="148"/>
      <c r="I137" s="76"/>
      <c r="J137" s="148"/>
      <c r="K137" s="166"/>
      <c r="L137" s="166"/>
      <c r="M137" s="166"/>
      <c r="N137" s="166"/>
      <c r="O137" s="166"/>
      <c r="P137" s="14"/>
      <c r="Q137" s="14"/>
      <c r="R137" s="14"/>
      <c r="S137" s="14"/>
      <c r="T137" s="14"/>
    </row>
    <row r="138" spans="1:20" s="18" customFormat="1" ht="15.75">
      <c r="A138" s="149"/>
      <c r="B138" s="148"/>
      <c r="C138" s="148"/>
      <c r="D138" s="148"/>
      <c r="E138" s="148"/>
      <c r="F138" s="148"/>
      <c r="G138" s="148"/>
      <c r="H138" s="148"/>
      <c r="I138" s="76"/>
      <c r="J138" s="148"/>
      <c r="K138" s="166"/>
      <c r="L138" s="166"/>
      <c r="M138" s="166"/>
      <c r="N138" s="166"/>
      <c r="O138" s="166"/>
      <c r="P138" s="14"/>
      <c r="Q138" s="14"/>
      <c r="R138" s="14"/>
      <c r="S138" s="14"/>
      <c r="T138" s="14"/>
    </row>
    <row r="139" spans="1:20" s="18" customFormat="1" ht="15.75">
      <c r="A139" s="149"/>
      <c r="B139" s="148"/>
      <c r="C139" s="148"/>
      <c r="D139" s="148"/>
      <c r="E139" s="148"/>
      <c r="F139" s="148"/>
      <c r="G139" s="148"/>
      <c r="H139" s="148"/>
      <c r="I139" s="76"/>
      <c r="J139" s="148"/>
      <c r="K139" s="166"/>
      <c r="L139" s="166"/>
      <c r="M139" s="166"/>
      <c r="N139" s="166"/>
      <c r="O139" s="166"/>
      <c r="P139" s="14"/>
      <c r="Q139" s="14"/>
      <c r="R139" s="14"/>
      <c r="S139" s="14"/>
      <c r="T139" s="14"/>
    </row>
    <row r="140" spans="1:20" s="18" customFormat="1" ht="15.75">
      <c r="A140" s="149"/>
      <c r="B140" s="148"/>
      <c r="C140" s="148"/>
      <c r="D140" s="148"/>
      <c r="E140" s="148"/>
      <c r="F140" s="148"/>
      <c r="G140" s="148"/>
      <c r="H140" s="148"/>
      <c r="I140" s="76"/>
      <c r="J140" s="148"/>
      <c r="K140" s="166"/>
      <c r="L140" s="166"/>
      <c r="M140" s="166"/>
      <c r="N140" s="166"/>
      <c r="O140" s="166"/>
      <c r="P140" s="14"/>
      <c r="Q140" s="14"/>
      <c r="R140" s="14"/>
      <c r="S140" s="14"/>
      <c r="T140" s="14"/>
    </row>
    <row r="141" spans="1:20" s="18" customFormat="1" ht="15.75">
      <c r="A141" s="149"/>
      <c r="B141" s="148"/>
      <c r="C141" s="148"/>
      <c r="D141" s="148"/>
      <c r="E141" s="148"/>
      <c r="F141" s="148"/>
      <c r="G141" s="148"/>
      <c r="H141" s="148"/>
      <c r="I141" s="76"/>
      <c r="J141" s="148"/>
      <c r="K141" s="166"/>
      <c r="L141" s="166"/>
      <c r="M141" s="166"/>
      <c r="N141" s="166"/>
      <c r="O141" s="166"/>
      <c r="P141" s="14"/>
      <c r="Q141" s="14"/>
      <c r="R141" s="14"/>
      <c r="S141" s="14"/>
      <c r="T141" s="14"/>
    </row>
    <row r="142" spans="1:20" s="18" customFormat="1" ht="15.75">
      <c r="A142" s="149"/>
      <c r="B142" s="148"/>
      <c r="C142" s="148"/>
      <c r="D142" s="148"/>
      <c r="E142" s="148"/>
      <c r="F142" s="148"/>
      <c r="G142" s="148"/>
      <c r="H142" s="148"/>
      <c r="I142" s="76"/>
      <c r="J142" s="148"/>
      <c r="K142" s="166"/>
      <c r="L142" s="166"/>
      <c r="M142" s="166"/>
      <c r="N142" s="166"/>
      <c r="O142" s="166"/>
      <c r="P142" s="14"/>
      <c r="Q142" s="14"/>
      <c r="R142" s="14"/>
      <c r="S142" s="14"/>
      <c r="T142" s="14"/>
    </row>
    <row r="143" spans="1:20" s="18" customFormat="1" ht="15.75">
      <c r="A143" s="149"/>
      <c r="B143" s="148"/>
      <c r="C143" s="148"/>
      <c r="D143" s="148"/>
      <c r="E143" s="148"/>
      <c r="F143" s="148"/>
      <c r="G143" s="148"/>
      <c r="H143" s="148"/>
      <c r="I143" s="76"/>
      <c r="J143" s="148"/>
      <c r="K143" s="166"/>
      <c r="L143" s="166"/>
      <c r="M143" s="166"/>
      <c r="N143" s="166"/>
      <c r="O143" s="166"/>
      <c r="P143" s="14"/>
      <c r="Q143" s="14"/>
      <c r="R143" s="14"/>
      <c r="S143" s="14"/>
      <c r="T143" s="14"/>
    </row>
    <row r="144" spans="1:20" s="18" customFormat="1" ht="15.75">
      <c r="A144" s="149"/>
      <c r="B144" s="148"/>
      <c r="C144" s="148"/>
      <c r="D144" s="148"/>
      <c r="E144" s="148"/>
      <c r="F144" s="148"/>
      <c r="G144" s="148"/>
      <c r="H144" s="148"/>
      <c r="I144" s="76"/>
      <c r="J144" s="148"/>
      <c r="K144" s="166"/>
      <c r="L144" s="166"/>
      <c r="M144" s="166"/>
      <c r="N144" s="166"/>
      <c r="O144" s="166"/>
      <c r="P144" s="14"/>
      <c r="Q144" s="14"/>
      <c r="R144" s="14"/>
      <c r="S144" s="14"/>
      <c r="T144" s="14"/>
    </row>
    <row r="145" spans="1:20" s="18" customFormat="1" ht="15.75">
      <c r="A145" s="149"/>
      <c r="B145" s="148"/>
      <c r="C145" s="148"/>
      <c r="D145" s="148"/>
      <c r="E145" s="148"/>
      <c r="F145" s="148"/>
      <c r="G145" s="148"/>
      <c r="H145" s="148"/>
      <c r="I145" s="76"/>
      <c r="J145" s="148"/>
      <c r="K145" s="166"/>
      <c r="L145" s="166"/>
      <c r="M145" s="166"/>
      <c r="N145" s="166"/>
      <c r="O145" s="166"/>
      <c r="P145" s="14"/>
      <c r="Q145" s="14"/>
      <c r="R145" s="14"/>
      <c r="S145" s="14"/>
      <c r="T145" s="14"/>
    </row>
    <row r="146" spans="1:20" s="18" customFormat="1" ht="15.75">
      <c r="A146" s="149"/>
      <c r="B146" s="148"/>
      <c r="C146" s="148"/>
      <c r="D146" s="148"/>
      <c r="E146" s="148"/>
      <c r="F146" s="148"/>
      <c r="G146" s="148"/>
      <c r="H146" s="148"/>
      <c r="I146" s="76"/>
      <c r="J146" s="148"/>
      <c r="K146" s="166"/>
      <c r="L146" s="166"/>
      <c r="M146" s="166"/>
      <c r="N146" s="166"/>
      <c r="O146" s="166"/>
      <c r="P146" s="14"/>
      <c r="Q146" s="14"/>
      <c r="R146" s="14"/>
      <c r="S146" s="14"/>
      <c r="T146" s="14"/>
    </row>
    <row r="147" spans="1:20" s="18" customFormat="1" ht="15.75">
      <c r="A147" s="149"/>
      <c r="B147" s="148"/>
      <c r="C147" s="148"/>
      <c r="D147" s="148"/>
      <c r="E147" s="148"/>
      <c r="F147" s="148"/>
      <c r="G147" s="148"/>
      <c r="H147" s="148"/>
      <c r="I147" s="76"/>
      <c r="J147" s="148"/>
      <c r="K147" s="166"/>
      <c r="L147" s="166"/>
      <c r="M147" s="166"/>
      <c r="N147" s="166"/>
      <c r="O147" s="166"/>
      <c r="P147" s="14"/>
      <c r="Q147" s="14"/>
      <c r="R147" s="14"/>
      <c r="S147" s="14"/>
      <c r="T147" s="14"/>
    </row>
    <row r="148" spans="1:20" s="18" customFormat="1" ht="15.75">
      <c r="A148" s="149"/>
      <c r="B148" s="148"/>
      <c r="C148" s="148"/>
      <c r="D148" s="148"/>
      <c r="E148" s="148"/>
      <c r="F148" s="148"/>
      <c r="G148" s="148"/>
      <c r="H148" s="148"/>
      <c r="I148" s="76"/>
      <c r="J148" s="148"/>
      <c r="K148" s="166"/>
      <c r="L148" s="166"/>
      <c r="M148" s="166"/>
      <c r="N148" s="166"/>
      <c r="O148" s="166"/>
      <c r="P148" s="14"/>
      <c r="Q148" s="14"/>
      <c r="R148" s="14"/>
      <c r="S148" s="14"/>
      <c r="T148" s="14"/>
    </row>
    <row r="149" spans="1:20" s="18" customFormat="1" ht="15.75">
      <c r="A149" s="149"/>
      <c r="B149" s="148"/>
      <c r="C149" s="148"/>
      <c r="D149" s="148"/>
      <c r="E149" s="148"/>
      <c r="F149" s="148"/>
      <c r="G149" s="148"/>
      <c r="H149" s="148"/>
      <c r="I149" s="76"/>
      <c r="J149" s="148"/>
      <c r="K149" s="166"/>
      <c r="L149" s="166"/>
      <c r="M149" s="166"/>
      <c r="N149" s="166"/>
      <c r="O149" s="166"/>
      <c r="P149" s="14"/>
      <c r="Q149" s="14"/>
      <c r="R149" s="14"/>
      <c r="S149" s="14"/>
      <c r="T149" s="14"/>
    </row>
    <row r="150" spans="1:20" s="18" customFormat="1" ht="15.75">
      <c r="A150" s="149"/>
      <c r="B150" s="148"/>
      <c r="C150" s="148"/>
      <c r="D150" s="148"/>
      <c r="E150" s="148"/>
      <c r="F150" s="148"/>
      <c r="G150" s="148"/>
      <c r="H150" s="148"/>
      <c r="I150" s="76"/>
      <c r="J150" s="148"/>
      <c r="K150" s="166"/>
      <c r="L150" s="166"/>
      <c r="M150" s="166"/>
      <c r="N150" s="166"/>
      <c r="O150" s="166"/>
      <c r="P150" s="14"/>
      <c r="Q150" s="14"/>
      <c r="R150" s="14"/>
      <c r="S150" s="14"/>
      <c r="T150" s="14"/>
    </row>
    <row r="151" spans="1:20" s="18" customFormat="1" ht="15.75">
      <c r="A151" s="149"/>
      <c r="B151" s="148"/>
      <c r="C151" s="148"/>
      <c r="D151" s="148"/>
      <c r="E151" s="148"/>
      <c r="F151" s="148"/>
      <c r="G151" s="148"/>
      <c r="H151" s="148"/>
      <c r="I151" s="76"/>
      <c r="J151" s="148"/>
      <c r="K151" s="166"/>
      <c r="L151" s="166"/>
      <c r="M151" s="166"/>
      <c r="N151" s="166"/>
      <c r="O151" s="166"/>
      <c r="P151" s="14"/>
      <c r="Q151" s="14"/>
      <c r="R151" s="14"/>
      <c r="S151" s="14"/>
      <c r="T151" s="14"/>
    </row>
    <row r="152" spans="1:20" s="18" customFormat="1" ht="15.75">
      <c r="A152" s="149"/>
      <c r="B152" s="148"/>
      <c r="C152" s="148"/>
      <c r="D152" s="148"/>
      <c r="E152" s="148"/>
      <c r="F152" s="148"/>
      <c r="G152" s="148"/>
      <c r="H152" s="148"/>
      <c r="I152" s="76"/>
      <c r="J152" s="148"/>
      <c r="K152" s="166"/>
      <c r="L152" s="166"/>
      <c r="M152" s="166"/>
      <c r="N152" s="166"/>
      <c r="O152" s="166"/>
      <c r="P152" s="14"/>
      <c r="Q152" s="14"/>
      <c r="R152" s="14"/>
      <c r="S152" s="14"/>
      <c r="T152" s="14"/>
    </row>
    <row r="153" spans="1:20" s="18" customFormat="1" ht="15.75">
      <c r="A153" s="149"/>
      <c r="B153" s="148"/>
      <c r="C153" s="148"/>
      <c r="D153" s="148"/>
      <c r="E153" s="148"/>
      <c r="F153" s="148"/>
      <c r="G153" s="148"/>
      <c r="H153" s="148"/>
      <c r="I153" s="76"/>
      <c r="J153" s="148"/>
      <c r="K153" s="166"/>
      <c r="L153" s="166"/>
      <c r="M153" s="166"/>
      <c r="N153" s="166"/>
      <c r="O153" s="166"/>
      <c r="P153" s="14"/>
      <c r="Q153" s="14"/>
      <c r="R153" s="14"/>
      <c r="S153" s="14"/>
      <c r="T153" s="14"/>
    </row>
    <row r="154" spans="1:20" s="18" customFormat="1" ht="15.75">
      <c r="A154" s="149"/>
      <c r="B154" s="148"/>
      <c r="C154" s="148"/>
      <c r="D154" s="148"/>
      <c r="E154" s="148"/>
      <c r="F154" s="148"/>
      <c r="G154" s="148"/>
      <c r="H154" s="148"/>
      <c r="I154" s="76"/>
      <c r="J154" s="148"/>
      <c r="K154" s="166"/>
      <c r="L154" s="166"/>
      <c r="M154" s="166"/>
      <c r="N154" s="166"/>
      <c r="O154" s="166"/>
      <c r="P154" s="14"/>
      <c r="Q154" s="14"/>
      <c r="R154" s="14"/>
      <c r="S154" s="14"/>
      <c r="T154" s="14"/>
    </row>
    <row r="155" spans="1:20" s="18" customFormat="1" ht="15.75">
      <c r="A155" s="149"/>
      <c r="B155" s="148"/>
      <c r="C155" s="148"/>
      <c r="D155" s="148"/>
      <c r="E155" s="148"/>
      <c r="F155" s="148"/>
      <c r="G155" s="148"/>
      <c r="H155" s="148"/>
      <c r="I155" s="76"/>
      <c r="J155" s="148"/>
      <c r="K155" s="166"/>
      <c r="L155" s="166"/>
      <c r="M155" s="166"/>
      <c r="N155" s="166"/>
      <c r="O155" s="166"/>
      <c r="P155" s="14"/>
      <c r="Q155" s="14"/>
      <c r="R155" s="14"/>
      <c r="S155" s="14"/>
      <c r="T155" s="14"/>
    </row>
    <row r="156" spans="1:20" s="18" customFormat="1" ht="15.75">
      <c r="A156" s="149"/>
      <c r="B156" s="148"/>
      <c r="C156" s="148"/>
      <c r="D156" s="148"/>
      <c r="E156" s="148"/>
      <c r="F156" s="148"/>
      <c r="G156" s="148"/>
      <c r="H156" s="148"/>
      <c r="I156" s="76"/>
      <c r="J156" s="148"/>
      <c r="K156" s="166"/>
      <c r="L156" s="166"/>
      <c r="M156" s="166"/>
      <c r="N156" s="166"/>
      <c r="O156" s="166"/>
      <c r="P156" s="14"/>
      <c r="Q156" s="14"/>
      <c r="R156" s="14"/>
      <c r="S156" s="14"/>
      <c r="T156" s="14"/>
    </row>
    <row r="157" spans="1:20" s="18" customFormat="1" ht="15.75">
      <c r="A157" s="149"/>
      <c r="B157" s="148"/>
      <c r="C157" s="148"/>
      <c r="D157" s="148"/>
      <c r="E157" s="148"/>
      <c r="F157" s="148"/>
      <c r="G157" s="148"/>
      <c r="H157" s="148"/>
      <c r="I157" s="76"/>
      <c r="J157" s="148"/>
      <c r="K157" s="166"/>
      <c r="L157" s="166"/>
      <c r="M157" s="166"/>
      <c r="N157" s="166"/>
      <c r="O157" s="166"/>
      <c r="P157" s="14"/>
      <c r="Q157" s="14"/>
      <c r="R157" s="14"/>
      <c r="S157" s="14"/>
      <c r="T157" s="14"/>
    </row>
    <row r="158" spans="1:20" s="18" customFormat="1" ht="15.75">
      <c r="A158" s="149"/>
      <c r="B158" s="148"/>
      <c r="C158" s="148"/>
      <c r="D158" s="148"/>
      <c r="E158" s="148"/>
      <c r="F158" s="148"/>
      <c r="G158" s="148"/>
      <c r="H158" s="148"/>
      <c r="I158" s="76"/>
      <c r="J158" s="148"/>
      <c r="K158" s="166"/>
      <c r="L158" s="166"/>
      <c r="M158" s="166"/>
      <c r="N158" s="166"/>
      <c r="O158" s="166"/>
      <c r="P158" s="14"/>
      <c r="Q158" s="14"/>
      <c r="R158" s="14"/>
      <c r="S158" s="14"/>
      <c r="T158" s="14"/>
    </row>
    <row r="159" spans="1:20" s="18" customFormat="1" ht="15.75">
      <c r="A159" s="149"/>
      <c r="B159" s="148"/>
      <c r="C159" s="148"/>
      <c r="D159" s="148"/>
      <c r="E159" s="148"/>
      <c r="F159" s="148"/>
      <c r="G159" s="148"/>
      <c r="H159" s="148"/>
      <c r="I159" s="76"/>
      <c r="J159" s="148"/>
      <c r="K159" s="166"/>
      <c r="L159" s="166"/>
      <c r="M159" s="166"/>
      <c r="N159" s="166"/>
      <c r="O159" s="166"/>
      <c r="P159" s="14"/>
      <c r="Q159" s="14"/>
      <c r="R159" s="14"/>
      <c r="S159" s="14"/>
      <c r="T159" s="14"/>
    </row>
    <row r="160" spans="1:20" s="18" customFormat="1" ht="15.75">
      <c r="A160" s="149"/>
      <c r="B160" s="148"/>
      <c r="C160" s="148"/>
      <c r="D160" s="148"/>
      <c r="E160" s="148"/>
      <c r="F160" s="148"/>
      <c r="G160" s="148"/>
      <c r="H160" s="148"/>
      <c r="I160" s="76"/>
      <c r="J160" s="148"/>
      <c r="K160" s="166"/>
      <c r="L160" s="166"/>
      <c r="M160" s="166"/>
      <c r="N160" s="166"/>
      <c r="O160" s="166"/>
      <c r="P160" s="14"/>
      <c r="Q160" s="14"/>
      <c r="R160" s="14"/>
      <c r="S160" s="14"/>
      <c r="T160" s="14"/>
    </row>
    <row r="161" spans="1:20" s="18" customFormat="1" ht="15.75">
      <c r="A161" s="149"/>
      <c r="B161" s="148"/>
      <c r="C161" s="148"/>
      <c r="D161" s="148"/>
      <c r="E161" s="148"/>
      <c r="F161" s="148"/>
      <c r="G161" s="148"/>
      <c r="H161" s="148"/>
      <c r="I161" s="76"/>
      <c r="J161" s="148"/>
      <c r="K161" s="166"/>
      <c r="L161" s="166"/>
      <c r="M161" s="166"/>
      <c r="N161" s="166"/>
      <c r="O161" s="166"/>
      <c r="P161" s="14"/>
      <c r="Q161" s="14"/>
      <c r="R161" s="14"/>
      <c r="S161" s="14"/>
      <c r="T161" s="14"/>
    </row>
    <row r="162" spans="1:20" s="18" customFormat="1" ht="15.75">
      <c r="A162" s="149"/>
      <c r="B162" s="148"/>
      <c r="C162" s="148"/>
      <c r="D162" s="148"/>
      <c r="E162" s="148"/>
      <c r="F162" s="148"/>
      <c r="G162" s="148"/>
      <c r="H162" s="148"/>
      <c r="I162" s="76"/>
      <c r="J162" s="148"/>
      <c r="K162" s="166"/>
      <c r="L162" s="166"/>
      <c r="M162" s="166"/>
      <c r="N162" s="166"/>
      <c r="O162" s="166"/>
      <c r="P162" s="14"/>
      <c r="Q162" s="14"/>
      <c r="R162" s="14"/>
      <c r="S162" s="14"/>
      <c r="T162" s="14"/>
    </row>
    <row r="163" spans="1:20" s="18" customFormat="1" ht="15.75">
      <c r="A163" s="149"/>
      <c r="B163" s="148"/>
      <c r="C163" s="148"/>
      <c r="D163" s="148"/>
      <c r="E163" s="148"/>
      <c r="F163" s="148"/>
      <c r="G163" s="148"/>
      <c r="H163" s="148"/>
      <c r="I163" s="76"/>
      <c r="J163" s="148"/>
      <c r="K163" s="166"/>
      <c r="L163" s="166"/>
      <c r="M163" s="166"/>
      <c r="N163" s="166"/>
      <c r="O163" s="166"/>
      <c r="P163" s="14"/>
      <c r="Q163" s="14"/>
      <c r="R163" s="14"/>
      <c r="S163" s="14"/>
      <c r="T163" s="14"/>
    </row>
    <row r="164" spans="1:20" s="18" customFormat="1" ht="15.75">
      <c r="A164" s="149"/>
      <c r="B164" s="148"/>
      <c r="C164" s="148"/>
      <c r="D164" s="148"/>
      <c r="E164" s="148"/>
      <c r="F164" s="148"/>
      <c r="G164" s="148"/>
      <c r="H164" s="148"/>
      <c r="I164" s="76"/>
      <c r="J164" s="148"/>
      <c r="K164" s="166"/>
      <c r="L164" s="166"/>
      <c r="M164" s="166"/>
      <c r="N164" s="166"/>
      <c r="O164" s="166"/>
      <c r="P164" s="14"/>
      <c r="Q164" s="14"/>
      <c r="R164" s="14"/>
      <c r="S164" s="14"/>
      <c r="T164" s="14"/>
    </row>
    <row r="165" spans="1:20" s="18" customFormat="1" ht="15.75">
      <c r="A165" s="149"/>
      <c r="B165" s="148"/>
      <c r="C165" s="148"/>
      <c r="D165" s="148"/>
      <c r="E165" s="148"/>
      <c r="F165" s="148"/>
      <c r="G165" s="148"/>
      <c r="H165" s="148"/>
      <c r="I165" s="76"/>
      <c r="J165" s="148"/>
      <c r="K165" s="166"/>
      <c r="L165" s="166"/>
      <c r="M165" s="166"/>
      <c r="N165" s="166"/>
      <c r="O165" s="166"/>
      <c r="P165" s="14"/>
      <c r="Q165" s="14"/>
      <c r="R165" s="14"/>
      <c r="S165" s="14"/>
      <c r="T165" s="14"/>
    </row>
    <row r="166" spans="1:20" s="18" customFormat="1" ht="15.75">
      <c r="A166" s="149"/>
      <c r="B166" s="148"/>
      <c r="C166" s="148"/>
      <c r="D166" s="148"/>
      <c r="E166" s="148"/>
      <c r="F166" s="148"/>
      <c r="G166" s="148"/>
      <c r="H166" s="148"/>
      <c r="I166" s="76"/>
      <c r="J166" s="148"/>
      <c r="K166" s="166"/>
      <c r="L166" s="166"/>
      <c r="M166" s="166"/>
      <c r="N166" s="166"/>
      <c r="O166" s="166"/>
      <c r="P166" s="14"/>
      <c r="Q166" s="14"/>
      <c r="R166" s="14"/>
      <c r="S166" s="14"/>
      <c r="T166" s="14"/>
    </row>
    <row r="167" spans="1:20" s="18" customFormat="1" ht="15.75">
      <c r="A167" s="149"/>
      <c r="B167" s="148"/>
      <c r="C167" s="148"/>
      <c r="D167" s="148"/>
      <c r="E167" s="148"/>
      <c r="F167" s="148"/>
      <c r="G167" s="148"/>
      <c r="H167" s="148"/>
      <c r="I167" s="76"/>
      <c r="J167" s="148"/>
      <c r="K167" s="166"/>
      <c r="L167" s="166"/>
      <c r="M167" s="166"/>
      <c r="N167" s="166"/>
      <c r="O167" s="166"/>
      <c r="P167" s="14"/>
      <c r="Q167" s="14"/>
      <c r="R167" s="14"/>
      <c r="S167" s="14"/>
      <c r="T167" s="14"/>
    </row>
    <row r="168" spans="1:20" s="18" customFormat="1" ht="15.75">
      <c r="A168" s="149"/>
      <c r="B168" s="148"/>
      <c r="C168" s="148"/>
      <c r="D168" s="148"/>
      <c r="E168" s="148"/>
      <c r="F168" s="148"/>
      <c r="G168" s="148"/>
      <c r="H168" s="148"/>
      <c r="I168" s="76"/>
      <c r="J168" s="148"/>
      <c r="K168" s="166"/>
      <c r="L168" s="166"/>
      <c r="M168" s="166"/>
      <c r="N168" s="166"/>
      <c r="O168" s="166"/>
      <c r="P168" s="14"/>
      <c r="Q168" s="14"/>
      <c r="R168" s="14"/>
      <c r="S168" s="14"/>
      <c r="T168" s="14"/>
    </row>
    <row r="169" spans="1:20" s="18" customFormat="1" ht="15.75">
      <c r="A169" s="149"/>
      <c r="B169" s="148"/>
      <c r="C169" s="148"/>
      <c r="D169" s="148"/>
      <c r="E169" s="148"/>
      <c r="F169" s="148"/>
      <c r="G169" s="148"/>
      <c r="H169" s="148"/>
      <c r="I169" s="76"/>
      <c r="J169" s="148"/>
      <c r="K169" s="166"/>
      <c r="L169" s="166"/>
      <c r="M169" s="166"/>
      <c r="N169" s="166"/>
      <c r="O169" s="166"/>
      <c r="P169" s="14"/>
      <c r="Q169" s="14"/>
      <c r="R169" s="14"/>
      <c r="S169" s="14"/>
      <c r="T169" s="14"/>
    </row>
    <row r="170" spans="1:20" s="18" customFormat="1" ht="15.75">
      <c r="A170" s="149"/>
      <c r="B170" s="148"/>
      <c r="C170" s="148"/>
      <c r="D170" s="148"/>
      <c r="E170" s="148"/>
      <c r="F170" s="148"/>
      <c r="G170" s="148"/>
      <c r="H170" s="148"/>
      <c r="I170" s="76"/>
      <c r="J170" s="148"/>
      <c r="K170" s="166"/>
      <c r="L170" s="166"/>
      <c r="M170" s="166"/>
      <c r="N170" s="166"/>
      <c r="O170" s="166"/>
      <c r="P170" s="14"/>
      <c r="Q170" s="14"/>
      <c r="R170" s="14"/>
      <c r="S170" s="14"/>
      <c r="T170" s="14"/>
    </row>
    <row r="171" spans="1:20" s="18" customFormat="1" ht="15.75">
      <c r="A171" s="149"/>
      <c r="B171" s="148"/>
      <c r="C171" s="148"/>
      <c r="D171" s="148"/>
      <c r="E171" s="148"/>
      <c r="F171" s="148"/>
      <c r="G171" s="148"/>
      <c r="H171" s="148"/>
      <c r="I171" s="76"/>
      <c r="J171" s="148"/>
      <c r="K171" s="166"/>
      <c r="L171" s="166"/>
      <c r="M171" s="166"/>
      <c r="N171" s="166"/>
      <c r="O171" s="166"/>
      <c r="P171" s="14"/>
      <c r="Q171" s="14"/>
      <c r="R171" s="14"/>
      <c r="S171" s="14"/>
      <c r="T171" s="14"/>
    </row>
    <row r="172" spans="1:20" s="18" customFormat="1" ht="15.75">
      <c r="A172" s="149"/>
      <c r="B172" s="148"/>
      <c r="C172" s="148"/>
      <c r="D172" s="148"/>
      <c r="E172" s="148"/>
      <c r="F172" s="148"/>
      <c r="G172" s="148"/>
      <c r="H172" s="148"/>
      <c r="I172" s="76"/>
      <c r="J172" s="148"/>
      <c r="K172" s="166"/>
      <c r="L172" s="166"/>
      <c r="M172" s="166"/>
      <c r="N172" s="166"/>
      <c r="O172" s="166"/>
      <c r="P172" s="14"/>
      <c r="Q172" s="14"/>
      <c r="R172" s="14"/>
      <c r="S172" s="14"/>
      <c r="T172" s="14"/>
    </row>
    <row r="173" spans="1:20" s="18" customFormat="1" ht="15.75">
      <c r="A173" s="149"/>
      <c r="B173" s="148"/>
      <c r="C173" s="148"/>
      <c r="D173" s="148"/>
      <c r="E173" s="148"/>
      <c r="F173" s="148"/>
      <c r="G173" s="148"/>
      <c r="H173" s="148"/>
      <c r="I173" s="76"/>
      <c r="J173" s="148"/>
      <c r="K173" s="166"/>
      <c r="L173" s="166"/>
      <c r="M173" s="166"/>
      <c r="N173" s="166"/>
      <c r="O173" s="166"/>
      <c r="P173" s="14"/>
      <c r="Q173" s="14"/>
      <c r="R173" s="14"/>
      <c r="S173" s="14"/>
      <c r="T173" s="14"/>
    </row>
    <row r="174" spans="1:20" s="18" customFormat="1" ht="15.75">
      <c r="A174" s="149"/>
      <c r="B174" s="148"/>
      <c r="C174" s="148"/>
      <c r="D174" s="148"/>
      <c r="E174" s="148"/>
      <c r="F174" s="148"/>
      <c r="G174" s="148"/>
      <c r="H174" s="148"/>
      <c r="I174" s="76"/>
      <c r="J174" s="148"/>
      <c r="K174" s="166"/>
      <c r="L174" s="166"/>
      <c r="M174" s="166"/>
      <c r="N174" s="166"/>
      <c r="O174" s="166"/>
      <c r="P174" s="14"/>
      <c r="Q174" s="14"/>
      <c r="R174" s="14"/>
      <c r="S174" s="14"/>
      <c r="T174" s="14"/>
    </row>
    <row r="175" spans="1:20" s="18" customFormat="1" ht="15.75">
      <c r="A175" s="149"/>
      <c r="B175" s="148"/>
      <c r="C175" s="148"/>
      <c r="D175" s="148"/>
      <c r="E175" s="148"/>
      <c r="F175" s="148"/>
      <c r="G175" s="148"/>
      <c r="H175" s="148"/>
      <c r="I175" s="76"/>
      <c r="J175" s="148"/>
      <c r="K175" s="166"/>
      <c r="L175" s="166"/>
      <c r="M175" s="166"/>
      <c r="N175" s="166"/>
      <c r="O175" s="166"/>
      <c r="P175" s="14"/>
      <c r="Q175" s="14"/>
      <c r="R175" s="14"/>
      <c r="S175" s="14"/>
      <c r="T175" s="14"/>
    </row>
    <row r="176" spans="1:20" s="18" customFormat="1" ht="15.75">
      <c r="A176" s="149"/>
      <c r="B176" s="148"/>
      <c r="C176" s="148"/>
      <c r="D176" s="148"/>
      <c r="E176" s="148"/>
      <c r="F176" s="148"/>
      <c r="G176" s="148"/>
      <c r="H176" s="148"/>
      <c r="I176" s="76"/>
      <c r="J176" s="148"/>
      <c r="K176" s="166"/>
      <c r="L176" s="166"/>
      <c r="M176" s="166"/>
      <c r="N176" s="166"/>
      <c r="O176" s="166"/>
      <c r="P176" s="14"/>
      <c r="Q176" s="14"/>
      <c r="R176" s="14"/>
      <c r="S176" s="14"/>
      <c r="T176" s="14"/>
    </row>
    <row r="177" spans="1:20" s="18" customFormat="1" ht="15.75">
      <c r="A177" s="149"/>
      <c r="B177" s="148"/>
      <c r="C177" s="148"/>
      <c r="D177" s="148"/>
      <c r="E177" s="148"/>
      <c r="F177" s="148"/>
      <c r="G177" s="148"/>
      <c r="H177" s="148"/>
      <c r="I177" s="76"/>
      <c r="J177" s="148"/>
      <c r="K177" s="166"/>
      <c r="L177" s="166"/>
      <c r="M177" s="166"/>
      <c r="N177" s="166"/>
      <c r="O177" s="166"/>
      <c r="P177" s="14"/>
      <c r="Q177" s="14"/>
      <c r="R177" s="14"/>
      <c r="S177" s="14"/>
      <c r="T177" s="14"/>
    </row>
    <row r="178" spans="1:20" s="18" customFormat="1" ht="15.75">
      <c r="A178" s="149"/>
      <c r="B178" s="148"/>
      <c r="C178" s="148"/>
      <c r="D178" s="148"/>
      <c r="E178" s="148"/>
      <c r="F178" s="148"/>
      <c r="G178" s="148"/>
      <c r="H178" s="148"/>
      <c r="I178" s="76"/>
      <c r="J178" s="148"/>
      <c r="K178" s="166"/>
      <c r="L178" s="166"/>
      <c r="M178" s="166"/>
      <c r="N178" s="166"/>
      <c r="O178" s="166"/>
      <c r="P178" s="14"/>
      <c r="Q178" s="14"/>
      <c r="R178" s="14"/>
      <c r="S178" s="14"/>
      <c r="T178" s="14"/>
    </row>
    <row r="179" spans="1:20" s="18" customFormat="1" ht="15.75">
      <c r="A179" s="149"/>
      <c r="B179" s="148"/>
      <c r="C179" s="148"/>
      <c r="D179" s="148"/>
      <c r="E179" s="148"/>
      <c r="F179" s="148"/>
      <c r="G179" s="148"/>
      <c r="H179" s="148"/>
      <c r="I179" s="76"/>
      <c r="J179" s="148"/>
      <c r="K179" s="166"/>
      <c r="L179" s="166"/>
      <c r="M179" s="166"/>
      <c r="N179" s="166"/>
      <c r="O179" s="166"/>
      <c r="P179" s="14"/>
      <c r="Q179" s="14"/>
      <c r="R179" s="14"/>
      <c r="S179" s="14"/>
      <c r="T179" s="14"/>
    </row>
    <row r="180" spans="1:20" s="18" customFormat="1" ht="15.75">
      <c r="A180" s="149"/>
      <c r="B180" s="148"/>
      <c r="C180" s="148"/>
      <c r="D180" s="148"/>
      <c r="E180" s="148"/>
      <c r="F180" s="148"/>
      <c r="G180" s="148"/>
      <c r="H180" s="148"/>
      <c r="I180" s="76"/>
      <c r="J180" s="148"/>
      <c r="K180" s="166"/>
      <c r="L180" s="166"/>
      <c r="M180" s="166"/>
      <c r="N180" s="166"/>
      <c r="O180" s="166"/>
      <c r="P180" s="14"/>
      <c r="Q180" s="14"/>
      <c r="R180" s="14"/>
      <c r="S180" s="14"/>
      <c r="T180" s="14"/>
    </row>
    <row r="181" spans="1:20" s="18" customFormat="1" ht="15.75">
      <c r="A181" s="149"/>
      <c r="B181" s="148"/>
      <c r="C181" s="148"/>
      <c r="D181" s="148"/>
      <c r="E181" s="148"/>
      <c r="F181" s="148"/>
      <c r="G181" s="148"/>
      <c r="H181" s="148"/>
      <c r="I181" s="76"/>
      <c r="J181" s="148"/>
      <c r="K181" s="166"/>
      <c r="L181" s="166"/>
      <c r="M181" s="166"/>
      <c r="N181" s="166"/>
      <c r="O181" s="166"/>
      <c r="P181" s="14"/>
      <c r="Q181" s="14"/>
      <c r="R181" s="14"/>
      <c r="S181" s="14"/>
      <c r="T181" s="14"/>
    </row>
    <row r="182" spans="1:20" s="18" customFormat="1" ht="15.75">
      <c r="A182" s="149"/>
      <c r="B182" s="148"/>
      <c r="C182" s="148"/>
      <c r="D182" s="148"/>
      <c r="E182" s="148"/>
      <c r="F182" s="148"/>
      <c r="G182" s="148"/>
      <c r="H182" s="148"/>
      <c r="I182" s="76"/>
      <c r="J182" s="148"/>
      <c r="K182" s="166"/>
      <c r="L182" s="166"/>
      <c r="M182" s="166"/>
      <c r="N182" s="166"/>
      <c r="O182" s="166"/>
      <c r="P182" s="14"/>
      <c r="Q182" s="14"/>
      <c r="R182" s="14"/>
      <c r="S182" s="14"/>
      <c r="T182" s="14"/>
    </row>
    <row r="183" spans="1:20" s="18" customFormat="1" ht="15.75">
      <c r="A183" s="149"/>
      <c r="B183" s="148"/>
      <c r="C183" s="148"/>
      <c r="D183" s="148"/>
      <c r="E183" s="148"/>
      <c r="F183" s="148"/>
      <c r="G183" s="148"/>
      <c r="H183" s="148"/>
      <c r="I183" s="76"/>
      <c r="J183" s="148"/>
      <c r="K183" s="166"/>
      <c r="L183" s="166"/>
      <c r="M183" s="166"/>
      <c r="N183" s="166"/>
      <c r="O183" s="166"/>
      <c r="P183" s="14"/>
      <c r="Q183" s="14"/>
      <c r="R183" s="14"/>
      <c r="S183" s="14"/>
      <c r="T183" s="14"/>
    </row>
    <row r="184" spans="1:20" s="18" customFormat="1" ht="15.75">
      <c r="A184" s="149"/>
      <c r="B184" s="148"/>
      <c r="C184" s="148"/>
      <c r="D184" s="148"/>
      <c r="E184" s="148"/>
      <c r="F184" s="148"/>
      <c r="G184" s="148"/>
      <c r="H184" s="148"/>
      <c r="I184" s="76"/>
      <c r="J184" s="148"/>
      <c r="K184" s="166"/>
      <c r="L184" s="166"/>
      <c r="M184" s="166"/>
      <c r="N184" s="166"/>
      <c r="O184" s="166"/>
      <c r="P184" s="14"/>
      <c r="Q184" s="14"/>
      <c r="R184" s="14"/>
      <c r="S184" s="14"/>
      <c r="T184" s="14"/>
    </row>
    <row r="185" spans="1:20" s="18" customFormat="1" ht="15.75">
      <c r="A185" s="149"/>
      <c r="B185" s="148"/>
      <c r="C185" s="148"/>
      <c r="D185" s="148"/>
      <c r="E185" s="148"/>
      <c r="F185" s="148"/>
      <c r="G185" s="148"/>
      <c r="H185" s="148"/>
      <c r="I185" s="76"/>
      <c r="J185" s="148"/>
      <c r="K185" s="166"/>
      <c r="L185" s="166"/>
      <c r="M185" s="166"/>
      <c r="N185" s="166"/>
      <c r="O185" s="166"/>
      <c r="P185" s="14"/>
      <c r="Q185" s="14"/>
      <c r="R185" s="14"/>
      <c r="S185" s="14"/>
      <c r="T185" s="14"/>
    </row>
    <row r="186" spans="1:20" s="18" customFormat="1" ht="15.75">
      <c r="A186" s="149"/>
      <c r="B186" s="148"/>
      <c r="C186" s="148"/>
      <c r="D186" s="148"/>
      <c r="E186" s="148"/>
      <c r="F186" s="148"/>
      <c r="G186" s="148"/>
      <c r="H186" s="148"/>
      <c r="I186" s="76"/>
      <c r="J186" s="148"/>
      <c r="K186" s="166"/>
      <c r="L186" s="166"/>
      <c r="M186" s="166"/>
      <c r="N186" s="166"/>
      <c r="O186" s="166"/>
      <c r="P186" s="14"/>
      <c r="Q186" s="14"/>
      <c r="R186" s="14"/>
      <c r="S186" s="14"/>
      <c r="T186" s="14"/>
    </row>
    <row r="187" spans="1:20" s="18" customFormat="1" ht="15.75">
      <c r="A187" s="149"/>
      <c r="B187" s="148"/>
      <c r="C187" s="148"/>
      <c r="D187" s="148"/>
      <c r="E187" s="148"/>
      <c r="F187" s="148"/>
      <c r="G187" s="148"/>
      <c r="H187" s="148"/>
      <c r="I187" s="76"/>
      <c r="J187" s="148"/>
      <c r="K187" s="166"/>
      <c r="L187" s="166"/>
      <c r="M187" s="166"/>
      <c r="N187" s="166"/>
      <c r="O187" s="166"/>
      <c r="P187" s="14"/>
      <c r="Q187" s="14"/>
      <c r="R187" s="14"/>
      <c r="S187" s="14"/>
      <c r="T187" s="14"/>
    </row>
    <row r="188" spans="1:20" s="18" customFormat="1" ht="15.75">
      <c r="A188" s="149"/>
      <c r="B188" s="148"/>
      <c r="C188" s="148"/>
      <c r="D188" s="148"/>
      <c r="E188" s="148"/>
      <c r="F188" s="148"/>
      <c r="G188" s="148"/>
      <c r="H188" s="148"/>
      <c r="I188" s="76"/>
      <c r="J188" s="148"/>
      <c r="K188" s="166"/>
      <c r="L188" s="166"/>
      <c r="M188" s="166"/>
      <c r="N188" s="166"/>
      <c r="O188" s="166"/>
      <c r="P188" s="14"/>
      <c r="Q188" s="14"/>
      <c r="R188" s="14"/>
      <c r="S188" s="14"/>
      <c r="T188" s="14"/>
    </row>
    <row r="189" spans="1:20" s="18" customFormat="1" ht="15.75">
      <c r="A189" s="149"/>
      <c r="B189" s="148"/>
      <c r="C189" s="148"/>
      <c r="D189" s="148"/>
      <c r="E189" s="148"/>
      <c r="F189" s="148"/>
      <c r="G189" s="148"/>
      <c r="H189" s="148"/>
      <c r="I189" s="76"/>
      <c r="J189" s="148"/>
      <c r="K189" s="166"/>
      <c r="L189" s="166"/>
      <c r="M189" s="166"/>
      <c r="N189" s="166"/>
      <c r="O189" s="166"/>
      <c r="P189" s="14"/>
      <c r="Q189" s="14"/>
      <c r="R189" s="14"/>
      <c r="S189" s="14"/>
      <c r="T189" s="14"/>
    </row>
    <row r="190" spans="1:20" s="18" customFormat="1" ht="15.75">
      <c r="A190" s="149"/>
      <c r="B190" s="148"/>
      <c r="C190" s="148"/>
      <c r="D190" s="148"/>
      <c r="E190" s="148"/>
      <c r="F190" s="148"/>
      <c r="G190" s="148"/>
      <c r="H190" s="148"/>
      <c r="I190" s="76"/>
      <c r="J190" s="148"/>
      <c r="K190" s="166"/>
      <c r="L190" s="166"/>
      <c r="M190" s="166"/>
      <c r="N190" s="166"/>
      <c r="O190" s="166"/>
      <c r="P190" s="14"/>
      <c r="Q190" s="14"/>
      <c r="R190" s="14"/>
      <c r="S190" s="14"/>
      <c r="T190" s="14"/>
    </row>
    <row r="191" spans="1:20" s="18" customFormat="1" ht="15.75">
      <c r="A191" s="149"/>
      <c r="B191" s="148"/>
      <c r="C191" s="148"/>
      <c r="D191" s="148"/>
      <c r="E191" s="148"/>
      <c r="F191" s="148"/>
      <c r="G191" s="148"/>
      <c r="H191" s="148"/>
      <c r="I191" s="76"/>
      <c r="J191" s="148"/>
      <c r="K191" s="166"/>
      <c r="L191" s="166"/>
      <c r="M191" s="166"/>
      <c r="N191" s="166"/>
      <c r="O191" s="166"/>
      <c r="P191" s="14"/>
      <c r="Q191" s="14"/>
      <c r="R191" s="14"/>
      <c r="S191" s="14"/>
      <c r="T191" s="14"/>
    </row>
    <row r="192" spans="1:20" s="18" customFormat="1" ht="15.75">
      <c r="A192" s="149"/>
      <c r="B192" s="148"/>
      <c r="C192" s="148"/>
      <c r="D192" s="148"/>
      <c r="E192" s="148"/>
      <c r="F192" s="148"/>
      <c r="G192" s="148"/>
      <c r="H192" s="148"/>
      <c r="I192" s="76"/>
      <c r="J192" s="148"/>
      <c r="K192" s="166"/>
      <c r="L192" s="166"/>
      <c r="M192" s="166"/>
      <c r="N192" s="166"/>
      <c r="O192" s="166"/>
      <c r="P192" s="14"/>
      <c r="Q192" s="14"/>
      <c r="R192" s="14"/>
      <c r="S192" s="14"/>
      <c r="T192" s="14"/>
    </row>
    <row r="193" spans="1:20" s="18" customFormat="1" ht="15.75">
      <c r="A193" s="149"/>
      <c r="B193" s="148"/>
      <c r="C193" s="148"/>
      <c r="D193" s="148"/>
      <c r="E193" s="148"/>
      <c r="F193" s="148"/>
      <c r="G193" s="148"/>
      <c r="H193" s="148"/>
      <c r="I193" s="76"/>
      <c r="J193" s="148"/>
      <c r="K193" s="166"/>
      <c r="L193" s="166"/>
      <c r="M193" s="166"/>
      <c r="N193" s="166"/>
      <c r="O193" s="166"/>
      <c r="P193" s="14"/>
      <c r="Q193" s="14"/>
      <c r="R193" s="14"/>
      <c r="S193" s="14"/>
      <c r="T193" s="14"/>
    </row>
    <row r="194" spans="1:20" s="18" customFormat="1" ht="15.75">
      <c r="A194" s="149"/>
      <c r="B194" s="148"/>
      <c r="C194" s="148"/>
      <c r="D194" s="148"/>
      <c r="E194" s="148"/>
      <c r="F194" s="148"/>
      <c r="G194" s="148"/>
      <c r="H194" s="148"/>
      <c r="I194" s="76"/>
      <c r="J194" s="148"/>
      <c r="K194" s="166"/>
      <c r="L194" s="166"/>
      <c r="M194" s="166"/>
      <c r="N194" s="166"/>
      <c r="O194" s="166"/>
      <c r="P194" s="14"/>
      <c r="Q194" s="14"/>
      <c r="R194" s="14"/>
      <c r="S194" s="14"/>
      <c r="T194" s="14"/>
    </row>
    <row r="195" spans="1:20" s="18" customFormat="1" ht="15.75">
      <c r="A195" s="149"/>
      <c r="B195" s="148"/>
      <c r="C195" s="148"/>
      <c r="D195" s="148"/>
      <c r="E195" s="148"/>
      <c r="F195" s="148"/>
      <c r="G195" s="148"/>
      <c r="H195" s="148"/>
      <c r="I195" s="76"/>
      <c r="J195" s="148"/>
      <c r="K195" s="166"/>
      <c r="L195" s="166"/>
      <c r="M195" s="166"/>
      <c r="N195" s="166"/>
      <c r="O195" s="166"/>
      <c r="P195" s="14"/>
      <c r="Q195" s="14"/>
      <c r="R195" s="14"/>
      <c r="S195" s="14"/>
      <c r="T195" s="14"/>
    </row>
    <row r="196" spans="1:20" s="18" customFormat="1" ht="15.75">
      <c r="A196" s="149"/>
      <c r="B196" s="148"/>
      <c r="C196" s="148"/>
      <c r="D196" s="148"/>
      <c r="E196" s="148"/>
      <c r="F196" s="148"/>
      <c r="G196" s="148"/>
      <c r="H196" s="148"/>
      <c r="I196" s="76"/>
      <c r="J196" s="148"/>
      <c r="K196" s="166"/>
      <c r="L196" s="166"/>
      <c r="M196" s="166"/>
      <c r="N196" s="166"/>
      <c r="O196" s="166"/>
      <c r="P196" s="14"/>
      <c r="Q196" s="14"/>
      <c r="R196" s="14"/>
      <c r="S196" s="14"/>
      <c r="T196" s="14"/>
    </row>
    <row r="197" spans="1:20" s="18" customFormat="1" ht="15.75">
      <c r="A197" s="149"/>
      <c r="B197" s="148"/>
      <c r="C197" s="148"/>
      <c r="D197" s="148"/>
      <c r="E197" s="148"/>
      <c r="F197" s="148"/>
      <c r="G197" s="148"/>
      <c r="H197" s="148"/>
      <c r="I197" s="76"/>
      <c r="J197" s="148"/>
      <c r="K197" s="166"/>
      <c r="L197" s="166"/>
      <c r="M197" s="166"/>
      <c r="N197" s="166"/>
      <c r="O197" s="166"/>
      <c r="P197" s="14"/>
      <c r="Q197" s="14"/>
      <c r="R197" s="14"/>
      <c r="S197" s="14"/>
      <c r="T197" s="14"/>
    </row>
    <row r="198" spans="1:20" s="18" customFormat="1" ht="15.75">
      <c r="A198" s="149"/>
      <c r="B198" s="148"/>
      <c r="C198" s="148"/>
      <c r="D198" s="148"/>
      <c r="E198" s="148"/>
      <c r="F198" s="148"/>
      <c r="G198" s="148"/>
      <c r="H198" s="148"/>
      <c r="I198" s="76"/>
      <c r="J198" s="148"/>
      <c r="K198" s="166"/>
      <c r="L198" s="166"/>
      <c r="M198" s="166"/>
      <c r="N198" s="166"/>
      <c r="O198" s="166"/>
      <c r="P198" s="14"/>
      <c r="Q198" s="14"/>
      <c r="R198" s="14"/>
      <c r="S198" s="14"/>
      <c r="T198" s="14"/>
    </row>
    <row r="199" spans="1:20" s="18" customFormat="1" ht="15.75">
      <c r="A199" s="149"/>
      <c r="B199" s="148"/>
      <c r="C199" s="148"/>
      <c r="D199" s="148"/>
      <c r="E199" s="148"/>
      <c r="F199" s="148"/>
      <c r="G199" s="148"/>
      <c r="H199" s="148"/>
      <c r="I199" s="76"/>
      <c r="J199" s="148"/>
      <c r="K199" s="166"/>
      <c r="L199" s="166"/>
      <c r="M199" s="166"/>
      <c r="N199" s="166"/>
      <c r="O199" s="166"/>
      <c r="P199" s="14"/>
      <c r="Q199" s="14"/>
      <c r="R199" s="14"/>
      <c r="S199" s="14"/>
      <c r="T199" s="14"/>
    </row>
    <row r="200" spans="1:20" s="18" customFormat="1" ht="15.75">
      <c r="A200" s="149"/>
      <c r="B200" s="148"/>
      <c r="C200" s="148"/>
      <c r="D200" s="148"/>
      <c r="E200" s="148"/>
      <c r="F200" s="148"/>
      <c r="G200" s="148"/>
      <c r="H200" s="148"/>
      <c r="I200" s="76"/>
      <c r="J200" s="148"/>
      <c r="K200" s="166"/>
      <c r="L200" s="166"/>
      <c r="M200" s="166"/>
      <c r="N200" s="166"/>
      <c r="O200" s="166"/>
      <c r="P200" s="14"/>
      <c r="Q200" s="14"/>
      <c r="R200" s="14"/>
      <c r="S200" s="14"/>
      <c r="T200" s="14"/>
    </row>
    <row r="201" spans="1:20" s="18" customFormat="1" ht="15.75">
      <c r="A201" s="149"/>
      <c r="B201" s="148"/>
      <c r="C201" s="148"/>
      <c r="D201" s="148"/>
      <c r="E201" s="148"/>
      <c r="F201" s="148"/>
      <c r="G201" s="148"/>
      <c r="H201" s="148"/>
      <c r="I201" s="76"/>
      <c r="J201" s="148"/>
      <c r="K201" s="166"/>
      <c r="L201" s="166"/>
      <c r="M201" s="166"/>
      <c r="N201" s="166"/>
      <c r="O201" s="166"/>
      <c r="P201" s="14"/>
      <c r="Q201" s="14"/>
      <c r="R201" s="14"/>
      <c r="S201" s="14"/>
      <c r="T201" s="14"/>
    </row>
    <row r="202" spans="1:20" s="18" customFormat="1" ht="15.75">
      <c r="A202" s="149"/>
      <c r="B202" s="148"/>
      <c r="C202" s="148"/>
      <c r="D202" s="148"/>
      <c r="E202" s="148"/>
      <c r="F202" s="148"/>
      <c r="G202" s="148"/>
      <c r="H202" s="148"/>
      <c r="I202" s="76"/>
      <c r="J202" s="148"/>
      <c r="K202" s="166"/>
      <c r="L202" s="166"/>
      <c r="M202" s="166"/>
      <c r="N202" s="166"/>
      <c r="O202" s="166"/>
      <c r="P202" s="14"/>
      <c r="Q202" s="14"/>
      <c r="R202" s="14"/>
      <c r="S202" s="14"/>
      <c r="T202" s="14"/>
    </row>
    <row r="203" spans="1:20" s="18" customFormat="1" ht="15.75">
      <c r="A203" s="149"/>
      <c r="B203" s="148"/>
      <c r="C203" s="148"/>
      <c r="D203" s="148"/>
      <c r="E203" s="148"/>
      <c r="F203" s="148"/>
      <c r="G203" s="148"/>
      <c r="H203" s="148"/>
      <c r="I203" s="76"/>
      <c r="J203" s="148"/>
      <c r="K203" s="166"/>
      <c r="L203" s="166"/>
      <c r="M203" s="166"/>
      <c r="N203" s="166"/>
      <c r="O203" s="166"/>
      <c r="P203" s="14"/>
      <c r="Q203" s="14"/>
      <c r="R203" s="14"/>
      <c r="S203" s="14"/>
      <c r="T203" s="14"/>
    </row>
    <row r="204" spans="1:20" s="18" customFormat="1" ht="15.75">
      <c r="A204" s="149"/>
      <c r="B204" s="148"/>
      <c r="C204" s="148"/>
      <c r="D204" s="148"/>
      <c r="E204" s="148"/>
      <c r="F204" s="148"/>
      <c r="G204" s="148"/>
      <c r="H204" s="148"/>
      <c r="I204" s="76"/>
      <c r="J204" s="148"/>
      <c r="K204" s="166"/>
      <c r="L204" s="166"/>
      <c r="M204" s="166"/>
      <c r="N204" s="166"/>
      <c r="O204" s="166"/>
      <c r="P204" s="14"/>
      <c r="Q204" s="14"/>
      <c r="R204" s="14"/>
      <c r="S204" s="14"/>
      <c r="T204" s="14"/>
    </row>
    <row r="205" spans="1:20" s="18" customFormat="1" ht="15.75">
      <c r="A205" s="149"/>
      <c r="B205" s="148"/>
      <c r="C205" s="148"/>
      <c r="D205" s="148"/>
      <c r="E205" s="148"/>
      <c r="F205" s="148"/>
      <c r="G205" s="148"/>
      <c r="H205" s="148"/>
      <c r="I205" s="76"/>
      <c r="J205" s="148"/>
      <c r="K205" s="166"/>
      <c r="L205" s="166"/>
      <c r="M205" s="166"/>
      <c r="N205" s="166"/>
      <c r="O205" s="166"/>
      <c r="P205" s="14"/>
      <c r="Q205" s="14"/>
      <c r="R205" s="14"/>
      <c r="S205" s="14"/>
      <c r="T205" s="14"/>
    </row>
    <row r="206" spans="1:20" s="18" customFormat="1" ht="15.75">
      <c r="A206" s="149"/>
      <c r="B206" s="148"/>
      <c r="C206" s="148"/>
      <c r="D206" s="148"/>
      <c r="E206" s="148"/>
      <c r="F206" s="148"/>
      <c r="G206" s="148"/>
      <c r="H206" s="148"/>
      <c r="I206" s="76"/>
      <c r="J206" s="148"/>
      <c r="K206" s="166"/>
      <c r="L206" s="166"/>
      <c r="M206" s="166"/>
      <c r="N206" s="166"/>
      <c r="O206" s="166"/>
      <c r="P206" s="14"/>
      <c r="Q206" s="14"/>
      <c r="R206" s="14"/>
      <c r="S206" s="14"/>
      <c r="T206" s="14"/>
    </row>
    <row r="207" spans="1:20" s="18" customFormat="1" ht="15.75">
      <c r="A207" s="149"/>
      <c r="B207" s="148"/>
      <c r="C207" s="148"/>
      <c r="D207" s="148"/>
      <c r="E207" s="148"/>
      <c r="F207" s="148"/>
      <c r="G207" s="148"/>
      <c r="H207" s="148"/>
      <c r="I207" s="76"/>
      <c r="J207" s="148"/>
      <c r="K207" s="166"/>
      <c r="L207" s="166"/>
      <c r="M207" s="166"/>
      <c r="N207" s="166"/>
      <c r="O207" s="166"/>
      <c r="P207" s="14"/>
      <c r="Q207" s="14"/>
      <c r="R207" s="14"/>
      <c r="S207" s="14"/>
      <c r="T207" s="14"/>
    </row>
    <row r="208" spans="1:20" s="18" customFormat="1" ht="15.75">
      <c r="A208" s="149"/>
      <c r="B208" s="148"/>
      <c r="C208" s="148"/>
      <c r="D208" s="148"/>
      <c r="E208" s="148"/>
      <c r="F208" s="148"/>
      <c r="G208" s="148"/>
      <c r="H208" s="148"/>
      <c r="I208" s="76"/>
      <c r="J208" s="148"/>
      <c r="K208" s="166"/>
      <c r="L208" s="166"/>
      <c r="M208" s="166"/>
      <c r="N208" s="166"/>
      <c r="O208" s="166"/>
      <c r="P208" s="14"/>
      <c r="Q208" s="14"/>
      <c r="R208" s="14"/>
      <c r="S208" s="14"/>
      <c r="T208" s="14"/>
    </row>
    <row r="209" spans="1:20" s="18" customFormat="1" ht="15.75">
      <c r="A209" s="149"/>
      <c r="B209" s="148"/>
      <c r="C209" s="148"/>
      <c r="D209" s="148"/>
      <c r="E209" s="148"/>
      <c r="F209" s="148"/>
      <c r="G209" s="148"/>
      <c r="H209" s="148"/>
      <c r="I209" s="76"/>
      <c r="J209" s="148"/>
      <c r="K209" s="166"/>
      <c r="L209" s="166"/>
      <c r="M209" s="166"/>
      <c r="N209" s="166"/>
      <c r="O209" s="166"/>
      <c r="P209" s="14"/>
      <c r="Q209" s="14"/>
      <c r="R209" s="14"/>
      <c r="S209" s="14"/>
      <c r="T209" s="14"/>
    </row>
    <row r="210" spans="1:20" s="18" customFormat="1" ht="15.75">
      <c r="A210" s="149"/>
      <c r="B210" s="148"/>
      <c r="C210" s="148"/>
      <c r="D210" s="148"/>
      <c r="E210" s="148"/>
      <c r="F210" s="148"/>
      <c r="G210" s="148"/>
      <c r="H210" s="148"/>
      <c r="I210" s="76"/>
      <c r="J210" s="148"/>
      <c r="K210" s="166"/>
      <c r="L210" s="166"/>
      <c r="M210" s="166"/>
      <c r="N210" s="166"/>
      <c r="O210" s="166"/>
      <c r="P210" s="14"/>
      <c r="Q210" s="14"/>
      <c r="R210" s="14"/>
      <c r="S210" s="14"/>
      <c r="T210" s="14"/>
    </row>
    <row r="211" spans="1:20" s="18" customFormat="1" ht="15.75">
      <c r="A211" s="149"/>
      <c r="B211" s="148"/>
      <c r="C211" s="148"/>
      <c r="D211" s="148"/>
      <c r="E211" s="148"/>
      <c r="F211" s="148"/>
      <c r="G211" s="148"/>
      <c r="H211" s="148"/>
      <c r="I211" s="76"/>
      <c r="J211" s="148"/>
      <c r="K211" s="166"/>
      <c r="L211" s="166"/>
      <c r="M211" s="166"/>
      <c r="N211" s="166"/>
      <c r="O211" s="166"/>
      <c r="P211" s="14"/>
      <c r="Q211" s="14"/>
      <c r="R211" s="14"/>
      <c r="S211" s="14"/>
      <c r="T211" s="14"/>
    </row>
    <row r="212" spans="1:20" s="18" customFormat="1" ht="15.75">
      <c r="A212" s="149"/>
      <c r="B212" s="148"/>
      <c r="C212" s="148"/>
      <c r="D212" s="148"/>
      <c r="E212" s="148"/>
      <c r="F212" s="148"/>
      <c r="G212" s="148"/>
      <c r="H212" s="148"/>
      <c r="I212" s="76"/>
      <c r="J212" s="148"/>
      <c r="K212" s="166"/>
      <c r="L212" s="166"/>
      <c r="M212" s="166"/>
      <c r="N212" s="166"/>
      <c r="O212" s="166"/>
      <c r="P212" s="14"/>
      <c r="Q212" s="14"/>
      <c r="R212" s="14"/>
      <c r="S212" s="14"/>
      <c r="T212" s="14"/>
    </row>
    <row r="213" spans="1:20" s="18" customFormat="1" ht="15.75">
      <c r="A213" s="149"/>
      <c r="B213" s="148"/>
      <c r="C213" s="148"/>
      <c r="D213" s="148"/>
      <c r="E213" s="148"/>
      <c r="F213" s="148"/>
      <c r="G213" s="148"/>
      <c r="H213" s="148"/>
      <c r="I213" s="76"/>
      <c r="J213" s="148"/>
      <c r="K213" s="166"/>
      <c r="L213" s="166"/>
      <c r="M213" s="166"/>
      <c r="N213" s="166"/>
      <c r="O213" s="166"/>
      <c r="P213" s="14"/>
      <c r="Q213" s="14"/>
      <c r="R213" s="14"/>
      <c r="S213" s="14"/>
      <c r="T213" s="14"/>
    </row>
    <row r="214" spans="1:20" s="18" customFormat="1" ht="15.75">
      <c r="A214" s="149"/>
      <c r="B214" s="148"/>
      <c r="C214" s="148"/>
      <c r="D214" s="148"/>
      <c r="E214" s="148"/>
      <c r="F214" s="148"/>
      <c r="G214" s="148"/>
      <c r="H214" s="148"/>
      <c r="I214" s="76"/>
      <c r="J214" s="148"/>
      <c r="K214" s="166"/>
      <c r="L214" s="166"/>
      <c r="M214" s="166"/>
      <c r="N214" s="166"/>
      <c r="O214" s="166"/>
      <c r="P214" s="14"/>
      <c r="Q214" s="14"/>
      <c r="R214" s="14"/>
      <c r="S214" s="14"/>
      <c r="T214" s="14"/>
    </row>
    <row r="215" spans="1:20" s="18" customFormat="1" ht="15.75">
      <c r="A215" s="149"/>
      <c r="B215" s="148"/>
      <c r="C215" s="148"/>
      <c r="D215" s="148"/>
      <c r="E215" s="148"/>
      <c r="F215" s="148"/>
      <c r="G215" s="148"/>
      <c r="H215" s="148"/>
      <c r="I215" s="76"/>
      <c r="J215" s="148"/>
      <c r="K215" s="166"/>
      <c r="L215" s="166"/>
      <c r="M215" s="166"/>
      <c r="N215" s="166"/>
      <c r="O215" s="166"/>
      <c r="P215" s="14"/>
      <c r="Q215" s="14"/>
      <c r="R215" s="14"/>
      <c r="S215" s="14"/>
      <c r="T215" s="14"/>
    </row>
    <row r="216" spans="1:20" s="18" customFormat="1" ht="15.75">
      <c r="A216" s="149"/>
      <c r="B216" s="148"/>
      <c r="C216" s="148"/>
      <c r="D216" s="148"/>
      <c r="E216" s="148"/>
      <c r="F216" s="148"/>
      <c r="G216" s="148"/>
      <c r="H216" s="148"/>
      <c r="I216" s="76"/>
      <c r="J216" s="148"/>
      <c r="K216" s="166"/>
      <c r="L216" s="166"/>
      <c r="M216" s="166"/>
      <c r="N216" s="166"/>
      <c r="O216" s="166"/>
      <c r="P216" s="14"/>
      <c r="Q216" s="14"/>
      <c r="R216" s="14"/>
      <c r="S216" s="14"/>
      <c r="T216" s="14"/>
    </row>
    <row r="217" spans="1:20" s="18" customFormat="1" ht="15.75">
      <c r="A217" s="149"/>
      <c r="B217" s="148"/>
      <c r="C217" s="148"/>
      <c r="D217" s="148"/>
      <c r="E217" s="148"/>
      <c r="F217" s="148"/>
      <c r="G217" s="148"/>
      <c r="H217" s="148"/>
      <c r="I217" s="76"/>
      <c r="J217" s="148"/>
      <c r="K217" s="166"/>
      <c r="L217" s="166"/>
      <c r="M217" s="166"/>
      <c r="N217" s="166"/>
      <c r="O217" s="166"/>
      <c r="P217" s="14"/>
      <c r="Q217" s="14"/>
      <c r="R217" s="14"/>
      <c r="S217" s="14"/>
      <c r="T217" s="14"/>
    </row>
    <row r="218" spans="1:20" s="18" customFormat="1" ht="15.75">
      <c r="A218" s="149"/>
      <c r="B218" s="148"/>
      <c r="C218" s="148"/>
      <c r="D218" s="148"/>
      <c r="E218" s="148"/>
      <c r="F218" s="148"/>
      <c r="G218" s="148"/>
      <c r="H218" s="148"/>
      <c r="I218" s="76"/>
      <c r="J218" s="148"/>
      <c r="K218" s="166"/>
      <c r="L218" s="166"/>
      <c r="M218" s="166"/>
      <c r="N218" s="166"/>
      <c r="O218" s="166"/>
      <c r="P218" s="14"/>
      <c r="Q218" s="14"/>
      <c r="R218" s="14"/>
      <c r="S218" s="14"/>
      <c r="T218" s="14"/>
    </row>
    <row r="219" spans="1:20" s="18" customFormat="1" ht="15.75">
      <c r="A219" s="149"/>
      <c r="B219" s="148"/>
      <c r="C219" s="148"/>
      <c r="D219" s="148"/>
      <c r="E219" s="148"/>
      <c r="F219" s="148"/>
      <c r="G219" s="148"/>
      <c r="H219" s="148"/>
      <c r="I219" s="76"/>
      <c r="J219" s="148"/>
      <c r="K219" s="166"/>
      <c r="L219" s="166"/>
      <c r="M219" s="166"/>
      <c r="N219" s="166"/>
      <c r="O219" s="166"/>
      <c r="P219" s="14"/>
      <c r="Q219" s="14"/>
      <c r="R219" s="14"/>
      <c r="S219" s="14"/>
      <c r="T219" s="14"/>
    </row>
    <row r="220" spans="1:20" s="18" customFormat="1" ht="15.75">
      <c r="A220" s="149"/>
      <c r="B220" s="148"/>
      <c r="C220" s="148"/>
      <c r="D220" s="148"/>
      <c r="E220" s="148"/>
      <c r="F220" s="148"/>
      <c r="G220" s="148"/>
      <c r="H220" s="148"/>
      <c r="I220" s="76"/>
      <c r="J220" s="148"/>
      <c r="K220" s="166"/>
      <c r="L220" s="166"/>
      <c r="M220" s="166"/>
      <c r="N220" s="166"/>
      <c r="O220" s="166"/>
      <c r="P220" s="14"/>
      <c r="Q220" s="14"/>
      <c r="R220" s="14"/>
      <c r="S220" s="14"/>
      <c r="T220" s="14"/>
    </row>
    <row r="221" spans="1:20" s="18" customFormat="1" ht="15.75">
      <c r="A221" s="149"/>
      <c r="B221" s="148"/>
      <c r="C221" s="148"/>
      <c r="D221" s="148"/>
      <c r="E221" s="148"/>
      <c r="F221" s="148"/>
      <c r="G221" s="148"/>
      <c r="H221" s="148"/>
      <c r="I221" s="76"/>
      <c r="J221" s="148"/>
      <c r="K221" s="166"/>
      <c r="L221" s="166"/>
      <c r="M221" s="166"/>
      <c r="N221" s="166"/>
      <c r="O221" s="166"/>
      <c r="P221" s="14"/>
      <c r="Q221" s="14"/>
      <c r="R221" s="14"/>
      <c r="S221" s="14"/>
      <c r="T221" s="14"/>
    </row>
    <row r="222" spans="1:20" s="18" customFormat="1" ht="15.75">
      <c r="A222" s="149"/>
      <c r="B222" s="148"/>
      <c r="C222" s="148"/>
      <c r="D222" s="148"/>
      <c r="E222" s="148"/>
      <c r="F222" s="148"/>
      <c r="G222" s="148"/>
      <c r="H222" s="148"/>
      <c r="I222" s="76"/>
      <c r="J222" s="148"/>
      <c r="K222" s="166"/>
      <c r="L222" s="166"/>
      <c r="M222" s="166"/>
      <c r="N222" s="166"/>
      <c r="O222" s="166"/>
      <c r="P222" s="14"/>
      <c r="Q222" s="14"/>
      <c r="R222" s="14"/>
      <c r="S222" s="14"/>
      <c r="T222" s="14"/>
    </row>
    <row r="223" spans="1:20" s="18" customFormat="1" ht="15.75">
      <c r="A223" s="149"/>
      <c r="B223" s="148"/>
      <c r="C223" s="148"/>
      <c r="D223" s="148"/>
      <c r="E223" s="148"/>
      <c r="F223" s="148"/>
      <c r="G223" s="148"/>
      <c r="H223" s="148"/>
      <c r="I223" s="76"/>
      <c r="J223" s="148"/>
      <c r="K223" s="166"/>
      <c r="L223" s="166"/>
      <c r="M223" s="166"/>
      <c r="N223" s="166"/>
      <c r="O223" s="166"/>
      <c r="P223" s="14"/>
      <c r="Q223" s="14"/>
      <c r="R223" s="14"/>
      <c r="S223" s="14"/>
      <c r="T223" s="14"/>
    </row>
    <row r="224" spans="1:20" s="18" customFormat="1" ht="15.75">
      <c r="A224" s="149"/>
      <c r="B224" s="148"/>
      <c r="C224" s="148"/>
      <c r="D224" s="148"/>
      <c r="E224" s="148"/>
      <c r="F224" s="148"/>
      <c r="G224" s="148"/>
      <c r="H224" s="148"/>
      <c r="I224" s="76"/>
      <c r="J224" s="148"/>
      <c r="K224" s="166"/>
      <c r="L224" s="166"/>
      <c r="M224" s="166"/>
      <c r="N224" s="166"/>
      <c r="O224" s="166"/>
      <c r="P224" s="14"/>
      <c r="Q224" s="14"/>
      <c r="R224" s="14"/>
      <c r="S224" s="14"/>
      <c r="T224" s="14"/>
    </row>
    <row r="225" spans="1:20" s="18" customFormat="1" ht="15.75">
      <c r="A225" s="149"/>
      <c r="B225" s="148"/>
      <c r="C225" s="148"/>
      <c r="D225" s="148"/>
      <c r="E225" s="148"/>
      <c r="F225" s="148"/>
      <c r="G225" s="148"/>
      <c r="H225" s="148"/>
      <c r="I225" s="76"/>
      <c r="J225" s="148"/>
      <c r="K225" s="166"/>
      <c r="L225" s="166"/>
      <c r="M225" s="166"/>
      <c r="N225" s="166"/>
      <c r="O225" s="166"/>
      <c r="P225" s="14"/>
      <c r="Q225" s="14"/>
      <c r="R225" s="14"/>
      <c r="S225" s="14"/>
      <c r="T225" s="14"/>
    </row>
    <row r="226" spans="1:20" s="18" customFormat="1" ht="15.75">
      <c r="A226" s="149"/>
      <c r="B226" s="148"/>
      <c r="C226" s="148"/>
      <c r="D226" s="148"/>
      <c r="E226" s="148"/>
      <c r="F226" s="148"/>
      <c r="G226" s="148"/>
      <c r="H226" s="148"/>
      <c r="I226" s="76"/>
      <c r="J226" s="148"/>
      <c r="K226" s="166"/>
      <c r="L226" s="166"/>
      <c r="M226" s="166"/>
      <c r="N226" s="166"/>
      <c r="O226" s="166"/>
      <c r="P226" s="14"/>
      <c r="Q226" s="14"/>
      <c r="R226" s="14"/>
      <c r="S226" s="14"/>
      <c r="T226" s="14"/>
    </row>
    <row r="227" spans="1:20" s="18" customFormat="1" ht="15.75">
      <c r="A227" s="149"/>
      <c r="B227" s="148"/>
      <c r="C227" s="148"/>
      <c r="D227" s="148"/>
      <c r="E227" s="148"/>
      <c r="F227" s="148"/>
      <c r="G227" s="148"/>
      <c r="H227" s="148"/>
      <c r="I227" s="76"/>
      <c r="J227" s="148"/>
      <c r="K227" s="166"/>
      <c r="L227" s="166"/>
      <c r="M227" s="166"/>
      <c r="N227" s="166"/>
      <c r="O227" s="166"/>
      <c r="P227" s="14"/>
      <c r="Q227" s="14"/>
      <c r="R227" s="14"/>
      <c r="S227" s="14"/>
      <c r="T227" s="14"/>
    </row>
    <row r="228" spans="1:20" s="18" customFormat="1" ht="15.75">
      <c r="A228" s="149"/>
      <c r="B228" s="148"/>
      <c r="C228" s="148"/>
      <c r="D228" s="148"/>
      <c r="E228" s="148"/>
      <c r="F228" s="148"/>
      <c r="G228" s="148"/>
      <c r="H228" s="148"/>
      <c r="I228" s="76"/>
      <c r="J228" s="148"/>
      <c r="K228" s="166"/>
      <c r="L228" s="166"/>
      <c r="M228" s="166"/>
      <c r="N228" s="166"/>
      <c r="O228" s="166"/>
      <c r="P228" s="14"/>
      <c r="Q228" s="14"/>
      <c r="R228" s="14"/>
      <c r="S228" s="14"/>
      <c r="T228" s="14"/>
    </row>
    <row r="229" spans="1:20" s="18" customFormat="1" ht="15.75">
      <c r="A229" s="149"/>
      <c r="B229" s="148"/>
      <c r="C229" s="148"/>
      <c r="D229" s="148"/>
      <c r="E229" s="148"/>
      <c r="F229" s="148"/>
      <c r="G229" s="148"/>
      <c r="H229" s="148"/>
      <c r="I229" s="76"/>
      <c r="J229" s="148"/>
      <c r="K229" s="166"/>
      <c r="L229" s="166"/>
      <c r="M229" s="166"/>
      <c r="N229" s="166"/>
      <c r="O229" s="166"/>
      <c r="P229" s="14"/>
      <c r="Q229" s="14"/>
      <c r="R229" s="14"/>
      <c r="S229" s="14"/>
      <c r="T229" s="14"/>
    </row>
    <row r="230" spans="1:20" s="18" customFormat="1" ht="15.75">
      <c r="A230" s="149"/>
      <c r="B230" s="148"/>
      <c r="C230" s="148"/>
      <c r="D230" s="148"/>
      <c r="E230" s="148"/>
      <c r="F230" s="148"/>
      <c r="G230" s="148"/>
      <c r="H230" s="148"/>
      <c r="I230" s="76"/>
      <c r="J230" s="148"/>
      <c r="K230" s="166"/>
      <c r="L230" s="166"/>
      <c r="M230" s="166"/>
      <c r="N230" s="166"/>
      <c r="O230" s="166"/>
      <c r="P230" s="14"/>
      <c r="Q230" s="14"/>
      <c r="R230" s="14"/>
      <c r="S230" s="14"/>
      <c r="T230" s="14"/>
    </row>
    <row r="231" spans="1:20" s="18" customFormat="1" ht="15.75">
      <c r="A231" s="149"/>
      <c r="B231" s="148"/>
      <c r="C231" s="148"/>
      <c r="D231" s="148"/>
      <c r="E231" s="148"/>
      <c r="F231" s="148"/>
      <c r="G231" s="148"/>
      <c r="H231" s="148"/>
      <c r="I231" s="76"/>
      <c r="J231" s="148"/>
      <c r="K231" s="166"/>
      <c r="L231" s="166"/>
      <c r="M231" s="166"/>
      <c r="N231" s="166"/>
      <c r="O231" s="166"/>
      <c r="P231" s="14"/>
      <c r="Q231" s="14"/>
      <c r="R231" s="14"/>
      <c r="S231" s="14"/>
      <c r="T231" s="14"/>
    </row>
    <row r="232" spans="1:20" s="18" customFormat="1" ht="15.75">
      <c r="A232" s="149"/>
      <c r="B232" s="148"/>
      <c r="C232" s="148"/>
      <c r="D232" s="148"/>
      <c r="E232" s="148"/>
      <c r="F232" s="148"/>
      <c r="G232" s="148"/>
      <c r="H232" s="148"/>
      <c r="I232" s="76"/>
      <c r="J232" s="148"/>
      <c r="K232" s="166"/>
      <c r="L232" s="166"/>
      <c r="M232" s="166"/>
      <c r="N232" s="166"/>
      <c r="O232" s="166"/>
      <c r="P232" s="14"/>
      <c r="Q232" s="14"/>
      <c r="R232" s="14"/>
      <c r="S232" s="14"/>
      <c r="T232" s="14"/>
    </row>
    <row r="233" spans="1:20" s="18" customFormat="1" ht="15.75">
      <c r="A233" s="149"/>
      <c r="B233" s="148"/>
      <c r="C233" s="148"/>
      <c r="D233" s="148"/>
      <c r="E233" s="148"/>
      <c r="F233" s="148"/>
      <c r="G233" s="148"/>
      <c r="H233" s="148"/>
      <c r="I233" s="76"/>
      <c r="J233" s="148"/>
      <c r="K233" s="166"/>
      <c r="L233" s="166"/>
      <c r="M233" s="166"/>
      <c r="N233" s="166"/>
      <c r="O233" s="166"/>
      <c r="P233" s="14"/>
      <c r="Q233" s="14"/>
      <c r="R233" s="14"/>
      <c r="S233" s="14"/>
      <c r="T233" s="14"/>
    </row>
    <row r="234" spans="1:20" s="18" customFormat="1" ht="15.75">
      <c r="A234" s="149"/>
      <c r="B234" s="148"/>
      <c r="C234" s="148"/>
      <c r="D234" s="148"/>
      <c r="E234" s="148"/>
      <c r="F234" s="148"/>
      <c r="G234" s="148"/>
      <c r="H234" s="148"/>
      <c r="I234" s="76"/>
      <c r="J234" s="148"/>
      <c r="K234" s="166"/>
      <c r="L234" s="166"/>
      <c r="M234" s="166"/>
      <c r="N234" s="166"/>
      <c r="O234" s="166"/>
      <c r="P234" s="14"/>
      <c r="Q234" s="14"/>
      <c r="R234" s="14"/>
      <c r="S234" s="14"/>
      <c r="T234" s="14"/>
    </row>
    <row r="235" spans="1:20" s="18" customFormat="1" ht="15.75">
      <c r="A235" s="149"/>
      <c r="B235" s="148"/>
      <c r="C235" s="148"/>
      <c r="D235" s="148"/>
      <c r="E235" s="148"/>
      <c r="F235" s="148"/>
      <c r="G235" s="148"/>
      <c r="H235" s="148"/>
      <c r="I235" s="76"/>
      <c r="J235" s="148"/>
      <c r="K235" s="166"/>
      <c r="L235" s="166"/>
      <c r="M235" s="166"/>
      <c r="N235" s="166"/>
      <c r="O235" s="166"/>
      <c r="P235" s="14"/>
      <c r="Q235" s="14"/>
      <c r="R235" s="14"/>
      <c r="S235" s="14"/>
      <c r="T235" s="14"/>
    </row>
    <row r="236" spans="1:20" s="18" customFormat="1" ht="15.75">
      <c r="A236" s="149"/>
      <c r="B236" s="148"/>
      <c r="C236" s="148"/>
      <c r="D236" s="148"/>
      <c r="E236" s="148"/>
      <c r="F236" s="148"/>
      <c r="G236" s="148"/>
      <c r="H236" s="148"/>
      <c r="I236" s="76"/>
      <c r="J236" s="148"/>
      <c r="K236" s="166"/>
      <c r="L236" s="166"/>
      <c r="M236" s="166"/>
      <c r="N236" s="166"/>
      <c r="O236" s="166"/>
      <c r="P236" s="14"/>
      <c r="Q236" s="14"/>
      <c r="R236" s="14"/>
      <c r="S236" s="14"/>
      <c r="T236" s="14"/>
    </row>
    <row r="237" spans="1:20" s="18" customFormat="1" ht="15.75">
      <c r="A237" s="149"/>
      <c r="B237" s="148"/>
      <c r="C237" s="148"/>
      <c r="D237" s="148"/>
      <c r="E237" s="148"/>
      <c r="F237" s="148"/>
      <c r="G237" s="148"/>
      <c r="H237" s="148"/>
      <c r="I237" s="76"/>
      <c r="J237" s="148"/>
      <c r="K237" s="166"/>
      <c r="L237" s="166"/>
      <c r="M237" s="166"/>
      <c r="N237" s="166"/>
      <c r="O237" s="166"/>
      <c r="P237" s="14"/>
      <c r="Q237" s="14"/>
      <c r="R237" s="14"/>
      <c r="S237" s="14"/>
      <c r="T237" s="14"/>
    </row>
    <row r="238" spans="1:20" s="18" customFormat="1" ht="15.75">
      <c r="A238" s="149"/>
      <c r="B238" s="148"/>
      <c r="C238" s="148"/>
      <c r="D238" s="148"/>
      <c r="E238" s="148"/>
      <c r="F238" s="148"/>
      <c r="G238" s="148"/>
      <c r="H238" s="148"/>
      <c r="I238" s="76"/>
      <c r="J238" s="148"/>
      <c r="K238" s="166"/>
      <c r="L238" s="166"/>
      <c r="M238" s="166"/>
      <c r="N238" s="166"/>
      <c r="O238" s="166"/>
      <c r="P238" s="14"/>
      <c r="Q238" s="14"/>
      <c r="R238" s="14"/>
      <c r="S238" s="14"/>
      <c r="T238" s="14"/>
    </row>
    <row r="239" spans="1:20" s="18" customFormat="1" ht="15.75">
      <c r="A239" s="149"/>
      <c r="B239" s="148"/>
      <c r="C239" s="148"/>
      <c r="D239" s="148"/>
      <c r="E239" s="148"/>
      <c r="F239" s="148"/>
      <c r="G239" s="148"/>
      <c r="H239" s="148"/>
      <c r="I239" s="76"/>
      <c r="J239" s="148"/>
      <c r="K239" s="166"/>
      <c r="L239" s="166"/>
      <c r="M239" s="166"/>
      <c r="N239" s="166"/>
      <c r="O239" s="166"/>
      <c r="P239" s="14"/>
      <c r="Q239" s="14"/>
      <c r="R239" s="14"/>
      <c r="S239" s="14"/>
      <c r="T239" s="14"/>
    </row>
    <row r="240" spans="1:20" s="18" customFormat="1" ht="15.75">
      <c r="A240" s="149"/>
      <c r="B240" s="148"/>
      <c r="C240" s="148"/>
      <c r="D240" s="148"/>
      <c r="E240" s="148"/>
      <c r="F240" s="148"/>
      <c r="G240" s="148"/>
      <c r="H240" s="148"/>
      <c r="I240" s="76"/>
      <c r="J240" s="148"/>
      <c r="K240" s="166"/>
      <c r="L240" s="166"/>
      <c r="M240" s="166"/>
      <c r="N240" s="166"/>
      <c r="O240" s="166"/>
      <c r="P240" s="14"/>
      <c r="Q240" s="14"/>
      <c r="R240" s="14"/>
      <c r="S240" s="14"/>
      <c r="T240" s="14"/>
    </row>
    <row r="241" spans="1:20" s="18" customFormat="1" ht="15.75">
      <c r="A241" s="149"/>
      <c r="B241" s="148"/>
      <c r="C241" s="148"/>
      <c r="D241" s="148"/>
      <c r="E241" s="148"/>
      <c r="F241" s="148"/>
      <c r="G241" s="148"/>
      <c r="H241" s="148"/>
      <c r="I241" s="76"/>
      <c r="J241" s="148"/>
      <c r="K241" s="166"/>
      <c r="L241" s="166"/>
      <c r="M241" s="166"/>
      <c r="N241" s="166"/>
      <c r="O241" s="166"/>
      <c r="P241" s="14"/>
      <c r="Q241" s="14"/>
      <c r="R241" s="14"/>
      <c r="S241" s="14"/>
      <c r="T241" s="14"/>
    </row>
    <row r="242" spans="1:20" s="18" customFormat="1" ht="15.75">
      <c r="A242" s="149"/>
      <c r="B242" s="148"/>
      <c r="C242" s="148"/>
      <c r="D242" s="148"/>
      <c r="E242" s="148"/>
      <c r="F242" s="148"/>
      <c r="G242" s="148"/>
      <c r="H242" s="148"/>
      <c r="I242" s="76"/>
      <c r="J242" s="148"/>
      <c r="K242" s="166"/>
      <c r="L242" s="166"/>
      <c r="M242" s="166"/>
      <c r="N242" s="166"/>
      <c r="O242" s="166"/>
      <c r="P242" s="14"/>
      <c r="Q242" s="14"/>
      <c r="R242" s="14"/>
      <c r="S242" s="14"/>
      <c r="T242" s="14"/>
    </row>
    <row r="243" spans="1:20" s="18" customFormat="1" ht="15.75">
      <c r="A243" s="149"/>
      <c r="B243" s="148"/>
      <c r="C243" s="148"/>
      <c r="D243" s="148"/>
      <c r="E243" s="148"/>
      <c r="F243" s="148"/>
      <c r="G243" s="148"/>
      <c r="H243" s="148"/>
      <c r="I243" s="76"/>
      <c r="J243" s="148"/>
      <c r="K243" s="166"/>
      <c r="L243" s="166"/>
      <c r="M243" s="166"/>
      <c r="N243" s="166"/>
      <c r="O243" s="166"/>
      <c r="P243" s="14"/>
      <c r="Q243" s="14"/>
      <c r="R243" s="14"/>
      <c r="S243" s="14"/>
      <c r="T243" s="14"/>
    </row>
    <row r="244" spans="1:20" s="18" customFormat="1" ht="15.75">
      <c r="A244" s="149"/>
      <c r="B244" s="148"/>
      <c r="C244" s="148"/>
      <c r="D244" s="148"/>
      <c r="E244" s="148"/>
      <c r="F244" s="148"/>
      <c r="G244" s="148"/>
      <c r="H244" s="148"/>
      <c r="I244" s="76"/>
      <c r="J244" s="148"/>
      <c r="K244" s="166"/>
      <c r="L244" s="166"/>
      <c r="M244" s="166"/>
      <c r="N244" s="166"/>
      <c r="O244" s="166"/>
      <c r="P244" s="14"/>
      <c r="Q244" s="14"/>
      <c r="R244" s="14"/>
      <c r="S244" s="14"/>
      <c r="T244" s="14"/>
    </row>
    <row r="245" spans="1:20" s="18" customFormat="1" ht="15.75">
      <c r="A245" s="149"/>
      <c r="B245" s="148"/>
      <c r="C245" s="148"/>
      <c r="D245" s="148"/>
      <c r="E245" s="148"/>
      <c r="F245" s="148"/>
      <c r="G245" s="148"/>
      <c r="H245" s="148"/>
      <c r="I245" s="76"/>
      <c r="J245" s="148"/>
      <c r="K245" s="166"/>
      <c r="L245" s="166"/>
      <c r="M245" s="166"/>
      <c r="N245" s="166"/>
      <c r="O245" s="166"/>
      <c r="P245" s="14"/>
      <c r="Q245" s="14"/>
      <c r="R245" s="14"/>
      <c r="S245" s="14"/>
      <c r="T245" s="14"/>
    </row>
    <row r="246" spans="1:20" s="18" customFormat="1" ht="15.75">
      <c r="A246" s="149"/>
      <c r="B246" s="148"/>
      <c r="C246" s="148"/>
      <c r="D246" s="148"/>
      <c r="E246" s="148"/>
      <c r="F246" s="148"/>
      <c r="G246" s="148"/>
      <c r="H246" s="148"/>
      <c r="I246" s="76"/>
      <c r="J246" s="148"/>
      <c r="K246" s="166"/>
      <c r="L246" s="166"/>
      <c r="M246" s="166"/>
      <c r="N246" s="166"/>
      <c r="O246" s="166"/>
      <c r="P246" s="14"/>
      <c r="Q246" s="14"/>
      <c r="R246" s="14"/>
      <c r="S246" s="14"/>
      <c r="T246" s="14"/>
    </row>
    <row r="247" spans="1:20" s="18" customFormat="1" ht="15.75">
      <c r="A247" s="149"/>
      <c r="B247" s="148"/>
      <c r="C247" s="148"/>
      <c r="D247" s="148"/>
      <c r="E247" s="148"/>
      <c r="F247" s="148"/>
      <c r="G247" s="148"/>
      <c r="H247" s="148"/>
      <c r="I247" s="76"/>
      <c r="J247" s="148"/>
      <c r="K247" s="166"/>
      <c r="L247" s="166"/>
      <c r="M247" s="166"/>
      <c r="N247" s="166"/>
      <c r="O247" s="166"/>
      <c r="P247" s="14"/>
      <c r="Q247" s="14"/>
      <c r="R247" s="14"/>
      <c r="S247" s="14"/>
      <c r="T247" s="14"/>
    </row>
    <row r="248" spans="1:20" s="18" customFormat="1" ht="15.75">
      <c r="A248" s="149"/>
      <c r="B248" s="148"/>
      <c r="C248" s="148"/>
      <c r="D248" s="148"/>
      <c r="E248" s="148"/>
      <c r="F248" s="148"/>
      <c r="G248" s="148"/>
      <c r="H248" s="148"/>
      <c r="I248" s="76"/>
      <c r="J248" s="148"/>
      <c r="K248" s="166"/>
      <c r="L248" s="166"/>
      <c r="M248" s="166"/>
      <c r="N248" s="166"/>
      <c r="O248" s="166"/>
      <c r="P248" s="14"/>
      <c r="Q248" s="14"/>
      <c r="R248" s="14"/>
      <c r="S248" s="14"/>
      <c r="T248" s="14"/>
    </row>
    <row r="249" spans="1:20" s="18" customFormat="1" ht="15.75">
      <c r="A249" s="149"/>
      <c r="B249" s="148"/>
      <c r="C249" s="148"/>
      <c r="D249" s="148"/>
      <c r="E249" s="148"/>
      <c r="F249" s="148"/>
      <c r="G249" s="148"/>
      <c r="H249" s="148"/>
      <c r="I249" s="76"/>
      <c r="J249" s="148"/>
      <c r="K249" s="166"/>
      <c r="L249" s="166"/>
      <c r="M249" s="166"/>
      <c r="N249" s="166"/>
      <c r="O249" s="166"/>
      <c r="P249" s="14"/>
      <c r="Q249" s="14"/>
      <c r="R249" s="14"/>
      <c r="S249" s="14"/>
      <c r="T249" s="14"/>
    </row>
    <row r="250" spans="1:20" s="18" customFormat="1" ht="15.75">
      <c r="A250" s="149"/>
      <c r="B250" s="148"/>
      <c r="C250" s="148"/>
      <c r="D250" s="148"/>
      <c r="E250" s="148"/>
      <c r="F250" s="148"/>
      <c r="G250" s="148"/>
      <c r="H250" s="148"/>
      <c r="I250" s="76"/>
      <c r="J250" s="148"/>
      <c r="K250" s="166"/>
      <c r="L250" s="166"/>
      <c r="M250" s="166"/>
      <c r="N250" s="166"/>
      <c r="O250" s="166"/>
      <c r="P250" s="14"/>
      <c r="Q250" s="14"/>
      <c r="R250" s="14"/>
      <c r="S250" s="14"/>
      <c r="T250" s="14"/>
    </row>
    <row r="251" spans="1:20" s="18" customFormat="1" ht="15.75">
      <c r="A251" s="149"/>
      <c r="B251" s="148"/>
      <c r="C251" s="148"/>
      <c r="D251" s="148"/>
      <c r="E251" s="148"/>
      <c r="F251" s="148"/>
      <c r="G251" s="148"/>
      <c r="H251" s="148"/>
      <c r="I251" s="76"/>
      <c r="J251" s="148"/>
      <c r="K251" s="166"/>
      <c r="L251" s="166"/>
      <c r="M251" s="166"/>
      <c r="N251" s="166"/>
      <c r="O251" s="166"/>
      <c r="P251" s="14"/>
      <c r="Q251" s="14"/>
      <c r="R251" s="14"/>
      <c r="S251" s="14"/>
      <c r="T251" s="14"/>
    </row>
    <row r="252" spans="1:20" s="18" customFormat="1" ht="15.75">
      <c r="A252" s="149"/>
      <c r="B252" s="148"/>
      <c r="C252" s="148"/>
      <c r="D252" s="148"/>
      <c r="E252" s="148"/>
      <c r="F252" s="148"/>
      <c r="G252" s="148"/>
      <c r="H252" s="148"/>
      <c r="I252" s="76"/>
      <c r="J252" s="148"/>
      <c r="K252" s="166"/>
      <c r="L252" s="166"/>
      <c r="M252" s="166"/>
      <c r="N252" s="166"/>
      <c r="O252" s="166"/>
      <c r="P252" s="14"/>
      <c r="Q252" s="14"/>
      <c r="R252" s="14"/>
      <c r="S252" s="14"/>
      <c r="T252" s="14"/>
    </row>
    <row r="253" spans="1:20" s="18" customFormat="1" ht="15.75">
      <c r="A253" s="149"/>
      <c r="B253" s="148"/>
      <c r="C253" s="148"/>
      <c r="D253" s="148"/>
      <c r="E253" s="148"/>
      <c r="F253" s="148"/>
      <c r="G253" s="148"/>
      <c r="H253" s="148"/>
      <c r="I253" s="76"/>
      <c r="J253" s="148"/>
      <c r="K253" s="166"/>
      <c r="L253" s="166"/>
      <c r="M253" s="166"/>
      <c r="N253" s="166"/>
      <c r="O253" s="166"/>
      <c r="P253" s="14"/>
      <c r="Q253" s="14"/>
      <c r="R253" s="14"/>
      <c r="S253" s="14"/>
      <c r="T253" s="14"/>
    </row>
    <row r="254" spans="1:20" s="18" customFormat="1" ht="15.75">
      <c r="A254" s="149"/>
      <c r="B254" s="148"/>
      <c r="C254" s="148"/>
      <c r="D254" s="148"/>
      <c r="E254" s="148"/>
      <c r="F254" s="148"/>
      <c r="G254" s="148"/>
      <c r="H254" s="148"/>
      <c r="I254" s="76"/>
      <c r="J254" s="148"/>
      <c r="K254" s="166"/>
      <c r="L254" s="166"/>
      <c r="M254" s="166"/>
      <c r="N254" s="166"/>
      <c r="O254" s="166"/>
      <c r="P254" s="14"/>
      <c r="Q254" s="14"/>
      <c r="R254" s="14"/>
      <c r="S254" s="14"/>
      <c r="T254" s="14"/>
    </row>
    <row r="255" spans="1:20" s="18" customFormat="1" ht="15.75">
      <c r="A255" s="149"/>
      <c r="B255" s="148"/>
      <c r="C255" s="148"/>
      <c r="D255" s="148"/>
      <c r="E255" s="148"/>
      <c r="F255" s="148"/>
      <c r="G255" s="148"/>
      <c r="H255" s="148"/>
      <c r="I255" s="76"/>
      <c r="J255" s="148"/>
      <c r="K255" s="166"/>
      <c r="L255" s="166"/>
      <c r="M255" s="166"/>
      <c r="N255" s="166"/>
      <c r="O255" s="166"/>
      <c r="P255" s="14"/>
      <c r="Q255" s="14"/>
      <c r="R255" s="14"/>
      <c r="S255" s="14"/>
      <c r="T255" s="14"/>
    </row>
    <row r="256" spans="1:20" s="18" customFormat="1" ht="15.75">
      <c r="A256" s="149"/>
      <c r="B256" s="148"/>
      <c r="C256" s="148"/>
      <c r="D256" s="148"/>
      <c r="E256" s="148"/>
      <c r="F256" s="148"/>
      <c r="G256" s="148"/>
      <c r="H256" s="148"/>
      <c r="I256" s="76"/>
      <c r="J256" s="148"/>
      <c r="K256" s="166"/>
      <c r="L256" s="166"/>
      <c r="M256" s="166"/>
      <c r="N256" s="166"/>
      <c r="O256" s="166"/>
      <c r="P256" s="14"/>
      <c r="Q256" s="14"/>
      <c r="R256" s="14"/>
      <c r="S256" s="14"/>
      <c r="T256" s="14"/>
    </row>
    <row r="257" spans="1:20" s="18" customFormat="1" ht="15.75">
      <c r="A257" s="149"/>
      <c r="B257" s="148"/>
      <c r="C257" s="148"/>
      <c r="D257" s="148"/>
      <c r="E257" s="148"/>
      <c r="F257" s="148"/>
      <c r="G257" s="148"/>
      <c r="H257" s="148"/>
      <c r="I257" s="76"/>
      <c r="J257" s="148"/>
      <c r="K257" s="166"/>
      <c r="L257" s="166"/>
      <c r="M257" s="166"/>
      <c r="N257" s="166"/>
      <c r="O257" s="166"/>
      <c r="P257" s="14"/>
      <c r="Q257" s="14"/>
      <c r="R257" s="14"/>
      <c r="S257" s="14"/>
      <c r="T257" s="14"/>
    </row>
    <row r="258" spans="1:20" s="18" customFormat="1" ht="15.75">
      <c r="A258" s="149"/>
      <c r="B258" s="148"/>
      <c r="C258" s="148"/>
      <c r="D258" s="148"/>
      <c r="E258" s="148"/>
      <c r="F258" s="148"/>
      <c r="G258" s="148"/>
      <c r="H258" s="148"/>
      <c r="I258" s="76"/>
      <c r="J258" s="148"/>
      <c r="K258" s="166"/>
      <c r="L258" s="166"/>
      <c r="M258" s="166"/>
      <c r="N258" s="166"/>
      <c r="O258" s="166"/>
      <c r="P258" s="14"/>
      <c r="Q258" s="14"/>
      <c r="R258" s="14"/>
      <c r="S258" s="14"/>
      <c r="T258" s="14"/>
    </row>
    <row r="259" spans="1:20" s="18" customFormat="1" ht="15.75">
      <c r="A259" s="149"/>
      <c r="B259" s="148"/>
      <c r="C259" s="148"/>
      <c r="D259" s="148"/>
      <c r="E259" s="148"/>
      <c r="F259" s="148"/>
      <c r="G259" s="148"/>
      <c r="H259" s="148"/>
      <c r="I259" s="76"/>
      <c r="J259" s="148"/>
      <c r="K259" s="166"/>
      <c r="L259" s="166"/>
      <c r="M259" s="166"/>
      <c r="N259" s="166"/>
      <c r="O259" s="166"/>
      <c r="P259" s="14"/>
      <c r="Q259" s="14"/>
      <c r="R259" s="14"/>
      <c r="S259" s="14"/>
      <c r="T259" s="14"/>
    </row>
    <row r="260" spans="1:20" s="18" customFormat="1" ht="15.75">
      <c r="A260" s="149"/>
      <c r="B260" s="148"/>
      <c r="C260" s="148"/>
      <c r="D260" s="148"/>
      <c r="E260" s="148"/>
      <c r="F260" s="148"/>
      <c r="G260" s="148"/>
      <c r="H260" s="148"/>
      <c r="I260" s="76"/>
      <c r="J260" s="148"/>
      <c r="K260" s="166"/>
      <c r="L260" s="166"/>
      <c r="M260" s="166"/>
      <c r="N260" s="166"/>
      <c r="O260" s="166"/>
      <c r="P260" s="14"/>
      <c r="Q260" s="14"/>
      <c r="R260" s="14"/>
      <c r="S260" s="14"/>
      <c r="T260" s="14"/>
    </row>
    <row r="261" spans="1:20" s="18" customFormat="1" ht="15.75">
      <c r="A261" s="149"/>
      <c r="B261" s="148"/>
      <c r="C261" s="148"/>
      <c r="D261" s="148"/>
      <c r="E261" s="148"/>
      <c r="F261" s="148"/>
      <c r="G261" s="148"/>
      <c r="H261" s="148"/>
      <c r="I261" s="76"/>
      <c r="J261" s="148"/>
      <c r="K261" s="166"/>
      <c r="L261" s="166"/>
      <c r="M261" s="166"/>
      <c r="N261" s="166"/>
      <c r="O261" s="166"/>
      <c r="P261" s="14"/>
      <c r="Q261" s="14"/>
      <c r="R261" s="14"/>
      <c r="S261" s="14"/>
      <c r="T261" s="14"/>
    </row>
    <row r="262" spans="1:20" s="18" customFormat="1" ht="15.75">
      <c r="A262" s="149"/>
      <c r="B262" s="148"/>
      <c r="C262" s="148"/>
      <c r="D262" s="148"/>
      <c r="E262" s="148"/>
      <c r="F262" s="148"/>
      <c r="G262" s="148"/>
      <c r="H262" s="148"/>
      <c r="I262" s="76"/>
      <c r="J262" s="148"/>
      <c r="K262" s="166"/>
      <c r="L262" s="166"/>
      <c r="M262" s="166"/>
      <c r="N262" s="166"/>
      <c r="O262" s="166"/>
      <c r="P262" s="14"/>
      <c r="Q262" s="14"/>
      <c r="R262" s="14"/>
      <c r="S262" s="14"/>
      <c r="T262" s="14"/>
    </row>
    <row r="263" spans="1:20" s="18" customFormat="1" ht="15.75">
      <c r="A263" s="149"/>
      <c r="B263" s="148"/>
      <c r="C263" s="148"/>
      <c r="D263" s="148"/>
      <c r="E263" s="148"/>
      <c r="F263" s="148"/>
      <c r="G263" s="148"/>
      <c r="H263" s="148"/>
      <c r="I263" s="76"/>
      <c r="J263" s="148"/>
      <c r="K263" s="166"/>
      <c r="L263" s="166"/>
      <c r="M263" s="166"/>
      <c r="N263" s="166"/>
      <c r="O263" s="166"/>
      <c r="P263" s="14"/>
      <c r="Q263" s="14"/>
      <c r="R263" s="14"/>
      <c r="S263" s="14"/>
      <c r="T263" s="14"/>
    </row>
    <row r="264" spans="1:20" s="18" customFormat="1" ht="15.75">
      <c r="A264" s="149"/>
      <c r="B264" s="148"/>
      <c r="C264" s="148"/>
      <c r="D264" s="148"/>
      <c r="E264" s="148"/>
      <c r="F264" s="148"/>
      <c r="G264" s="148"/>
      <c r="H264" s="148"/>
      <c r="I264" s="76"/>
      <c r="J264" s="148"/>
      <c r="K264" s="166"/>
      <c r="L264" s="166"/>
      <c r="M264" s="166"/>
      <c r="N264" s="166"/>
      <c r="O264" s="166"/>
      <c r="P264" s="14"/>
      <c r="Q264" s="14"/>
      <c r="R264" s="14"/>
      <c r="S264" s="14"/>
      <c r="T264" s="14"/>
    </row>
    <row r="265" spans="1:20" s="18" customFormat="1" ht="15.75">
      <c r="A265" s="149"/>
      <c r="B265" s="148"/>
      <c r="C265" s="148"/>
      <c r="D265" s="148"/>
      <c r="E265" s="148"/>
      <c r="F265" s="148"/>
      <c r="G265" s="148"/>
      <c r="H265" s="148"/>
      <c r="I265" s="76"/>
      <c r="J265" s="148"/>
      <c r="K265" s="166"/>
      <c r="L265" s="166"/>
      <c r="M265" s="166"/>
      <c r="N265" s="166"/>
      <c r="O265" s="166"/>
      <c r="P265" s="14"/>
      <c r="Q265" s="14"/>
      <c r="R265" s="14"/>
      <c r="S265" s="14"/>
      <c r="T265" s="14"/>
    </row>
    <row r="266" spans="1:20" s="18" customFormat="1" ht="15.75">
      <c r="A266" s="149"/>
      <c r="B266" s="148"/>
      <c r="C266" s="148"/>
      <c r="D266" s="148"/>
      <c r="E266" s="148"/>
      <c r="F266" s="148"/>
      <c r="G266" s="148"/>
      <c r="H266" s="148"/>
      <c r="I266" s="76"/>
      <c r="J266" s="148"/>
      <c r="K266" s="166"/>
      <c r="L266" s="166"/>
      <c r="M266" s="166"/>
      <c r="N266" s="166"/>
      <c r="O266" s="166"/>
      <c r="P266" s="14"/>
      <c r="Q266" s="14"/>
      <c r="R266" s="14"/>
      <c r="S266" s="14"/>
      <c r="T266" s="14"/>
    </row>
    <row r="267" spans="1:20" s="18" customFormat="1" ht="15.75">
      <c r="A267" s="149"/>
      <c r="B267" s="148"/>
      <c r="C267" s="148"/>
      <c r="D267" s="148"/>
      <c r="E267" s="148"/>
      <c r="F267" s="148"/>
      <c r="G267" s="148"/>
      <c r="H267" s="148"/>
      <c r="I267" s="76"/>
      <c r="J267" s="148"/>
      <c r="K267" s="166"/>
      <c r="L267" s="166"/>
      <c r="M267" s="166"/>
      <c r="N267" s="166"/>
      <c r="O267" s="166"/>
      <c r="P267" s="14"/>
      <c r="Q267" s="14"/>
      <c r="R267" s="14"/>
      <c r="S267" s="14"/>
      <c r="T267" s="14"/>
    </row>
    <row r="268" spans="1:20" s="18" customFormat="1" ht="15.75">
      <c r="A268" s="149"/>
      <c r="B268" s="148"/>
      <c r="C268" s="148"/>
      <c r="D268" s="148"/>
      <c r="E268" s="148"/>
      <c r="F268" s="148"/>
      <c r="G268" s="148"/>
      <c r="H268" s="148"/>
      <c r="I268" s="76"/>
      <c r="J268" s="148"/>
      <c r="K268" s="166"/>
      <c r="L268" s="166"/>
      <c r="M268" s="166"/>
      <c r="N268" s="166"/>
      <c r="O268" s="166"/>
      <c r="P268" s="14"/>
      <c r="Q268" s="14"/>
      <c r="R268" s="14"/>
      <c r="S268" s="14"/>
      <c r="T268" s="14"/>
    </row>
    <row r="269" spans="1:20" s="18" customFormat="1" ht="15.75">
      <c r="A269" s="149"/>
      <c r="B269" s="148"/>
      <c r="C269" s="148"/>
      <c r="D269" s="148"/>
      <c r="E269" s="148"/>
      <c r="F269" s="148"/>
      <c r="G269" s="148"/>
      <c r="H269" s="148"/>
      <c r="I269" s="76"/>
      <c r="J269" s="148"/>
      <c r="K269" s="166"/>
      <c r="L269" s="166"/>
      <c r="M269" s="166"/>
      <c r="N269" s="166"/>
      <c r="O269" s="166"/>
      <c r="P269" s="14"/>
      <c r="Q269" s="14"/>
      <c r="R269" s="14"/>
      <c r="S269" s="14"/>
      <c r="T269" s="14"/>
    </row>
    <row r="270" spans="1:20" s="18" customFormat="1" ht="15.75">
      <c r="A270" s="149"/>
      <c r="B270" s="148"/>
      <c r="C270" s="148"/>
      <c r="D270" s="148"/>
      <c r="E270" s="148"/>
      <c r="F270" s="148"/>
      <c r="G270" s="148"/>
      <c r="H270" s="148"/>
      <c r="I270" s="76"/>
      <c r="J270" s="148"/>
      <c r="K270" s="166"/>
      <c r="L270" s="166"/>
      <c r="M270" s="166"/>
      <c r="N270" s="166"/>
      <c r="O270" s="166"/>
      <c r="P270" s="14"/>
      <c r="Q270" s="14"/>
      <c r="R270" s="14"/>
      <c r="S270" s="14"/>
      <c r="T270" s="14"/>
    </row>
    <row r="271" spans="1:20" s="18" customFormat="1" ht="15.75">
      <c r="A271" s="149"/>
      <c r="B271" s="148"/>
      <c r="C271" s="148"/>
      <c r="D271" s="148"/>
      <c r="E271" s="148"/>
      <c r="F271" s="148"/>
      <c r="G271" s="148"/>
      <c r="H271" s="148"/>
      <c r="I271" s="76"/>
      <c r="J271" s="148"/>
      <c r="K271" s="166"/>
      <c r="L271" s="166"/>
      <c r="M271" s="166"/>
      <c r="N271" s="166"/>
      <c r="O271" s="166"/>
      <c r="P271" s="14"/>
      <c r="Q271" s="14"/>
      <c r="R271" s="14"/>
      <c r="S271" s="14"/>
      <c r="T271" s="14"/>
    </row>
    <row r="272" spans="1:20" s="18" customFormat="1" ht="15.75">
      <c r="A272" s="149"/>
      <c r="B272" s="148"/>
      <c r="C272" s="148"/>
      <c r="D272" s="148"/>
      <c r="E272" s="148"/>
      <c r="F272" s="148"/>
      <c r="G272" s="148"/>
      <c r="H272" s="148"/>
      <c r="I272" s="76"/>
      <c r="J272" s="148"/>
      <c r="K272" s="166"/>
      <c r="L272" s="166"/>
      <c r="M272" s="166"/>
      <c r="N272" s="166"/>
      <c r="O272" s="166"/>
      <c r="P272" s="14"/>
      <c r="Q272" s="14"/>
      <c r="R272" s="14"/>
      <c r="S272" s="14"/>
      <c r="T272" s="14"/>
    </row>
    <row r="273" spans="1:20" s="18" customFormat="1" ht="15.75">
      <c r="A273" s="149"/>
      <c r="B273" s="148"/>
      <c r="C273" s="148"/>
      <c r="D273" s="148"/>
      <c r="E273" s="148"/>
      <c r="F273" s="148"/>
      <c r="G273" s="148"/>
      <c r="H273" s="148"/>
      <c r="I273" s="76"/>
      <c r="J273" s="148"/>
      <c r="K273" s="166"/>
      <c r="L273" s="166"/>
      <c r="M273" s="166"/>
      <c r="N273" s="166"/>
      <c r="O273" s="166"/>
      <c r="P273" s="14"/>
      <c r="Q273" s="14"/>
      <c r="R273" s="14"/>
      <c r="S273" s="14"/>
      <c r="T273" s="14"/>
    </row>
    <row r="274" spans="1:20" s="18" customFormat="1" ht="15.75">
      <c r="A274" s="149"/>
      <c r="B274" s="148"/>
      <c r="C274" s="148"/>
      <c r="D274" s="148"/>
      <c r="E274" s="148"/>
      <c r="F274" s="148"/>
      <c r="G274" s="148"/>
      <c r="H274" s="148"/>
      <c r="I274" s="76"/>
      <c r="J274" s="148"/>
      <c r="K274" s="166"/>
      <c r="L274" s="166"/>
      <c r="M274" s="166"/>
      <c r="N274" s="166"/>
      <c r="O274" s="166"/>
      <c r="P274" s="14"/>
      <c r="Q274" s="14"/>
      <c r="R274" s="14"/>
      <c r="S274" s="14"/>
      <c r="T274" s="14"/>
    </row>
    <row r="275" spans="1:20" s="18" customFormat="1" ht="15.75">
      <c r="A275" s="149"/>
      <c r="B275" s="148"/>
      <c r="C275" s="148"/>
      <c r="D275" s="148"/>
      <c r="E275" s="148"/>
      <c r="F275" s="148"/>
      <c r="G275" s="148"/>
      <c r="H275" s="148"/>
      <c r="I275" s="76"/>
      <c r="J275" s="148"/>
      <c r="K275" s="166"/>
      <c r="L275" s="166"/>
      <c r="M275" s="166"/>
      <c r="N275" s="166"/>
      <c r="O275" s="166"/>
      <c r="P275" s="14"/>
      <c r="Q275" s="14"/>
      <c r="R275" s="14"/>
      <c r="S275" s="14"/>
      <c r="T275" s="14"/>
    </row>
    <row r="276" spans="1:20" s="18" customFormat="1" ht="15.75">
      <c r="A276" s="149"/>
      <c r="B276" s="148"/>
      <c r="C276" s="148"/>
      <c r="D276" s="148"/>
      <c r="E276" s="148"/>
      <c r="F276" s="148"/>
      <c r="G276" s="148"/>
      <c r="H276" s="148"/>
      <c r="I276" s="76"/>
      <c r="J276" s="148"/>
      <c r="K276" s="166"/>
      <c r="L276" s="166"/>
      <c r="M276" s="166"/>
      <c r="N276" s="166"/>
      <c r="O276" s="166"/>
      <c r="P276" s="14"/>
      <c r="Q276" s="14"/>
      <c r="R276" s="14"/>
      <c r="S276" s="14"/>
      <c r="T276" s="14"/>
    </row>
    <row r="277" spans="1:20" s="18" customFormat="1" ht="15.75">
      <c r="A277" s="149"/>
      <c r="B277" s="148"/>
      <c r="C277" s="148"/>
      <c r="D277" s="148"/>
      <c r="E277" s="148"/>
      <c r="F277" s="148"/>
      <c r="G277" s="148"/>
      <c r="H277" s="148"/>
      <c r="I277" s="76"/>
      <c r="J277" s="148"/>
      <c r="K277" s="166"/>
      <c r="L277" s="166"/>
      <c r="M277" s="166"/>
      <c r="N277" s="166"/>
      <c r="O277" s="166"/>
      <c r="P277" s="14"/>
      <c r="Q277" s="14"/>
      <c r="R277" s="14"/>
      <c r="S277" s="14"/>
      <c r="T277" s="14"/>
    </row>
    <row r="278" spans="1:20" s="18" customFormat="1" ht="15.75">
      <c r="A278" s="149"/>
      <c r="B278" s="148"/>
      <c r="C278" s="148"/>
      <c r="D278" s="148"/>
      <c r="E278" s="148"/>
      <c r="F278" s="148"/>
      <c r="G278" s="148"/>
      <c r="H278" s="148"/>
      <c r="I278" s="76"/>
      <c r="J278" s="148"/>
      <c r="K278" s="166"/>
      <c r="L278" s="166"/>
      <c r="M278" s="166"/>
      <c r="N278" s="166"/>
      <c r="O278" s="166"/>
      <c r="P278" s="14"/>
      <c r="Q278" s="14"/>
      <c r="R278" s="14"/>
      <c r="S278" s="14"/>
      <c r="T278" s="14"/>
    </row>
    <row r="279" spans="1:20" s="18" customFormat="1" ht="15.75">
      <c r="A279" s="149"/>
      <c r="B279" s="148"/>
      <c r="C279" s="148"/>
      <c r="D279" s="148"/>
      <c r="E279" s="148"/>
      <c r="F279" s="148"/>
      <c r="G279" s="148"/>
      <c r="H279" s="148"/>
      <c r="I279" s="76"/>
      <c r="J279" s="148"/>
      <c r="K279" s="166"/>
      <c r="L279" s="166"/>
      <c r="M279" s="166"/>
      <c r="N279" s="166"/>
      <c r="O279" s="166"/>
      <c r="P279" s="14"/>
      <c r="Q279" s="14"/>
      <c r="R279" s="14"/>
      <c r="S279" s="14"/>
      <c r="T279" s="14"/>
    </row>
    <row r="280" spans="1:20" s="18" customFormat="1" ht="15.75">
      <c r="A280" s="149"/>
      <c r="B280" s="148"/>
      <c r="C280" s="148"/>
      <c r="D280" s="148"/>
      <c r="E280" s="148"/>
      <c r="F280" s="148"/>
      <c r="G280" s="148"/>
      <c r="H280" s="148"/>
      <c r="I280" s="76"/>
      <c r="J280" s="148"/>
      <c r="K280" s="166"/>
      <c r="L280" s="166"/>
      <c r="M280" s="166"/>
      <c r="N280" s="166"/>
      <c r="O280" s="166"/>
      <c r="P280" s="14"/>
      <c r="Q280" s="14"/>
      <c r="R280" s="14"/>
      <c r="S280" s="14"/>
      <c r="T280" s="14"/>
    </row>
    <row r="281" spans="1:20" s="18" customFormat="1" ht="15.75">
      <c r="A281" s="149"/>
      <c r="B281" s="148"/>
      <c r="C281" s="148"/>
      <c r="D281" s="148"/>
      <c r="E281" s="148"/>
      <c r="F281" s="148"/>
      <c r="G281" s="148"/>
      <c r="H281" s="148"/>
      <c r="I281" s="76"/>
      <c r="J281" s="148"/>
      <c r="K281" s="166"/>
      <c r="L281" s="166"/>
      <c r="M281" s="166"/>
      <c r="N281" s="166"/>
      <c r="O281" s="166"/>
      <c r="P281" s="14"/>
      <c r="Q281" s="14"/>
      <c r="R281" s="14"/>
      <c r="S281" s="14"/>
      <c r="T281" s="14"/>
    </row>
    <row r="282" spans="1:20" s="18" customFormat="1" ht="15.75">
      <c r="A282" s="149"/>
      <c r="B282" s="148"/>
      <c r="C282" s="148"/>
      <c r="D282" s="148"/>
      <c r="E282" s="148"/>
      <c r="F282" s="148"/>
      <c r="G282" s="148"/>
      <c r="H282" s="148"/>
      <c r="I282" s="76"/>
      <c r="J282" s="148"/>
      <c r="K282" s="166"/>
      <c r="L282" s="166"/>
      <c r="M282" s="166"/>
      <c r="N282" s="166"/>
      <c r="O282" s="166"/>
      <c r="P282" s="14"/>
      <c r="Q282" s="14"/>
      <c r="R282" s="14"/>
      <c r="S282" s="14"/>
      <c r="T282" s="14"/>
    </row>
    <row r="283" spans="1:20" s="18" customFormat="1" ht="15.75">
      <c r="A283" s="149"/>
      <c r="B283" s="148"/>
      <c r="C283" s="148"/>
      <c r="D283" s="148"/>
      <c r="E283" s="148"/>
      <c r="F283" s="148"/>
      <c r="G283" s="148"/>
      <c r="H283" s="148"/>
      <c r="I283" s="76"/>
      <c r="J283" s="148"/>
      <c r="K283" s="166"/>
      <c r="L283" s="166"/>
      <c r="M283" s="166"/>
      <c r="N283" s="166"/>
      <c r="O283" s="166"/>
      <c r="P283" s="14"/>
      <c r="Q283" s="14"/>
      <c r="R283" s="14"/>
      <c r="S283" s="14"/>
      <c r="T283" s="14"/>
    </row>
    <row r="284" spans="1:20" s="18" customFormat="1" ht="15.75">
      <c r="A284" s="149"/>
      <c r="B284" s="148"/>
      <c r="C284" s="148"/>
      <c r="D284" s="148"/>
      <c r="E284" s="148"/>
      <c r="F284" s="148"/>
      <c r="G284" s="148"/>
      <c r="H284" s="148"/>
      <c r="I284" s="76"/>
      <c r="J284" s="148"/>
      <c r="K284" s="166"/>
      <c r="L284" s="166"/>
      <c r="M284" s="166"/>
      <c r="N284" s="166"/>
      <c r="O284" s="166"/>
      <c r="P284" s="14"/>
      <c r="Q284" s="14"/>
      <c r="R284" s="14"/>
      <c r="S284" s="14"/>
      <c r="T284" s="14"/>
    </row>
    <row r="285" spans="1:20" s="18" customFormat="1" ht="15.75">
      <c r="A285" s="149"/>
      <c r="B285" s="148"/>
      <c r="C285" s="148"/>
      <c r="D285" s="148"/>
      <c r="E285" s="148"/>
      <c r="F285" s="148"/>
      <c r="G285" s="148"/>
      <c r="H285" s="148"/>
      <c r="I285" s="76"/>
      <c r="J285" s="148"/>
      <c r="K285" s="166"/>
      <c r="L285" s="166"/>
      <c r="M285" s="166"/>
      <c r="N285" s="166"/>
      <c r="O285" s="166"/>
      <c r="P285" s="14"/>
      <c r="Q285" s="14"/>
      <c r="R285" s="14"/>
      <c r="S285" s="14"/>
      <c r="T285" s="14"/>
    </row>
    <row r="286" spans="1:20" s="18" customFormat="1" ht="15.75">
      <c r="A286" s="149"/>
      <c r="B286" s="148"/>
      <c r="C286" s="148"/>
      <c r="D286" s="148"/>
      <c r="E286" s="148"/>
      <c r="F286" s="148"/>
      <c r="G286" s="148"/>
      <c r="H286" s="148"/>
      <c r="I286" s="76"/>
      <c r="J286" s="148"/>
      <c r="K286" s="166"/>
      <c r="L286" s="166"/>
      <c r="M286" s="166"/>
      <c r="N286" s="166"/>
      <c r="O286" s="166"/>
      <c r="P286" s="14"/>
      <c r="Q286" s="14"/>
      <c r="R286" s="14"/>
      <c r="S286" s="14"/>
      <c r="T286" s="14"/>
    </row>
    <row r="287" spans="1:20" s="18" customFormat="1" ht="15.75">
      <c r="A287" s="149"/>
      <c r="B287" s="148"/>
      <c r="C287" s="148"/>
      <c r="D287" s="148"/>
      <c r="E287" s="148"/>
      <c r="F287" s="148"/>
      <c r="G287" s="148"/>
      <c r="H287" s="148"/>
      <c r="I287" s="76"/>
      <c r="J287" s="148"/>
      <c r="K287" s="166"/>
      <c r="L287" s="166"/>
      <c r="M287" s="166"/>
      <c r="N287" s="166"/>
      <c r="O287" s="166"/>
      <c r="P287" s="14"/>
      <c r="Q287" s="14"/>
      <c r="R287" s="14"/>
      <c r="S287" s="14"/>
      <c r="T287" s="14"/>
    </row>
    <row r="288" spans="1:20" s="18" customFormat="1" ht="15.75">
      <c r="A288" s="149"/>
      <c r="B288" s="148"/>
      <c r="C288" s="148"/>
      <c r="D288" s="148"/>
      <c r="E288" s="148"/>
      <c r="F288" s="148"/>
      <c r="G288" s="148"/>
      <c r="H288" s="148"/>
      <c r="I288" s="76"/>
      <c r="J288" s="148"/>
      <c r="K288" s="166"/>
      <c r="L288" s="166"/>
      <c r="M288" s="166"/>
      <c r="N288" s="166"/>
      <c r="O288" s="166"/>
      <c r="P288" s="14"/>
      <c r="Q288" s="14"/>
      <c r="R288" s="14"/>
      <c r="S288" s="14"/>
      <c r="T288" s="14"/>
    </row>
    <row r="289" spans="1:20" s="18" customFormat="1" ht="15.75">
      <c r="A289" s="149"/>
      <c r="B289" s="148"/>
      <c r="C289" s="148"/>
      <c r="D289" s="148"/>
      <c r="E289" s="148"/>
      <c r="F289" s="148"/>
      <c r="G289" s="148"/>
      <c r="H289" s="148"/>
      <c r="I289" s="76"/>
      <c r="J289" s="148"/>
      <c r="K289" s="166"/>
      <c r="L289" s="166"/>
      <c r="M289" s="166"/>
      <c r="N289" s="166"/>
      <c r="O289" s="166"/>
      <c r="P289" s="14"/>
      <c r="Q289" s="14"/>
      <c r="R289" s="14"/>
      <c r="S289" s="14"/>
      <c r="T289" s="14"/>
    </row>
    <row r="290" spans="1:20" s="18" customFormat="1" ht="15.75">
      <c r="A290" s="149"/>
      <c r="B290" s="148"/>
      <c r="C290" s="148"/>
      <c r="D290" s="148"/>
      <c r="E290" s="148"/>
      <c r="F290" s="148"/>
      <c r="G290" s="148"/>
      <c r="H290" s="148"/>
      <c r="I290" s="76"/>
      <c r="J290" s="148"/>
      <c r="K290" s="166"/>
      <c r="L290" s="166"/>
      <c r="M290" s="166"/>
      <c r="N290" s="166"/>
      <c r="O290" s="166"/>
      <c r="P290" s="14"/>
      <c r="Q290" s="14"/>
      <c r="R290" s="14"/>
      <c r="S290" s="14"/>
      <c r="T290" s="14"/>
    </row>
    <row r="291" spans="1:20" s="18" customFormat="1" ht="15.75">
      <c r="A291" s="149"/>
      <c r="B291" s="148"/>
      <c r="C291" s="148"/>
      <c r="D291" s="148"/>
      <c r="E291" s="148"/>
      <c r="F291" s="148"/>
      <c r="G291" s="148"/>
      <c r="H291" s="148"/>
      <c r="I291" s="76"/>
      <c r="J291" s="148"/>
      <c r="K291" s="166"/>
      <c r="L291" s="166"/>
      <c r="M291" s="166"/>
      <c r="N291" s="166"/>
      <c r="O291" s="166"/>
      <c r="P291" s="14"/>
      <c r="Q291" s="14"/>
      <c r="R291" s="14"/>
      <c r="S291" s="14"/>
      <c r="T291" s="14"/>
    </row>
    <row r="292" spans="1:20" s="18" customFormat="1" ht="15.75">
      <c r="A292" s="149"/>
      <c r="B292" s="148"/>
      <c r="C292" s="148"/>
      <c r="D292" s="148"/>
      <c r="E292" s="148"/>
      <c r="F292" s="148"/>
      <c r="G292" s="148"/>
      <c r="H292" s="148"/>
      <c r="I292" s="76"/>
      <c r="J292" s="148"/>
      <c r="K292" s="166"/>
      <c r="L292" s="166"/>
      <c r="M292" s="166"/>
      <c r="N292" s="166"/>
      <c r="O292" s="166"/>
      <c r="P292" s="14"/>
      <c r="Q292" s="14"/>
      <c r="R292" s="14"/>
      <c r="S292" s="14"/>
      <c r="T292" s="14"/>
    </row>
    <row r="293" spans="1:20" s="18" customFormat="1" ht="15.75">
      <c r="A293" s="149"/>
      <c r="B293" s="148"/>
      <c r="C293" s="148"/>
      <c r="D293" s="148"/>
      <c r="E293" s="148"/>
      <c r="F293" s="148"/>
      <c r="G293" s="148"/>
      <c r="H293" s="148"/>
      <c r="I293" s="76"/>
      <c r="J293" s="148"/>
      <c r="K293" s="166"/>
      <c r="L293" s="166"/>
      <c r="M293" s="166"/>
      <c r="N293" s="166"/>
      <c r="O293" s="166"/>
      <c r="P293" s="14"/>
      <c r="Q293" s="14"/>
      <c r="R293" s="14"/>
      <c r="S293" s="14"/>
      <c r="T293" s="14"/>
    </row>
    <row r="294" spans="1:20" s="18" customFormat="1" ht="15.75">
      <c r="A294" s="149"/>
      <c r="B294" s="148"/>
      <c r="C294" s="148"/>
      <c r="D294" s="148"/>
      <c r="E294" s="148"/>
      <c r="F294" s="148"/>
      <c r="G294" s="148"/>
      <c r="H294" s="148"/>
      <c r="I294" s="76"/>
      <c r="J294" s="148"/>
      <c r="K294" s="166"/>
      <c r="L294" s="166"/>
      <c r="M294" s="166"/>
      <c r="N294" s="166"/>
      <c r="O294" s="166"/>
      <c r="P294" s="14"/>
      <c r="Q294" s="14"/>
      <c r="R294" s="14"/>
      <c r="S294" s="14"/>
      <c r="T294" s="14"/>
    </row>
    <row r="295" spans="1:20" s="18" customFormat="1" ht="15.75">
      <c r="A295" s="149"/>
      <c r="B295" s="148"/>
      <c r="C295" s="148"/>
      <c r="D295" s="148"/>
      <c r="E295" s="148"/>
      <c r="F295" s="148"/>
      <c r="G295" s="148"/>
      <c r="H295" s="148"/>
      <c r="I295" s="76"/>
      <c r="J295" s="148"/>
      <c r="K295" s="166"/>
      <c r="L295" s="166"/>
      <c r="M295" s="166"/>
      <c r="N295" s="166"/>
      <c r="O295" s="166"/>
      <c r="P295" s="14"/>
      <c r="Q295" s="14"/>
      <c r="R295" s="14"/>
      <c r="S295" s="14"/>
      <c r="T295" s="14"/>
    </row>
    <row r="296" spans="1:20" s="18" customFormat="1" ht="15.75">
      <c r="A296" s="149"/>
      <c r="B296" s="148"/>
      <c r="C296" s="148"/>
      <c r="D296" s="148"/>
      <c r="E296" s="148"/>
      <c r="F296" s="148"/>
      <c r="G296" s="148"/>
      <c r="H296" s="148"/>
      <c r="I296" s="76"/>
      <c r="J296" s="148"/>
      <c r="K296" s="166"/>
      <c r="L296" s="166"/>
      <c r="M296" s="166"/>
      <c r="N296" s="166"/>
      <c r="O296" s="166"/>
      <c r="P296" s="14"/>
      <c r="Q296" s="14"/>
      <c r="R296" s="14"/>
      <c r="S296" s="14"/>
      <c r="T296" s="14"/>
    </row>
    <row r="297" spans="1:20" s="18" customFormat="1" ht="15.75">
      <c r="A297" s="149"/>
      <c r="B297" s="148"/>
      <c r="C297" s="148"/>
      <c r="D297" s="148"/>
      <c r="E297" s="148"/>
      <c r="F297" s="148"/>
      <c r="G297" s="148"/>
      <c r="H297" s="148"/>
      <c r="I297" s="76"/>
      <c r="J297" s="148"/>
      <c r="K297" s="166"/>
      <c r="L297" s="166"/>
      <c r="M297" s="166"/>
      <c r="N297" s="166"/>
      <c r="O297" s="166"/>
      <c r="P297" s="14"/>
      <c r="Q297" s="14"/>
      <c r="R297" s="14"/>
      <c r="S297" s="14"/>
      <c r="T297" s="14"/>
    </row>
    <row r="298" spans="1:20" s="18" customFormat="1" ht="15.75">
      <c r="A298" s="149"/>
      <c r="B298" s="148"/>
      <c r="C298" s="148"/>
      <c r="D298" s="148"/>
      <c r="E298" s="148"/>
      <c r="F298" s="148"/>
      <c r="G298" s="148"/>
      <c r="H298" s="148"/>
      <c r="I298" s="76"/>
      <c r="J298" s="148"/>
      <c r="K298" s="166"/>
      <c r="L298" s="166"/>
      <c r="M298" s="166"/>
      <c r="N298" s="166"/>
      <c r="O298" s="166"/>
      <c r="P298" s="14"/>
      <c r="Q298" s="14"/>
      <c r="R298" s="14"/>
      <c r="S298" s="14"/>
      <c r="T298" s="14"/>
    </row>
    <row r="299" spans="1:20" s="18" customFormat="1" ht="15.75">
      <c r="A299" s="149"/>
      <c r="B299" s="148"/>
      <c r="C299" s="148"/>
      <c r="D299" s="148"/>
      <c r="E299" s="148"/>
      <c r="F299" s="148"/>
      <c r="G299" s="148"/>
      <c r="H299" s="148"/>
      <c r="I299" s="76"/>
      <c r="J299" s="148"/>
      <c r="K299" s="166"/>
      <c r="L299" s="166"/>
      <c r="M299" s="166"/>
      <c r="N299" s="166"/>
      <c r="O299" s="166"/>
      <c r="P299" s="14"/>
      <c r="Q299" s="14"/>
      <c r="R299" s="14"/>
      <c r="S299" s="14"/>
      <c r="T299" s="14"/>
    </row>
    <row r="300" spans="1:20" s="18" customFormat="1" ht="15.75">
      <c r="A300" s="149"/>
      <c r="B300" s="148"/>
      <c r="C300" s="148"/>
      <c r="D300" s="148"/>
      <c r="E300" s="148"/>
      <c r="F300" s="148"/>
      <c r="G300" s="148"/>
      <c r="H300" s="148"/>
      <c r="I300" s="76"/>
      <c r="J300" s="148"/>
      <c r="K300" s="166"/>
      <c r="L300" s="166"/>
      <c r="M300" s="166"/>
      <c r="N300" s="166"/>
      <c r="O300" s="166"/>
      <c r="P300" s="14"/>
      <c r="Q300" s="14"/>
      <c r="R300" s="14"/>
      <c r="S300" s="14"/>
      <c r="T300" s="14"/>
    </row>
    <row r="301" spans="1:20" s="18" customFormat="1" ht="15.75">
      <c r="A301" s="149"/>
      <c r="B301" s="148"/>
      <c r="C301" s="148"/>
      <c r="D301" s="148"/>
      <c r="E301" s="148"/>
      <c r="F301" s="148"/>
      <c r="G301" s="148"/>
      <c r="H301" s="148"/>
      <c r="I301" s="76"/>
      <c r="J301" s="148"/>
      <c r="K301" s="166"/>
      <c r="L301" s="166"/>
      <c r="M301" s="166"/>
      <c r="N301" s="166"/>
      <c r="O301" s="166"/>
      <c r="P301" s="14"/>
      <c r="Q301" s="14"/>
      <c r="R301" s="14"/>
      <c r="S301" s="14"/>
      <c r="T301" s="14"/>
    </row>
    <row r="302" spans="1:20" s="18" customFormat="1" ht="15.75">
      <c r="A302" s="149"/>
      <c r="B302" s="148"/>
      <c r="C302" s="148"/>
      <c r="D302" s="148"/>
      <c r="E302" s="148"/>
      <c r="F302" s="148"/>
      <c r="G302" s="148"/>
      <c r="H302" s="148"/>
      <c r="I302" s="76"/>
      <c r="J302" s="148"/>
      <c r="K302" s="166"/>
      <c r="L302" s="166"/>
      <c r="M302" s="166"/>
      <c r="N302" s="166"/>
      <c r="O302" s="166"/>
      <c r="P302" s="14"/>
      <c r="Q302" s="14"/>
      <c r="R302" s="14"/>
      <c r="S302" s="14"/>
      <c r="T302" s="14"/>
    </row>
    <row r="303" spans="1:20" s="18" customFormat="1" ht="15.75">
      <c r="A303" s="149"/>
      <c r="B303" s="148"/>
      <c r="C303" s="148"/>
      <c r="D303" s="148"/>
      <c r="E303" s="148"/>
      <c r="F303" s="148"/>
      <c r="G303" s="148"/>
      <c r="H303" s="148"/>
      <c r="I303" s="76"/>
      <c r="J303" s="148"/>
      <c r="K303" s="166"/>
      <c r="L303" s="166"/>
      <c r="M303" s="166"/>
      <c r="N303" s="166"/>
      <c r="O303" s="166"/>
      <c r="P303" s="14"/>
      <c r="Q303" s="14"/>
      <c r="R303" s="14"/>
      <c r="S303" s="14"/>
      <c r="T303" s="14"/>
    </row>
    <row r="304" spans="1:20" s="18" customFormat="1" ht="15.75">
      <c r="A304" s="149"/>
      <c r="B304" s="148"/>
      <c r="C304" s="148"/>
      <c r="D304" s="148"/>
      <c r="E304" s="148"/>
      <c r="F304" s="148"/>
      <c r="G304" s="148"/>
      <c r="H304" s="148"/>
      <c r="I304" s="76"/>
      <c r="J304" s="148"/>
      <c r="K304" s="166"/>
      <c r="L304" s="166"/>
      <c r="M304" s="166"/>
      <c r="N304" s="166"/>
      <c r="O304" s="166"/>
      <c r="P304" s="14"/>
      <c r="Q304" s="14"/>
      <c r="R304" s="14"/>
      <c r="S304" s="14"/>
      <c r="T304" s="14"/>
    </row>
    <row r="305" spans="1:20" s="18" customFormat="1" ht="15.75">
      <c r="A305" s="149"/>
      <c r="B305" s="148"/>
      <c r="C305" s="148"/>
      <c r="D305" s="148"/>
      <c r="E305" s="148"/>
      <c r="F305" s="148"/>
      <c r="G305" s="148"/>
      <c r="H305" s="148"/>
      <c r="I305" s="76"/>
      <c r="J305" s="148"/>
      <c r="K305" s="166"/>
      <c r="L305" s="166"/>
      <c r="M305" s="166"/>
      <c r="N305" s="166"/>
      <c r="O305" s="166"/>
      <c r="P305" s="14"/>
      <c r="Q305" s="14"/>
      <c r="R305" s="14"/>
      <c r="S305" s="14"/>
      <c r="T305" s="14"/>
    </row>
    <row r="306" spans="1:20" s="18" customFormat="1" ht="15.75">
      <c r="A306" s="149"/>
      <c r="B306" s="148"/>
      <c r="C306" s="148"/>
      <c r="D306" s="148"/>
      <c r="E306" s="148"/>
      <c r="F306" s="148"/>
      <c r="G306" s="148"/>
      <c r="H306" s="148"/>
      <c r="I306" s="76"/>
      <c r="J306" s="148"/>
      <c r="K306" s="166"/>
      <c r="L306" s="166"/>
      <c r="M306" s="166"/>
      <c r="N306" s="166"/>
      <c r="O306" s="166"/>
      <c r="P306" s="14"/>
      <c r="Q306" s="14"/>
      <c r="R306" s="14"/>
      <c r="S306" s="14"/>
      <c r="T306" s="14"/>
    </row>
    <row r="307" spans="1:20" s="18" customFormat="1" ht="15.75">
      <c r="A307" s="149"/>
      <c r="B307" s="148"/>
      <c r="C307" s="148"/>
      <c r="D307" s="148"/>
      <c r="E307" s="148"/>
      <c r="F307" s="148"/>
      <c r="G307" s="148"/>
      <c r="H307" s="148"/>
      <c r="I307" s="76"/>
      <c r="J307" s="148"/>
      <c r="K307" s="166"/>
      <c r="L307" s="166"/>
      <c r="M307" s="166"/>
      <c r="N307" s="166"/>
      <c r="O307" s="166"/>
      <c r="P307" s="14"/>
      <c r="Q307" s="14"/>
      <c r="R307" s="14"/>
      <c r="S307" s="14"/>
      <c r="T307" s="14"/>
    </row>
    <row r="308" spans="1:20" s="18" customFormat="1" ht="15.75">
      <c r="A308" s="149"/>
      <c r="B308" s="148"/>
      <c r="C308" s="148"/>
      <c r="D308" s="148"/>
      <c r="E308" s="148"/>
      <c r="F308" s="148"/>
      <c r="G308" s="148"/>
      <c r="H308" s="148"/>
      <c r="I308" s="76"/>
      <c r="J308" s="148"/>
      <c r="K308" s="166"/>
      <c r="L308" s="166"/>
      <c r="M308" s="166"/>
      <c r="N308" s="166"/>
      <c r="O308" s="166"/>
      <c r="P308" s="14"/>
      <c r="Q308" s="14"/>
      <c r="R308" s="14"/>
      <c r="S308" s="14"/>
      <c r="T308" s="14"/>
    </row>
    <row r="309" spans="1:20" s="18" customFormat="1" ht="15.75">
      <c r="A309" s="149"/>
      <c r="B309" s="148"/>
      <c r="C309" s="148"/>
      <c r="D309" s="148"/>
      <c r="E309" s="148"/>
      <c r="F309" s="148"/>
      <c r="G309" s="148"/>
      <c r="H309" s="148"/>
      <c r="I309" s="76"/>
      <c r="J309" s="148"/>
      <c r="K309" s="166"/>
      <c r="L309" s="166"/>
      <c r="M309" s="166"/>
      <c r="N309" s="166"/>
      <c r="O309" s="166"/>
      <c r="P309" s="14"/>
      <c r="Q309" s="14"/>
      <c r="R309" s="14"/>
      <c r="S309" s="14"/>
      <c r="T309" s="14"/>
    </row>
    <row r="310" spans="1:20" s="18" customFormat="1" ht="15.75">
      <c r="A310" s="149"/>
      <c r="B310" s="148"/>
      <c r="C310" s="148"/>
      <c r="D310" s="148"/>
      <c r="E310" s="148"/>
      <c r="F310" s="148"/>
      <c r="G310" s="148"/>
      <c r="H310" s="148"/>
      <c r="I310" s="76"/>
      <c r="J310" s="148"/>
      <c r="K310" s="166"/>
      <c r="L310" s="166"/>
      <c r="M310" s="166"/>
      <c r="N310" s="166"/>
      <c r="O310" s="166"/>
      <c r="P310" s="14"/>
      <c r="Q310" s="14"/>
      <c r="R310" s="14"/>
      <c r="S310" s="14"/>
      <c r="T310" s="14"/>
    </row>
    <row r="311" spans="1:20" s="18" customFormat="1" ht="15.75">
      <c r="A311" s="149"/>
      <c r="B311" s="148"/>
      <c r="C311" s="148"/>
      <c r="D311" s="148"/>
      <c r="E311" s="148"/>
      <c r="F311" s="148"/>
      <c r="G311" s="148"/>
      <c r="H311" s="148"/>
      <c r="I311" s="76"/>
      <c r="J311" s="148"/>
      <c r="K311" s="166"/>
      <c r="L311" s="166"/>
      <c r="M311" s="166"/>
      <c r="N311" s="166"/>
      <c r="O311" s="166"/>
      <c r="P311" s="14"/>
      <c r="Q311" s="14"/>
      <c r="R311" s="14"/>
      <c r="S311" s="14"/>
      <c r="T311" s="14"/>
    </row>
    <row r="312" spans="1:20" s="18" customFormat="1" ht="15.75">
      <c r="A312" s="149"/>
      <c r="B312" s="148"/>
      <c r="C312" s="148"/>
      <c r="D312" s="148"/>
      <c r="E312" s="148"/>
      <c r="F312" s="148"/>
      <c r="G312" s="148"/>
      <c r="H312" s="148"/>
      <c r="I312" s="76"/>
      <c r="J312" s="148"/>
      <c r="K312" s="166"/>
      <c r="L312" s="166"/>
      <c r="M312" s="166"/>
      <c r="N312" s="166"/>
      <c r="O312" s="166"/>
      <c r="P312" s="14"/>
      <c r="Q312" s="14"/>
      <c r="R312" s="14"/>
      <c r="S312" s="14"/>
      <c r="T312" s="14"/>
    </row>
    <row r="313" spans="1:20" s="18" customFormat="1" ht="15.75">
      <c r="A313" s="149"/>
      <c r="B313" s="148"/>
      <c r="C313" s="148"/>
      <c r="D313" s="148"/>
      <c r="E313" s="148"/>
      <c r="F313" s="148"/>
      <c r="G313" s="148"/>
      <c r="H313" s="148"/>
      <c r="I313" s="76"/>
      <c r="J313" s="148"/>
      <c r="K313" s="166"/>
      <c r="L313" s="166"/>
      <c r="M313" s="166"/>
      <c r="N313" s="166"/>
      <c r="O313" s="166"/>
      <c r="P313" s="14"/>
      <c r="Q313" s="14"/>
      <c r="R313" s="14"/>
      <c r="S313" s="14"/>
      <c r="T313" s="14"/>
    </row>
    <row r="314" spans="1:20" s="18" customFormat="1" ht="15.75">
      <c r="A314" s="149"/>
      <c r="B314" s="148"/>
      <c r="C314" s="148"/>
      <c r="D314" s="148"/>
      <c r="E314" s="148"/>
      <c r="F314" s="148"/>
      <c r="G314" s="148"/>
      <c r="H314" s="148"/>
      <c r="I314" s="76"/>
      <c r="J314" s="148"/>
      <c r="K314" s="166"/>
      <c r="L314" s="166"/>
      <c r="M314" s="166"/>
      <c r="N314" s="166"/>
      <c r="O314" s="166"/>
      <c r="P314" s="14"/>
      <c r="Q314" s="14"/>
      <c r="R314" s="14"/>
      <c r="S314" s="14"/>
      <c r="T314" s="14"/>
    </row>
    <row r="315" spans="1:20" s="18" customFormat="1" ht="15.75">
      <c r="A315" s="149"/>
      <c r="B315" s="148"/>
      <c r="C315" s="148"/>
      <c r="D315" s="148"/>
      <c r="E315" s="148"/>
      <c r="F315" s="148"/>
      <c r="G315" s="148"/>
      <c r="H315" s="148"/>
      <c r="I315" s="76"/>
      <c r="J315" s="148"/>
      <c r="K315" s="166"/>
      <c r="L315" s="166"/>
      <c r="M315" s="166"/>
      <c r="N315" s="166"/>
      <c r="O315" s="166"/>
      <c r="P315" s="14"/>
      <c r="Q315" s="14"/>
      <c r="R315" s="14"/>
      <c r="S315" s="14"/>
      <c r="T315" s="14"/>
    </row>
    <row r="316" spans="1:20" s="18" customFormat="1" ht="15.75">
      <c r="A316" s="149"/>
      <c r="B316" s="148"/>
      <c r="C316" s="148"/>
      <c r="D316" s="148"/>
      <c r="E316" s="148"/>
      <c r="F316" s="148"/>
      <c r="G316" s="148"/>
      <c r="H316" s="148"/>
      <c r="I316" s="76"/>
      <c r="J316" s="148"/>
      <c r="K316" s="166"/>
      <c r="L316" s="166"/>
      <c r="M316" s="166"/>
      <c r="N316" s="166"/>
      <c r="O316" s="166"/>
      <c r="P316" s="14"/>
      <c r="Q316" s="14"/>
      <c r="R316" s="14"/>
      <c r="S316" s="14"/>
      <c r="T316" s="14"/>
    </row>
    <row r="317" spans="1:20" s="18" customFormat="1" ht="15.75">
      <c r="A317" s="149"/>
      <c r="B317" s="148"/>
      <c r="C317" s="148"/>
      <c r="D317" s="148"/>
      <c r="E317" s="148"/>
      <c r="F317" s="148"/>
      <c r="G317" s="148"/>
      <c r="H317" s="148"/>
      <c r="I317" s="76"/>
      <c r="J317" s="148"/>
      <c r="K317" s="166"/>
      <c r="L317" s="166"/>
      <c r="M317" s="166"/>
      <c r="N317" s="166"/>
      <c r="O317" s="166"/>
      <c r="P317" s="14"/>
      <c r="Q317" s="14"/>
      <c r="R317" s="14"/>
      <c r="S317" s="14"/>
      <c r="T317" s="14"/>
    </row>
    <row r="318" spans="1:20" s="18" customFormat="1" ht="15.75">
      <c r="A318" s="149"/>
      <c r="B318" s="148"/>
      <c r="C318" s="148"/>
      <c r="D318" s="148"/>
      <c r="E318" s="148"/>
      <c r="F318" s="148"/>
      <c r="G318" s="148"/>
      <c r="H318" s="148"/>
      <c r="I318" s="76"/>
      <c r="J318" s="148"/>
      <c r="K318" s="166"/>
      <c r="L318" s="166"/>
      <c r="M318" s="166"/>
      <c r="N318" s="166"/>
      <c r="O318" s="166"/>
      <c r="P318" s="14"/>
      <c r="Q318" s="14"/>
      <c r="R318" s="14"/>
      <c r="S318" s="14"/>
      <c r="T318" s="14"/>
    </row>
    <row r="319" spans="1:20" s="18" customFormat="1" ht="15.75">
      <c r="A319" s="149"/>
      <c r="B319" s="148"/>
      <c r="C319" s="148"/>
      <c r="D319" s="148"/>
      <c r="E319" s="148"/>
      <c r="F319" s="148"/>
      <c r="G319" s="148"/>
      <c r="H319" s="148"/>
      <c r="I319" s="76"/>
      <c r="J319" s="148"/>
      <c r="K319" s="166"/>
      <c r="L319" s="166"/>
      <c r="M319" s="166"/>
      <c r="N319" s="166"/>
      <c r="O319" s="166"/>
      <c r="P319" s="14"/>
      <c r="Q319" s="14"/>
      <c r="R319" s="14"/>
      <c r="S319" s="14"/>
      <c r="T319" s="14"/>
    </row>
    <row r="320" spans="1:20" s="18" customFormat="1" ht="15.75">
      <c r="A320" s="149"/>
      <c r="B320" s="148"/>
      <c r="C320" s="148"/>
      <c r="D320" s="148"/>
      <c r="E320" s="148"/>
      <c r="F320" s="148"/>
      <c r="G320" s="148"/>
      <c r="H320" s="148"/>
      <c r="I320" s="76"/>
      <c r="J320" s="148"/>
      <c r="K320" s="166"/>
      <c r="L320" s="166"/>
      <c r="M320" s="166"/>
      <c r="N320" s="166"/>
      <c r="O320" s="166"/>
      <c r="P320" s="14"/>
      <c r="Q320" s="14"/>
      <c r="R320" s="14"/>
      <c r="S320" s="14"/>
      <c r="T320" s="14"/>
    </row>
    <row r="321" spans="1:20" s="18" customFormat="1" ht="15.75">
      <c r="A321" s="149"/>
      <c r="B321" s="148"/>
      <c r="C321" s="148"/>
      <c r="D321" s="148"/>
      <c r="E321" s="148"/>
      <c r="F321" s="148"/>
      <c r="G321" s="148"/>
      <c r="H321" s="148"/>
      <c r="I321" s="76"/>
      <c r="J321" s="148"/>
      <c r="K321" s="166"/>
      <c r="L321" s="166"/>
      <c r="M321" s="166"/>
      <c r="N321" s="166"/>
      <c r="O321" s="166"/>
      <c r="P321" s="14"/>
      <c r="Q321" s="14"/>
      <c r="R321" s="14"/>
      <c r="S321" s="14"/>
      <c r="T321" s="14"/>
    </row>
    <row r="322" spans="1:20" s="18" customFormat="1" ht="15.75">
      <c r="A322" s="149"/>
      <c r="B322" s="148"/>
      <c r="C322" s="148"/>
      <c r="D322" s="148"/>
      <c r="E322" s="148"/>
      <c r="F322" s="148"/>
      <c r="G322" s="148"/>
      <c r="H322" s="148"/>
      <c r="I322" s="76"/>
      <c r="J322" s="148"/>
      <c r="K322" s="166"/>
      <c r="L322" s="166"/>
      <c r="M322" s="166"/>
      <c r="N322" s="166"/>
      <c r="O322" s="166"/>
      <c r="P322" s="14"/>
      <c r="Q322" s="14"/>
      <c r="R322" s="14"/>
      <c r="S322" s="14"/>
      <c r="T322" s="14"/>
    </row>
    <row r="323" spans="1:20" s="18" customFormat="1" ht="15.75">
      <c r="A323" s="149"/>
      <c r="B323" s="148"/>
      <c r="C323" s="148"/>
      <c r="D323" s="148"/>
      <c r="E323" s="148"/>
      <c r="F323" s="148"/>
      <c r="G323" s="148"/>
      <c r="H323" s="148"/>
      <c r="I323" s="76"/>
      <c r="J323" s="148"/>
      <c r="K323" s="166"/>
      <c r="L323" s="166"/>
      <c r="M323" s="166"/>
      <c r="N323" s="166"/>
      <c r="O323" s="166"/>
      <c r="P323" s="14"/>
      <c r="Q323" s="14"/>
      <c r="R323" s="14"/>
      <c r="S323" s="14"/>
      <c r="T323" s="14"/>
    </row>
    <row r="324" spans="1:20" s="18" customFormat="1" ht="15.75">
      <c r="A324" s="149"/>
      <c r="B324" s="148"/>
      <c r="C324" s="148"/>
      <c r="D324" s="148"/>
      <c r="E324" s="148"/>
      <c r="F324" s="148"/>
      <c r="G324" s="148"/>
      <c r="H324" s="148"/>
      <c r="I324" s="76"/>
      <c r="J324" s="148"/>
      <c r="K324" s="166"/>
      <c r="L324" s="166"/>
      <c r="M324" s="166"/>
      <c r="N324" s="166"/>
      <c r="O324" s="166"/>
      <c r="P324" s="14"/>
      <c r="Q324" s="14"/>
      <c r="R324" s="14"/>
      <c r="S324" s="14"/>
      <c r="T324" s="14"/>
    </row>
    <row r="325" spans="1:20" s="18" customFormat="1" ht="15.75">
      <c r="A325" s="149"/>
      <c r="B325" s="148"/>
      <c r="C325" s="148"/>
      <c r="D325" s="148"/>
      <c r="E325" s="148"/>
      <c r="F325" s="148"/>
      <c r="G325" s="148"/>
      <c r="H325" s="148"/>
      <c r="I325" s="76"/>
      <c r="J325" s="148"/>
      <c r="K325" s="166"/>
      <c r="L325" s="166"/>
      <c r="M325" s="166"/>
      <c r="N325" s="166"/>
      <c r="O325" s="166"/>
      <c r="P325" s="14"/>
      <c r="Q325" s="14"/>
      <c r="R325" s="14"/>
      <c r="S325" s="14"/>
      <c r="T325" s="14"/>
    </row>
    <row r="326" spans="1:20" s="18" customFormat="1" ht="15.75">
      <c r="A326" s="149"/>
      <c r="B326" s="148"/>
      <c r="C326" s="148"/>
      <c r="D326" s="148"/>
      <c r="E326" s="148"/>
      <c r="F326" s="148"/>
      <c r="G326" s="148"/>
      <c r="H326" s="148"/>
      <c r="I326" s="76"/>
      <c r="J326" s="148"/>
      <c r="K326" s="166"/>
      <c r="L326" s="166"/>
      <c r="M326" s="166"/>
      <c r="N326" s="166"/>
      <c r="O326" s="166"/>
      <c r="P326" s="14"/>
      <c r="Q326" s="14"/>
      <c r="R326" s="14"/>
      <c r="S326" s="14"/>
      <c r="T326" s="14"/>
    </row>
    <row r="327" spans="1:20" s="18" customFormat="1" ht="15.75">
      <c r="A327" s="149"/>
      <c r="B327" s="148"/>
      <c r="C327" s="148"/>
      <c r="D327" s="148"/>
      <c r="E327" s="148"/>
      <c r="F327" s="148"/>
      <c r="G327" s="148"/>
      <c r="H327" s="148"/>
      <c r="I327" s="76"/>
      <c r="J327" s="148"/>
      <c r="K327" s="166"/>
      <c r="L327" s="166"/>
      <c r="M327" s="166"/>
      <c r="N327" s="166"/>
      <c r="O327" s="166"/>
      <c r="P327" s="14"/>
      <c r="Q327" s="14"/>
      <c r="R327" s="14"/>
      <c r="S327" s="14"/>
      <c r="T327" s="14"/>
    </row>
    <row r="328" spans="1:20" s="18" customFormat="1" ht="15.75">
      <c r="A328" s="149"/>
      <c r="B328" s="148"/>
      <c r="C328" s="148"/>
      <c r="D328" s="148"/>
      <c r="E328" s="148"/>
      <c r="F328" s="148"/>
      <c r="G328" s="148"/>
      <c r="H328" s="148"/>
      <c r="I328" s="76"/>
      <c r="J328" s="148"/>
      <c r="K328" s="166"/>
      <c r="L328" s="166"/>
      <c r="M328" s="166"/>
      <c r="N328" s="166"/>
      <c r="O328" s="166"/>
      <c r="P328" s="14"/>
      <c r="Q328" s="14"/>
      <c r="R328" s="14"/>
      <c r="S328" s="14"/>
      <c r="T328" s="14"/>
    </row>
    <row r="329" spans="1:20" s="18" customFormat="1" ht="15.75">
      <c r="A329" s="149"/>
      <c r="B329" s="148"/>
      <c r="C329" s="148"/>
      <c r="D329" s="148"/>
      <c r="E329" s="148"/>
      <c r="F329" s="148"/>
      <c r="G329" s="148"/>
      <c r="H329" s="148"/>
      <c r="I329" s="76"/>
      <c r="J329" s="148"/>
      <c r="K329" s="166"/>
      <c r="L329" s="166"/>
      <c r="M329" s="166"/>
      <c r="N329" s="166"/>
      <c r="O329" s="166"/>
      <c r="P329" s="14"/>
      <c r="Q329" s="14"/>
      <c r="R329" s="14"/>
      <c r="S329" s="14"/>
      <c r="T329" s="14"/>
    </row>
    <row r="330" spans="1:20" s="18" customFormat="1" ht="15.75">
      <c r="A330" s="149"/>
      <c r="B330" s="148"/>
      <c r="C330" s="148"/>
      <c r="D330" s="148"/>
      <c r="E330" s="148"/>
      <c r="F330" s="148"/>
      <c r="G330" s="148"/>
      <c r="H330" s="148"/>
      <c r="I330" s="76"/>
      <c r="J330" s="148"/>
      <c r="K330" s="166"/>
      <c r="L330" s="166"/>
      <c r="M330" s="166"/>
      <c r="N330" s="166"/>
      <c r="O330" s="166"/>
      <c r="P330" s="14"/>
      <c r="Q330" s="14"/>
      <c r="R330" s="14"/>
      <c r="S330" s="14"/>
      <c r="T330" s="14"/>
    </row>
    <row r="331" spans="1:20" s="18" customFormat="1" ht="15.75">
      <c r="A331" s="149"/>
      <c r="B331" s="148"/>
      <c r="C331" s="148"/>
      <c r="D331" s="148"/>
      <c r="E331" s="148"/>
      <c r="F331" s="148"/>
      <c r="G331" s="148"/>
      <c r="H331" s="148"/>
      <c r="I331" s="76"/>
      <c r="J331" s="148"/>
      <c r="K331" s="166"/>
      <c r="L331" s="166"/>
      <c r="M331" s="166"/>
      <c r="N331" s="166"/>
      <c r="O331" s="166"/>
      <c r="P331" s="14"/>
      <c r="Q331" s="14"/>
      <c r="R331" s="14"/>
      <c r="S331" s="14"/>
      <c r="T331" s="14"/>
    </row>
    <row r="332" spans="1:20" s="18" customFormat="1" ht="15.75">
      <c r="A332" s="149"/>
      <c r="B332" s="148"/>
      <c r="C332" s="148"/>
      <c r="D332" s="148"/>
      <c r="E332" s="148"/>
      <c r="F332" s="148"/>
      <c r="G332" s="148"/>
      <c r="H332" s="148"/>
      <c r="I332" s="76"/>
      <c r="J332" s="148"/>
      <c r="K332" s="166"/>
      <c r="L332" s="166"/>
      <c r="M332" s="166"/>
      <c r="N332" s="166"/>
      <c r="O332" s="166"/>
      <c r="P332" s="14"/>
      <c r="Q332" s="14"/>
      <c r="R332" s="14"/>
      <c r="S332" s="14"/>
      <c r="T332" s="14"/>
    </row>
    <row r="333" spans="1:20" s="18" customFormat="1" ht="15.75">
      <c r="A333" s="149"/>
      <c r="B333" s="148"/>
      <c r="C333" s="148"/>
      <c r="D333" s="148"/>
      <c r="E333" s="148"/>
      <c r="F333" s="148"/>
      <c r="G333" s="148"/>
      <c r="H333" s="148"/>
      <c r="I333" s="76"/>
      <c r="J333" s="148"/>
      <c r="K333" s="166"/>
      <c r="L333" s="166"/>
      <c r="M333" s="166"/>
      <c r="N333" s="166"/>
      <c r="O333" s="166"/>
      <c r="P333" s="14"/>
      <c r="Q333" s="14"/>
      <c r="R333" s="14"/>
      <c r="S333" s="14"/>
      <c r="T333" s="14"/>
    </row>
    <row r="334" spans="1:20" s="18" customFormat="1" ht="15.75">
      <c r="A334" s="149"/>
      <c r="B334" s="148"/>
      <c r="C334" s="148"/>
      <c r="D334" s="148"/>
      <c r="E334" s="148"/>
      <c r="F334" s="148"/>
      <c r="G334" s="148"/>
      <c r="H334" s="148"/>
      <c r="I334" s="76"/>
      <c r="J334" s="148"/>
      <c r="K334" s="166"/>
      <c r="L334" s="166"/>
      <c r="M334" s="166"/>
      <c r="N334" s="166"/>
      <c r="O334" s="166"/>
      <c r="P334" s="14"/>
      <c r="Q334" s="14"/>
      <c r="R334" s="14"/>
      <c r="S334" s="14"/>
      <c r="T334" s="14"/>
    </row>
    <row r="335" spans="1:20" s="18" customFormat="1" ht="15.75">
      <c r="A335" s="149"/>
      <c r="B335" s="148"/>
      <c r="C335" s="148"/>
      <c r="D335" s="148"/>
      <c r="E335" s="148"/>
      <c r="F335" s="148"/>
      <c r="G335" s="148"/>
      <c r="H335" s="148"/>
      <c r="I335" s="76"/>
      <c r="J335" s="148"/>
      <c r="K335" s="166"/>
      <c r="L335" s="166"/>
      <c r="M335" s="166"/>
      <c r="N335" s="166"/>
      <c r="O335" s="166"/>
      <c r="P335" s="14"/>
      <c r="Q335" s="14"/>
      <c r="R335" s="14"/>
      <c r="S335" s="14"/>
      <c r="T335" s="14"/>
    </row>
    <row r="336" spans="1:20" s="18" customFormat="1" ht="15.75">
      <c r="A336" s="149"/>
      <c r="B336" s="148"/>
      <c r="C336" s="148"/>
      <c r="D336" s="148"/>
      <c r="E336" s="148"/>
      <c r="F336" s="148"/>
      <c r="G336" s="148"/>
      <c r="H336" s="148"/>
      <c r="I336" s="76"/>
      <c r="J336" s="148"/>
      <c r="K336" s="166"/>
      <c r="L336" s="166"/>
      <c r="M336" s="166"/>
      <c r="N336" s="166"/>
      <c r="O336" s="166"/>
      <c r="P336" s="14"/>
      <c r="Q336" s="14"/>
      <c r="R336" s="14"/>
      <c r="S336" s="14"/>
      <c r="T336" s="14"/>
    </row>
    <row r="337" spans="1:20" s="18" customFormat="1" ht="15.75">
      <c r="A337" s="149"/>
      <c r="B337" s="148"/>
      <c r="C337" s="148"/>
      <c r="D337" s="148"/>
      <c r="E337" s="148"/>
      <c r="F337" s="148"/>
      <c r="G337" s="148"/>
      <c r="H337" s="148"/>
      <c r="I337" s="76"/>
      <c r="J337" s="148"/>
      <c r="K337" s="166"/>
      <c r="L337" s="166"/>
      <c r="M337" s="166"/>
      <c r="N337" s="166"/>
      <c r="O337" s="166"/>
      <c r="P337" s="14"/>
      <c r="Q337" s="14"/>
      <c r="R337" s="14"/>
      <c r="S337" s="14"/>
      <c r="T337" s="14"/>
    </row>
    <row r="338" spans="1:20" s="18" customFormat="1" ht="15.75">
      <c r="A338" s="149"/>
      <c r="B338" s="148"/>
      <c r="C338" s="148"/>
      <c r="D338" s="148"/>
      <c r="E338" s="148"/>
      <c r="F338" s="148"/>
      <c r="G338" s="148"/>
      <c r="H338" s="148"/>
      <c r="I338" s="76"/>
      <c r="J338" s="148"/>
      <c r="K338" s="166"/>
      <c r="L338" s="166"/>
      <c r="M338" s="166"/>
      <c r="N338" s="166"/>
      <c r="O338" s="166"/>
      <c r="P338" s="14"/>
      <c r="Q338" s="14"/>
      <c r="R338" s="14"/>
      <c r="S338" s="14"/>
      <c r="T338" s="14"/>
    </row>
    <row r="339" spans="1:20" s="18" customFormat="1" ht="15.75">
      <c r="A339" s="149"/>
      <c r="B339" s="148"/>
      <c r="C339" s="148"/>
      <c r="D339" s="148"/>
      <c r="E339" s="148"/>
      <c r="F339" s="148"/>
      <c r="G339" s="148"/>
      <c r="H339" s="148"/>
      <c r="I339" s="76"/>
      <c r="J339" s="148"/>
      <c r="K339" s="166"/>
      <c r="L339" s="166"/>
      <c r="M339" s="166"/>
      <c r="N339" s="166"/>
      <c r="O339" s="166"/>
      <c r="P339" s="14"/>
      <c r="Q339" s="14"/>
      <c r="R339" s="14"/>
      <c r="S339" s="14"/>
      <c r="T339" s="14"/>
    </row>
    <row r="340" spans="1:20" s="18" customFormat="1" ht="15.75">
      <c r="A340" s="149"/>
      <c r="B340" s="148"/>
      <c r="C340" s="148"/>
      <c r="D340" s="148"/>
      <c r="E340" s="148"/>
      <c r="F340" s="148"/>
      <c r="G340" s="148"/>
      <c r="H340" s="148"/>
      <c r="I340" s="76"/>
      <c r="J340" s="148"/>
      <c r="K340" s="166"/>
      <c r="L340" s="166"/>
      <c r="M340" s="166"/>
      <c r="N340" s="166"/>
      <c r="O340" s="166"/>
      <c r="P340" s="14"/>
      <c r="Q340" s="14"/>
      <c r="R340" s="14"/>
      <c r="S340" s="14"/>
      <c r="T340" s="14"/>
    </row>
    <row r="341" spans="1:20" s="18" customFormat="1" ht="15.75">
      <c r="A341" s="149"/>
      <c r="B341" s="148"/>
      <c r="C341" s="148"/>
      <c r="D341" s="148"/>
      <c r="E341" s="148"/>
      <c r="F341" s="148"/>
      <c r="G341" s="148"/>
      <c r="H341" s="148"/>
      <c r="I341" s="76"/>
      <c r="J341" s="148"/>
      <c r="K341" s="166"/>
      <c r="L341" s="166"/>
      <c r="M341" s="166"/>
      <c r="N341" s="166"/>
      <c r="O341" s="166"/>
      <c r="P341" s="14"/>
      <c r="Q341" s="14"/>
      <c r="R341" s="14"/>
      <c r="S341" s="14"/>
      <c r="T341" s="14"/>
    </row>
    <row r="342" spans="1:20" s="18" customFormat="1" ht="15.75">
      <c r="A342" s="149"/>
      <c r="B342" s="148"/>
      <c r="C342" s="148"/>
      <c r="D342" s="148"/>
      <c r="E342" s="148"/>
      <c r="F342" s="148"/>
      <c r="G342" s="148"/>
      <c r="H342" s="148"/>
      <c r="I342" s="76"/>
      <c r="J342" s="148"/>
      <c r="K342" s="166"/>
      <c r="L342" s="166"/>
      <c r="M342" s="166"/>
      <c r="N342" s="166"/>
      <c r="O342" s="166"/>
      <c r="P342" s="14"/>
      <c r="Q342" s="14"/>
      <c r="R342" s="14"/>
      <c r="S342" s="14"/>
      <c r="T342" s="14"/>
    </row>
    <row r="343" spans="1:20" s="18" customFormat="1" ht="15.75">
      <c r="A343" s="149"/>
      <c r="B343" s="148"/>
      <c r="C343" s="148"/>
      <c r="D343" s="148"/>
      <c r="E343" s="148"/>
      <c r="F343" s="148"/>
      <c r="G343" s="148"/>
      <c r="H343" s="148"/>
      <c r="I343" s="76"/>
      <c r="J343" s="148"/>
      <c r="K343" s="166"/>
      <c r="L343" s="166"/>
      <c r="M343" s="166"/>
      <c r="N343" s="166"/>
      <c r="O343" s="166"/>
      <c r="P343" s="14"/>
      <c r="Q343" s="14"/>
      <c r="R343" s="14"/>
      <c r="S343" s="14"/>
      <c r="T343" s="14"/>
    </row>
    <row r="344" spans="1:20" s="18" customFormat="1" ht="15.75">
      <c r="A344" s="149"/>
      <c r="B344" s="148"/>
      <c r="C344" s="148"/>
      <c r="D344" s="148"/>
      <c r="E344" s="148"/>
      <c r="F344" s="148"/>
      <c r="G344" s="148"/>
      <c r="H344" s="148"/>
      <c r="I344" s="76"/>
      <c r="J344" s="148"/>
      <c r="K344" s="166"/>
      <c r="L344" s="166"/>
      <c r="M344" s="166"/>
      <c r="N344" s="166"/>
      <c r="O344" s="166"/>
      <c r="P344" s="14"/>
      <c r="Q344" s="14"/>
      <c r="R344" s="14"/>
      <c r="S344" s="14"/>
      <c r="T344" s="14"/>
    </row>
    <row r="345" spans="1:20" s="18" customFormat="1" ht="15.75">
      <c r="A345" s="149"/>
      <c r="B345" s="148"/>
      <c r="C345" s="148"/>
      <c r="D345" s="148"/>
      <c r="E345" s="148"/>
      <c r="F345" s="148"/>
      <c r="G345" s="148"/>
      <c r="H345" s="148"/>
      <c r="I345" s="76"/>
      <c r="J345" s="148"/>
      <c r="K345" s="166"/>
      <c r="L345" s="166"/>
      <c r="M345" s="166"/>
      <c r="N345" s="166"/>
      <c r="O345" s="166"/>
      <c r="P345" s="14"/>
      <c r="Q345" s="14"/>
      <c r="R345" s="14"/>
      <c r="S345" s="14"/>
      <c r="T345" s="14"/>
    </row>
    <row r="346" spans="1:20" s="18" customFormat="1" ht="15.75">
      <c r="A346" s="149"/>
      <c r="B346" s="148"/>
      <c r="C346" s="148"/>
      <c r="D346" s="148"/>
      <c r="E346" s="148"/>
      <c r="F346" s="148"/>
      <c r="G346" s="148"/>
      <c r="H346" s="148"/>
      <c r="I346" s="76"/>
      <c r="J346" s="148"/>
      <c r="K346" s="166"/>
      <c r="L346" s="166"/>
      <c r="M346" s="166"/>
      <c r="N346" s="166"/>
      <c r="O346" s="166"/>
      <c r="P346" s="14"/>
      <c r="Q346" s="14"/>
      <c r="R346" s="14"/>
      <c r="S346" s="14"/>
      <c r="T346" s="14"/>
    </row>
    <row r="347" spans="1:20" s="18" customFormat="1" ht="15.75">
      <c r="A347" s="149"/>
      <c r="B347" s="148"/>
      <c r="C347" s="148"/>
      <c r="D347" s="148"/>
      <c r="E347" s="148"/>
      <c r="F347" s="148"/>
      <c r="G347" s="148"/>
      <c r="H347" s="148"/>
      <c r="I347" s="76"/>
      <c r="J347" s="148"/>
      <c r="K347" s="166"/>
      <c r="L347" s="166"/>
      <c r="M347" s="166"/>
      <c r="N347" s="166"/>
      <c r="O347" s="166"/>
      <c r="P347" s="14"/>
      <c r="Q347" s="14"/>
      <c r="R347" s="14"/>
      <c r="S347" s="14"/>
      <c r="T347" s="14"/>
    </row>
    <row r="348" spans="1:20" s="18" customFormat="1" ht="15.75">
      <c r="A348" s="149"/>
      <c r="B348" s="148"/>
      <c r="C348" s="148"/>
      <c r="D348" s="148"/>
      <c r="E348" s="148"/>
      <c r="F348" s="148"/>
      <c r="G348" s="148"/>
      <c r="H348" s="148"/>
      <c r="I348" s="76"/>
      <c r="J348" s="148"/>
      <c r="K348" s="166"/>
      <c r="L348" s="166"/>
      <c r="M348" s="166"/>
      <c r="N348" s="166"/>
      <c r="O348" s="166"/>
      <c r="P348" s="14"/>
      <c r="Q348" s="14"/>
      <c r="R348" s="14"/>
      <c r="S348" s="14"/>
      <c r="T348" s="14"/>
    </row>
    <row r="349" spans="1:20" s="18" customFormat="1" ht="15.75">
      <c r="A349" s="149"/>
      <c r="B349" s="148"/>
      <c r="C349" s="148"/>
      <c r="D349" s="148"/>
      <c r="E349" s="148"/>
      <c r="F349" s="148"/>
      <c r="G349" s="148"/>
      <c r="H349" s="148"/>
      <c r="I349" s="76"/>
      <c r="J349" s="148"/>
      <c r="K349" s="166"/>
      <c r="L349" s="166"/>
      <c r="M349" s="166"/>
      <c r="N349" s="166"/>
      <c r="O349" s="166"/>
      <c r="P349" s="14"/>
      <c r="Q349" s="14"/>
      <c r="R349" s="14"/>
      <c r="S349" s="14"/>
      <c r="T349" s="14"/>
    </row>
    <row r="350" spans="1:20" s="18" customFormat="1" ht="15.75">
      <c r="A350" s="149"/>
      <c r="B350" s="148"/>
      <c r="C350" s="148"/>
      <c r="D350" s="148"/>
      <c r="E350" s="148"/>
      <c r="F350" s="148"/>
      <c r="G350" s="148"/>
      <c r="H350" s="148"/>
      <c r="I350" s="76"/>
      <c r="J350" s="148"/>
      <c r="K350" s="166"/>
      <c r="L350" s="166"/>
      <c r="M350" s="166"/>
      <c r="N350" s="166"/>
      <c r="O350" s="166"/>
      <c r="P350" s="14"/>
      <c r="Q350" s="14"/>
      <c r="R350" s="14"/>
      <c r="S350" s="14"/>
      <c r="T350" s="14"/>
    </row>
    <row r="351" spans="1:20" s="18" customFormat="1" ht="15.75">
      <c r="A351" s="149"/>
      <c r="B351" s="148"/>
      <c r="C351" s="148"/>
      <c r="D351" s="148"/>
      <c r="E351" s="148"/>
      <c r="F351" s="148"/>
      <c r="G351" s="148"/>
      <c r="H351" s="148"/>
      <c r="I351" s="76"/>
      <c r="J351" s="148"/>
      <c r="K351" s="166"/>
      <c r="L351" s="166"/>
      <c r="M351" s="166"/>
      <c r="N351" s="166"/>
      <c r="O351" s="166"/>
      <c r="P351" s="14"/>
      <c r="Q351" s="14"/>
      <c r="R351" s="14"/>
      <c r="S351" s="14"/>
      <c r="T351" s="14"/>
    </row>
    <row r="352" spans="1:20" s="18" customFormat="1" ht="15.75">
      <c r="A352" s="149"/>
      <c r="B352" s="148"/>
      <c r="C352" s="148"/>
      <c r="D352" s="148"/>
      <c r="E352" s="148"/>
      <c r="F352" s="148"/>
      <c r="G352" s="148"/>
      <c r="H352" s="148"/>
      <c r="I352" s="76"/>
      <c r="J352" s="148"/>
      <c r="K352" s="166"/>
      <c r="L352" s="166"/>
      <c r="M352" s="166"/>
      <c r="N352" s="166"/>
      <c r="O352" s="166"/>
      <c r="P352" s="14"/>
      <c r="Q352" s="14"/>
      <c r="R352" s="14"/>
      <c r="S352" s="14"/>
      <c r="T352" s="14"/>
    </row>
    <row r="353" spans="1:20" s="18" customFormat="1" ht="15.75">
      <c r="A353" s="149"/>
      <c r="B353" s="148"/>
      <c r="C353" s="148"/>
      <c r="D353" s="148"/>
      <c r="E353" s="148"/>
      <c r="F353" s="148"/>
      <c r="G353" s="148"/>
      <c r="H353" s="148"/>
      <c r="I353" s="76"/>
      <c r="J353" s="148"/>
      <c r="K353" s="166"/>
      <c r="L353" s="166"/>
      <c r="M353" s="166"/>
      <c r="N353" s="166"/>
      <c r="O353" s="166"/>
      <c r="P353" s="14"/>
      <c r="Q353" s="14"/>
      <c r="R353" s="14"/>
      <c r="S353" s="14"/>
      <c r="T353" s="14"/>
    </row>
    <row r="354" spans="1:20" s="18" customFormat="1" ht="15.75">
      <c r="A354" s="149"/>
      <c r="B354" s="148"/>
      <c r="C354" s="148"/>
      <c r="D354" s="148"/>
      <c r="E354" s="148"/>
      <c r="F354" s="148"/>
      <c r="G354" s="148"/>
      <c r="H354" s="148"/>
      <c r="I354" s="76"/>
      <c r="J354" s="148"/>
      <c r="K354" s="166"/>
      <c r="L354" s="166"/>
      <c r="M354" s="166"/>
      <c r="N354" s="166"/>
      <c r="O354" s="166"/>
      <c r="P354" s="14"/>
      <c r="Q354" s="14"/>
      <c r="R354" s="14"/>
      <c r="S354" s="14"/>
      <c r="T354" s="14"/>
    </row>
    <row r="355" spans="1:20" s="18" customFormat="1" ht="15.75">
      <c r="A355" s="149"/>
      <c r="B355" s="148"/>
      <c r="C355" s="148"/>
      <c r="D355" s="148"/>
      <c r="E355" s="148"/>
      <c r="F355" s="148"/>
      <c r="G355" s="148"/>
      <c r="H355" s="148"/>
      <c r="I355" s="76"/>
      <c r="J355" s="148"/>
      <c r="K355" s="166"/>
      <c r="L355" s="166"/>
      <c r="M355" s="166"/>
      <c r="N355" s="166"/>
      <c r="O355" s="166"/>
      <c r="P355" s="14"/>
      <c r="Q355" s="14"/>
      <c r="R355" s="14"/>
      <c r="S355" s="14"/>
      <c r="T355" s="14"/>
    </row>
    <row r="356" spans="1:20" s="18" customFormat="1" ht="15.75">
      <c r="A356" s="149"/>
      <c r="B356" s="148"/>
      <c r="C356" s="148"/>
      <c r="D356" s="148"/>
      <c r="E356" s="148"/>
      <c r="F356" s="148"/>
      <c r="G356" s="148"/>
      <c r="H356" s="148"/>
      <c r="I356" s="76"/>
      <c r="J356" s="148"/>
      <c r="K356" s="166"/>
      <c r="L356" s="166"/>
      <c r="M356" s="166"/>
      <c r="N356" s="166"/>
      <c r="O356" s="166"/>
      <c r="P356" s="14"/>
      <c r="Q356" s="14"/>
      <c r="R356" s="14"/>
      <c r="S356" s="14"/>
      <c r="T356" s="14"/>
    </row>
    <row r="357" spans="1:20" s="18" customFormat="1" ht="15.75">
      <c r="A357" s="149"/>
      <c r="B357" s="148"/>
      <c r="C357" s="148"/>
      <c r="D357" s="148"/>
      <c r="E357" s="148"/>
      <c r="F357" s="148"/>
      <c r="G357" s="148"/>
      <c r="H357" s="148"/>
      <c r="I357" s="76"/>
      <c r="J357" s="148"/>
      <c r="K357" s="166"/>
      <c r="L357" s="166"/>
      <c r="M357" s="166"/>
      <c r="N357" s="166"/>
      <c r="O357" s="166"/>
      <c r="P357" s="14"/>
      <c r="Q357" s="14"/>
      <c r="R357" s="14"/>
      <c r="S357" s="14"/>
      <c r="T357" s="14"/>
    </row>
    <row r="358" spans="1:20" s="18" customFormat="1" ht="15.75">
      <c r="A358" s="149"/>
      <c r="B358" s="148"/>
      <c r="C358" s="148"/>
      <c r="D358" s="148"/>
      <c r="E358" s="148"/>
      <c r="F358" s="148"/>
      <c r="G358" s="148"/>
      <c r="H358" s="148"/>
      <c r="I358" s="76"/>
      <c r="J358" s="148"/>
      <c r="K358" s="166"/>
      <c r="L358" s="166"/>
      <c r="M358" s="166"/>
      <c r="N358" s="166"/>
      <c r="O358" s="166"/>
      <c r="P358" s="14"/>
      <c r="Q358" s="14"/>
      <c r="R358" s="14"/>
      <c r="S358" s="14"/>
      <c r="T358" s="14"/>
    </row>
    <row r="359" spans="1:20" s="18" customFormat="1" ht="15.75">
      <c r="A359" s="149"/>
      <c r="B359" s="148"/>
      <c r="C359" s="148"/>
      <c r="D359" s="148"/>
      <c r="E359" s="148"/>
      <c r="F359" s="148"/>
      <c r="G359" s="148"/>
      <c r="H359" s="148"/>
      <c r="I359" s="76"/>
      <c r="J359" s="148"/>
      <c r="K359" s="166"/>
      <c r="L359" s="166"/>
      <c r="M359" s="166"/>
      <c r="N359" s="166"/>
      <c r="O359" s="166"/>
      <c r="P359" s="14"/>
      <c r="Q359" s="14"/>
      <c r="R359" s="14"/>
      <c r="S359" s="14"/>
      <c r="T359" s="14"/>
    </row>
    <row r="360" spans="1:20" s="18" customFormat="1" ht="15.75">
      <c r="A360" s="149"/>
      <c r="B360" s="148"/>
      <c r="C360" s="148"/>
      <c r="D360" s="148"/>
      <c r="E360" s="148"/>
      <c r="F360" s="148"/>
      <c r="G360" s="148"/>
      <c r="H360" s="148"/>
      <c r="I360" s="76"/>
      <c r="J360" s="148"/>
      <c r="K360" s="166"/>
      <c r="L360" s="166"/>
      <c r="M360" s="166"/>
      <c r="N360" s="166"/>
      <c r="O360" s="166"/>
      <c r="P360" s="14"/>
      <c r="Q360" s="14"/>
      <c r="R360" s="14"/>
      <c r="S360" s="14"/>
      <c r="T360" s="14"/>
    </row>
    <row r="361" spans="1:20" s="18" customFormat="1" ht="15.75">
      <c r="A361" s="149"/>
      <c r="B361" s="148"/>
      <c r="C361" s="148"/>
      <c r="D361" s="148"/>
      <c r="E361" s="148"/>
      <c r="F361" s="148"/>
      <c r="G361" s="148"/>
      <c r="H361" s="148"/>
      <c r="I361" s="76"/>
      <c r="J361" s="148"/>
      <c r="K361" s="166"/>
      <c r="L361" s="166"/>
      <c r="M361" s="166"/>
      <c r="N361" s="166"/>
      <c r="O361" s="166"/>
      <c r="P361" s="14"/>
      <c r="Q361" s="14"/>
      <c r="R361" s="14"/>
      <c r="S361" s="14"/>
      <c r="T361" s="14"/>
    </row>
    <row r="362" spans="1:20" s="18" customFormat="1" ht="15.75">
      <c r="A362" s="149"/>
      <c r="B362" s="148"/>
      <c r="C362" s="148"/>
      <c r="D362" s="148"/>
      <c r="E362" s="148"/>
      <c r="F362" s="148"/>
      <c r="G362" s="148"/>
      <c r="H362" s="148"/>
      <c r="I362" s="76"/>
      <c r="J362" s="148"/>
      <c r="K362" s="166"/>
      <c r="L362" s="166"/>
      <c r="M362" s="166"/>
      <c r="N362" s="166"/>
      <c r="O362" s="166"/>
      <c r="P362" s="14"/>
      <c r="Q362" s="14"/>
      <c r="R362" s="14"/>
      <c r="S362" s="14"/>
      <c r="T362" s="14"/>
    </row>
    <row r="363" spans="1:20" s="18" customFormat="1" ht="15.75">
      <c r="A363" s="149"/>
      <c r="B363" s="148"/>
      <c r="C363" s="148"/>
      <c r="D363" s="148"/>
      <c r="E363" s="148"/>
      <c r="F363" s="148"/>
      <c r="G363" s="148"/>
      <c r="H363" s="148"/>
      <c r="I363" s="76"/>
      <c r="J363" s="148"/>
      <c r="K363" s="166"/>
      <c r="L363" s="166"/>
      <c r="M363" s="166"/>
      <c r="N363" s="166"/>
      <c r="O363" s="166"/>
      <c r="P363" s="14"/>
      <c r="Q363" s="14"/>
      <c r="R363" s="14"/>
      <c r="S363" s="14"/>
      <c r="T363" s="14"/>
    </row>
    <row r="364" spans="1:20" s="18" customFormat="1" ht="15.75">
      <c r="A364" s="149"/>
      <c r="B364" s="148"/>
      <c r="C364" s="148"/>
      <c r="D364" s="148"/>
      <c r="E364" s="148"/>
      <c r="F364" s="148"/>
      <c r="G364" s="148"/>
      <c r="H364" s="148"/>
      <c r="I364" s="76"/>
      <c r="J364" s="148"/>
      <c r="K364" s="166"/>
      <c r="L364" s="166"/>
      <c r="M364" s="166"/>
      <c r="N364" s="166"/>
      <c r="O364" s="166"/>
      <c r="P364" s="14"/>
      <c r="Q364" s="14"/>
      <c r="R364" s="14"/>
      <c r="S364" s="14"/>
      <c r="T364" s="14"/>
    </row>
    <row r="365" spans="1:20" s="18" customFormat="1" ht="15.75">
      <c r="A365" s="149"/>
      <c r="B365" s="148"/>
      <c r="C365" s="148"/>
      <c r="D365" s="148"/>
      <c r="E365" s="148"/>
      <c r="F365" s="148"/>
      <c r="G365" s="148"/>
      <c r="H365" s="148"/>
      <c r="I365" s="76"/>
      <c r="J365" s="148"/>
      <c r="K365" s="166"/>
      <c r="L365" s="166"/>
      <c r="M365" s="166"/>
      <c r="N365" s="166"/>
      <c r="O365" s="166"/>
      <c r="P365" s="14"/>
      <c r="Q365" s="14"/>
      <c r="R365" s="14"/>
      <c r="S365" s="14"/>
      <c r="T365" s="14"/>
    </row>
    <row r="366" spans="1:20" s="18" customFormat="1" ht="15.75">
      <c r="A366" s="149"/>
      <c r="B366" s="148"/>
      <c r="C366" s="148"/>
      <c r="D366" s="148"/>
      <c r="E366" s="148"/>
      <c r="F366" s="148"/>
      <c r="G366" s="148"/>
      <c r="H366" s="148"/>
      <c r="I366" s="76"/>
      <c r="J366" s="148"/>
      <c r="K366" s="166"/>
      <c r="L366" s="166"/>
      <c r="M366" s="166"/>
      <c r="N366" s="166"/>
      <c r="O366" s="166"/>
      <c r="P366" s="14"/>
      <c r="Q366" s="14"/>
      <c r="R366" s="14"/>
      <c r="S366" s="14"/>
      <c r="T366" s="14"/>
    </row>
    <row r="367" spans="1:20" s="18" customFormat="1" ht="15.75">
      <c r="A367" s="149"/>
      <c r="B367" s="148"/>
      <c r="C367" s="148"/>
      <c r="D367" s="148"/>
      <c r="E367" s="148"/>
      <c r="F367" s="148"/>
      <c r="G367" s="148"/>
      <c r="H367" s="148"/>
      <c r="I367" s="76"/>
      <c r="J367" s="148"/>
      <c r="K367" s="166"/>
      <c r="L367" s="166"/>
      <c r="M367" s="166"/>
      <c r="N367" s="166"/>
      <c r="O367" s="166"/>
      <c r="P367" s="14"/>
      <c r="Q367" s="14"/>
      <c r="R367" s="14"/>
      <c r="S367" s="14"/>
      <c r="T367" s="14"/>
    </row>
    <row r="368" spans="1:20" s="18" customFormat="1" ht="15.75">
      <c r="A368" s="149"/>
      <c r="B368" s="148"/>
      <c r="C368" s="148"/>
      <c r="D368" s="148"/>
      <c r="E368" s="148"/>
      <c r="F368" s="148"/>
      <c r="G368" s="148"/>
      <c r="H368" s="148"/>
      <c r="I368" s="76"/>
      <c r="J368" s="148"/>
      <c r="K368" s="166"/>
      <c r="L368" s="166"/>
      <c r="M368" s="166"/>
      <c r="N368" s="166"/>
      <c r="O368" s="166"/>
      <c r="P368" s="14"/>
      <c r="Q368" s="14"/>
      <c r="R368" s="14"/>
      <c r="S368" s="14"/>
      <c r="T368" s="14"/>
    </row>
    <row r="369" spans="1:20" s="18" customFormat="1" ht="15.75">
      <c r="A369" s="149"/>
      <c r="B369" s="148"/>
      <c r="C369" s="148"/>
      <c r="D369" s="148"/>
      <c r="E369" s="148"/>
      <c r="F369" s="148"/>
      <c r="G369" s="148"/>
      <c r="H369" s="148"/>
      <c r="I369" s="76"/>
      <c r="J369" s="148"/>
      <c r="K369" s="166"/>
      <c r="L369" s="166"/>
      <c r="M369" s="166"/>
      <c r="N369" s="166"/>
      <c r="O369" s="166"/>
      <c r="P369" s="14"/>
      <c r="Q369" s="14"/>
      <c r="R369" s="14"/>
      <c r="S369" s="14"/>
      <c r="T369" s="14"/>
    </row>
    <row r="370" spans="1:20" s="18" customFormat="1" ht="15.75">
      <c r="A370" s="149"/>
      <c r="B370" s="148"/>
      <c r="C370" s="148"/>
      <c r="D370" s="148"/>
      <c r="E370" s="148"/>
      <c r="F370" s="148"/>
      <c r="G370" s="148"/>
      <c r="H370" s="148"/>
      <c r="I370" s="76"/>
      <c r="J370" s="148"/>
      <c r="K370" s="166"/>
      <c r="L370" s="166"/>
      <c r="M370" s="166"/>
      <c r="N370" s="166"/>
      <c r="O370" s="166"/>
      <c r="P370" s="14"/>
      <c r="Q370" s="14"/>
      <c r="R370" s="14"/>
      <c r="S370" s="14"/>
      <c r="T370" s="14"/>
    </row>
    <row r="371" spans="1:20" s="18" customFormat="1" ht="15.75">
      <c r="A371" s="149"/>
      <c r="B371" s="148"/>
      <c r="C371" s="148"/>
      <c r="D371" s="148"/>
      <c r="E371" s="148"/>
      <c r="F371" s="148"/>
      <c r="G371" s="148"/>
      <c r="H371" s="148"/>
      <c r="I371" s="76"/>
      <c r="J371" s="148"/>
      <c r="K371" s="166"/>
      <c r="L371" s="166"/>
      <c r="M371" s="166"/>
      <c r="N371" s="166"/>
      <c r="O371" s="166"/>
      <c r="P371" s="14"/>
      <c r="Q371" s="14"/>
      <c r="R371" s="14"/>
      <c r="S371" s="14"/>
      <c r="T371" s="14"/>
    </row>
    <row r="372" spans="1:20" s="18" customFormat="1" ht="15.75">
      <c r="A372" s="149"/>
      <c r="B372" s="148"/>
      <c r="C372" s="148"/>
      <c r="D372" s="148"/>
      <c r="E372" s="148"/>
      <c r="F372" s="148"/>
      <c r="G372" s="148"/>
      <c r="H372" s="148"/>
      <c r="I372" s="76"/>
      <c r="J372" s="148"/>
      <c r="K372" s="166"/>
      <c r="L372" s="166"/>
      <c r="M372" s="166"/>
      <c r="N372" s="166"/>
      <c r="O372" s="166"/>
      <c r="P372" s="14"/>
      <c r="Q372" s="14"/>
      <c r="R372" s="14"/>
      <c r="S372" s="14"/>
      <c r="T372" s="14"/>
    </row>
    <row r="373" spans="1:20" s="18" customFormat="1" ht="15.75">
      <c r="A373" s="149"/>
      <c r="B373" s="148"/>
      <c r="C373" s="148"/>
      <c r="D373" s="148"/>
      <c r="E373" s="148"/>
      <c r="F373" s="148"/>
      <c r="G373" s="148"/>
      <c r="H373" s="148"/>
      <c r="I373" s="76"/>
      <c r="J373" s="148"/>
      <c r="K373" s="166"/>
      <c r="L373" s="166"/>
      <c r="M373" s="166"/>
      <c r="N373" s="166"/>
      <c r="O373" s="166"/>
      <c r="P373" s="14"/>
      <c r="Q373" s="14"/>
      <c r="R373" s="14"/>
      <c r="S373" s="14"/>
      <c r="T373" s="14"/>
    </row>
    <row r="374" spans="1:20" s="18" customFormat="1" ht="15.75">
      <c r="A374" s="149"/>
      <c r="B374" s="148"/>
      <c r="C374" s="148"/>
      <c r="D374" s="148"/>
      <c r="E374" s="148"/>
      <c r="F374" s="148"/>
      <c r="G374" s="148"/>
      <c r="H374" s="148"/>
      <c r="I374" s="76"/>
      <c r="J374" s="148"/>
      <c r="K374" s="166"/>
      <c r="L374" s="166"/>
      <c r="M374" s="166"/>
      <c r="N374" s="166"/>
      <c r="O374" s="166"/>
      <c r="P374" s="14"/>
      <c r="Q374" s="14"/>
      <c r="R374" s="14"/>
      <c r="S374" s="14"/>
      <c r="T374" s="14"/>
    </row>
    <row r="375" spans="1:20" s="18" customFormat="1" ht="15.75">
      <c r="A375" s="149"/>
      <c r="B375" s="148"/>
      <c r="C375" s="148"/>
      <c r="D375" s="148"/>
      <c r="E375" s="148"/>
      <c r="F375" s="148"/>
      <c r="G375" s="148"/>
      <c r="H375" s="148"/>
      <c r="I375" s="76"/>
      <c r="J375" s="148"/>
      <c r="K375" s="166"/>
      <c r="L375" s="166"/>
      <c r="M375" s="166"/>
      <c r="N375" s="166"/>
      <c r="O375" s="166"/>
      <c r="P375" s="14"/>
      <c r="Q375" s="14"/>
      <c r="R375" s="14"/>
      <c r="S375" s="14"/>
      <c r="T375" s="14"/>
    </row>
    <row r="376" spans="1:20" s="18" customFormat="1" ht="15.75">
      <c r="A376" s="149"/>
      <c r="B376" s="148"/>
      <c r="C376" s="148"/>
      <c r="D376" s="148"/>
      <c r="E376" s="148"/>
      <c r="F376" s="148"/>
      <c r="G376" s="148"/>
      <c r="H376" s="148"/>
      <c r="I376" s="76"/>
      <c r="J376" s="148"/>
      <c r="K376" s="166"/>
      <c r="L376" s="166"/>
      <c r="M376" s="166"/>
      <c r="N376" s="166"/>
      <c r="O376" s="166"/>
      <c r="P376" s="14"/>
      <c r="Q376" s="14"/>
      <c r="R376" s="14"/>
      <c r="S376" s="14"/>
      <c r="T376" s="14"/>
    </row>
    <row r="377" spans="1:20" s="18" customFormat="1" ht="15.75">
      <c r="A377" s="149"/>
      <c r="B377" s="148"/>
      <c r="C377" s="148"/>
      <c r="D377" s="148"/>
      <c r="E377" s="148"/>
      <c r="F377" s="148"/>
      <c r="G377" s="148"/>
      <c r="H377" s="148"/>
      <c r="I377" s="76"/>
      <c r="J377" s="148"/>
      <c r="K377" s="166"/>
      <c r="L377" s="166"/>
      <c r="M377" s="166"/>
      <c r="N377" s="166"/>
      <c r="O377" s="166"/>
      <c r="P377" s="14"/>
      <c r="Q377" s="14"/>
      <c r="R377" s="14"/>
      <c r="S377" s="14"/>
      <c r="T377" s="14"/>
    </row>
    <row r="378" spans="1:20" s="18" customFormat="1" ht="15.75">
      <c r="A378" s="149"/>
      <c r="B378" s="148"/>
      <c r="C378" s="148"/>
      <c r="D378" s="148"/>
      <c r="E378" s="148"/>
      <c r="F378" s="148"/>
      <c r="G378" s="148"/>
      <c r="H378" s="148"/>
      <c r="I378" s="76"/>
      <c r="J378" s="148"/>
      <c r="K378" s="166"/>
      <c r="L378" s="166"/>
      <c r="M378" s="166"/>
      <c r="N378" s="166"/>
      <c r="O378" s="166"/>
      <c r="P378" s="14"/>
      <c r="Q378" s="14"/>
      <c r="R378" s="14"/>
      <c r="S378" s="14"/>
      <c r="T378" s="14"/>
    </row>
    <row r="379" spans="1:20" s="18" customFormat="1" ht="15.75">
      <c r="A379" s="149"/>
      <c r="B379" s="148"/>
      <c r="C379" s="148"/>
      <c r="D379" s="148"/>
      <c r="E379" s="148"/>
      <c r="F379" s="148"/>
      <c r="G379" s="148"/>
      <c r="H379" s="148"/>
      <c r="I379" s="76"/>
      <c r="J379" s="148"/>
      <c r="K379" s="166"/>
      <c r="L379" s="166"/>
      <c r="M379" s="166"/>
      <c r="N379" s="166"/>
      <c r="O379" s="166"/>
      <c r="P379" s="14"/>
      <c r="Q379" s="14"/>
      <c r="R379" s="14"/>
      <c r="S379" s="14"/>
      <c r="T379" s="14"/>
    </row>
    <row r="380" spans="1:20" s="18" customFormat="1" ht="15.75">
      <c r="A380" s="149"/>
      <c r="B380" s="148"/>
      <c r="C380" s="148"/>
      <c r="D380" s="148"/>
      <c r="E380" s="148"/>
      <c r="F380" s="148"/>
      <c r="G380" s="148"/>
      <c r="H380" s="148"/>
      <c r="I380" s="76"/>
      <c r="J380" s="148"/>
      <c r="K380" s="166"/>
      <c r="L380" s="166"/>
      <c r="M380" s="166"/>
      <c r="N380" s="166"/>
      <c r="O380" s="166"/>
      <c r="P380" s="14"/>
      <c r="Q380" s="14"/>
      <c r="R380" s="14"/>
      <c r="S380" s="14"/>
      <c r="T380" s="14"/>
    </row>
    <row r="381" spans="1:20" s="18" customFormat="1" ht="15.75">
      <c r="A381" s="149"/>
      <c r="B381" s="148"/>
      <c r="C381" s="148"/>
      <c r="D381" s="148"/>
      <c r="E381" s="148"/>
      <c r="F381" s="148"/>
      <c r="G381" s="148"/>
      <c r="H381" s="148"/>
      <c r="I381" s="76"/>
      <c r="J381" s="148"/>
      <c r="K381" s="166"/>
      <c r="L381" s="166"/>
      <c r="M381" s="166"/>
      <c r="N381" s="166"/>
      <c r="O381" s="166"/>
      <c r="P381" s="14"/>
      <c r="Q381" s="14"/>
      <c r="R381" s="14"/>
      <c r="S381" s="14"/>
      <c r="T381" s="14"/>
    </row>
    <row r="382" spans="1:20" s="18" customFormat="1" ht="15.75">
      <c r="A382" s="149"/>
      <c r="B382" s="148"/>
      <c r="C382" s="148"/>
      <c r="D382" s="148"/>
      <c r="E382" s="148"/>
      <c r="F382" s="148"/>
      <c r="G382" s="148"/>
      <c r="H382" s="148"/>
      <c r="I382" s="76"/>
      <c r="J382" s="148"/>
      <c r="K382" s="166"/>
      <c r="L382" s="166"/>
      <c r="M382" s="166"/>
      <c r="N382" s="166"/>
      <c r="O382" s="166"/>
      <c r="P382" s="14"/>
      <c r="Q382" s="14"/>
      <c r="R382" s="14"/>
      <c r="S382" s="14"/>
      <c r="T382" s="14"/>
    </row>
    <row r="383" spans="1:20" s="18" customFormat="1" ht="15.75">
      <c r="A383" s="149"/>
      <c r="B383" s="148"/>
      <c r="C383" s="148"/>
      <c r="D383" s="148"/>
      <c r="E383" s="148"/>
      <c r="F383" s="148"/>
      <c r="G383" s="148"/>
      <c r="H383" s="148"/>
      <c r="I383" s="76"/>
      <c r="J383" s="148"/>
      <c r="K383" s="166"/>
      <c r="L383" s="166"/>
      <c r="M383" s="166"/>
      <c r="N383" s="166"/>
      <c r="O383" s="166"/>
      <c r="P383" s="14"/>
      <c r="Q383" s="14"/>
      <c r="R383" s="14"/>
      <c r="S383" s="14"/>
      <c r="T383" s="14"/>
    </row>
    <row r="384" spans="1:20" s="18" customFormat="1" ht="15.75">
      <c r="A384" s="149"/>
      <c r="B384" s="148"/>
      <c r="C384" s="148"/>
      <c r="D384" s="148"/>
      <c r="E384" s="148"/>
      <c r="F384" s="148"/>
      <c r="G384" s="148"/>
      <c r="H384" s="148"/>
      <c r="I384" s="76"/>
      <c r="J384" s="148"/>
      <c r="K384" s="166"/>
      <c r="L384" s="166"/>
      <c r="M384" s="166"/>
      <c r="N384" s="166"/>
      <c r="O384" s="166"/>
      <c r="P384" s="14"/>
      <c r="Q384" s="14"/>
      <c r="R384" s="14"/>
      <c r="S384" s="14"/>
      <c r="T384" s="14"/>
    </row>
    <row r="385" spans="1:20" s="18" customFormat="1" ht="15.75">
      <c r="A385" s="149"/>
      <c r="B385" s="148"/>
      <c r="C385" s="148"/>
      <c r="D385" s="148"/>
      <c r="E385" s="148"/>
      <c r="F385" s="148"/>
      <c r="G385" s="148"/>
      <c r="H385" s="148"/>
      <c r="I385" s="76"/>
      <c r="J385" s="148"/>
      <c r="K385" s="166"/>
      <c r="L385" s="166"/>
      <c r="M385" s="166"/>
      <c r="N385" s="166"/>
      <c r="O385" s="166"/>
      <c r="P385" s="14"/>
      <c r="Q385" s="14"/>
      <c r="R385" s="14"/>
      <c r="S385" s="14"/>
      <c r="T385" s="14"/>
    </row>
    <row r="386" spans="1:20" s="18" customFormat="1" ht="15.75">
      <c r="A386" s="149"/>
      <c r="B386" s="148"/>
      <c r="C386" s="148"/>
      <c r="D386" s="148"/>
      <c r="E386" s="148"/>
      <c r="F386" s="148"/>
      <c r="G386" s="148"/>
      <c r="H386" s="148"/>
      <c r="I386" s="76"/>
      <c r="J386" s="148"/>
      <c r="K386" s="166"/>
      <c r="L386" s="166"/>
      <c r="M386" s="166"/>
      <c r="N386" s="166"/>
      <c r="O386" s="166"/>
      <c r="P386" s="14"/>
      <c r="Q386" s="14"/>
      <c r="R386" s="14"/>
      <c r="S386" s="14"/>
      <c r="T386" s="14"/>
    </row>
    <row r="387" spans="1:20" s="18" customFormat="1" ht="15.75">
      <c r="A387" s="149"/>
      <c r="B387" s="148"/>
      <c r="C387" s="148"/>
      <c r="D387" s="148"/>
      <c r="E387" s="148"/>
      <c r="F387" s="148"/>
      <c r="G387" s="148"/>
      <c r="H387" s="148"/>
      <c r="I387" s="76"/>
      <c r="J387" s="148"/>
      <c r="K387" s="166"/>
      <c r="L387" s="166"/>
      <c r="M387" s="166"/>
      <c r="N387" s="166"/>
      <c r="O387" s="166"/>
      <c r="P387" s="14"/>
      <c r="Q387" s="14"/>
      <c r="R387" s="14"/>
      <c r="S387" s="14"/>
      <c r="T387" s="14"/>
    </row>
    <row r="388" spans="1:20" s="18" customFormat="1" ht="15.75">
      <c r="A388" s="149"/>
      <c r="B388" s="148"/>
      <c r="C388" s="148"/>
      <c r="D388" s="148"/>
      <c r="E388" s="148"/>
      <c r="F388" s="148"/>
      <c r="G388" s="148"/>
      <c r="H388" s="148"/>
      <c r="I388" s="76"/>
      <c r="J388" s="148"/>
      <c r="K388" s="166"/>
      <c r="L388" s="166"/>
      <c r="M388" s="166"/>
      <c r="N388" s="166"/>
      <c r="O388" s="166"/>
      <c r="P388" s="14"/>
      <c r="Q388" s="14"/>
      <c r="R388" s="14"/>
      <c r="S388" s="14"/>
      <c r="T388" s="14"/>
    </row>
    <row r="389" spans="1:20" s="18" customFormat="1" ht="15.75">
      <c r="A389" s="149"/>
      <c r="B389" s="148"/>
      <c r="C389" s="148"/>
      <c r="D389" s="148"/>
      <c r="E389" s="148"/>
      <c r="F389" s="148"/>
      <c r="G389" s="148"/>
      <c r="H389" s="148"/>
      <c r="I389" s="76"/>
      <c r="J389" s="148"/>
      <c r="K389" s="166"/>
      <c r="L389" s="166"/>
      <c r="M389" s="166"/>
      <c r="N389" s="166"/>
      <c r="O389" s="166"/>
      <c r="P389" s="14"/>
      <c r="Q389" s="14"/>
      <c r="R389" s="14"/>
      <c r="S389" s="14"/>
      <c r="T389" s="14"/>
    </row>
    <row r="390" spans="1:20" s="18" customFormat="1" ht="15.75">
      <c r="A390" s="149"/>
      <c r="B390" s="148"/>
      <c r="C390" s="148"/>
      <c r="D390" s="148"/>
      <c r="E390" s="148"/>
      <c r="F390" s="148"/>
      <c r="G390" s="148"/>
      <c r="H390" s="148"/>
      <c r="I390" s="76"/>
      <c r="J390" s="148"/>
      <c r="K390" s="166"/>
      <c r="L390" s="166"/>
      <c r="M390" s="166"/>
      <c r="N390" s="166"/>
      <c r="O390" s="166"/>
      <c r="P390" s="14"/>
      <c r="Q390" s="14"/>
      <c r="R390" s="14"/>
      <c r="S390" s="14"/>
      <c r="T390" s="14"/>
    </row>
    <row r="391" spans="1:20" s="18" customFormat="1" ht="15.75">
      <c r="A391" s="149"/>
      <c r="B391" s="148"/>
      <c r="C391" s="148"/>
      <c r="D391" s="148"/>
      <c r="E391" s="148"/>
      <c r="F391" s="148"/>
      <c r="G391" s="148"/>
      <c r="H391" s="148"/>
      <c r="I391" s="76"/>
      <c r="J391" s="148"/>
      <c r="K391" s="166"/>
      <c r="L391" s="166"/>
      <c r="M391" s="166"/>
      <c r="N391" s="166"/>
      <c r="O391" s="166"/>
      <c r="P391" s="14"/>
      <c r="Q391" s="14"/>
      <c r="R391" s="14"/>
      <c r="S391" s="14"/>
      <c r="T391" s="14"/>
    </row>
    <row r="392" spans="1:20" s="18" customFormat="1" ht="15.75">
      <c r="A392" s="149"/>
      <c r="B392" s="148"/>
      <c r="C392" s="148"/>
      <c r="D392" s="148"/>
      <c r="E392" s="148"/>
      <c r="F392" s="148"/>
      <c r="G392" s="148"/>
      <c r="H392" s="148"/>
      <c r="I392" s="76"/>
      <c r="J392" s="148"/>
      <c r="K392" s="166"/>
      <c r="L392" s="166"/>
      <c r="M392" s="166"/>
      <c r="N392" s="166"/>
      <c r="O392" s="166"/>
      <c r="P392" s="14"/>
      <c r="Q392" s="14"/>
      <c r="R392" s="14"/>
      <c r="S392" s="14"/>
      <c r="T392" s="14"/>
    </row>
    <row r="393" spans="1:20" s="18" customFormat="1" ht="15.75">
      <c r="A393" s="149"/>
      <c r="B393" s="148"/>
      <c r="C393" s="148"/>
      <c r="D393" s="148"/>
      <c r="E393" s="148"/>
      <c r="F393" s="148"/>
      <c r="G393" s="148"/>
      <c r="H393" s="148"/>
      <c r="I393" s="76"/>
      <c r="J393" s="148"/>
      <c r="K393" s="166"/>
      <c r="L393" s="166"/>
      <c r="M393" s="166"/>
      <c r="N393" s="166"/>
      <c r="O393" s="166"/>
      <c r="P393" s="14"/>
      <c r="Q393" s="14"/>
      <c r="R393" s="14"/>
      <c r="S393" s="14"/>
      <c r="T393" s="14"/>
    </row>
    <row r="394" spans="1:20" s="18" customFormat="1" ht="15.75">
      <c r="A394" s="149"/>
      <c r="B394" s="148"/>
      <c r="C394" s="148"/>
      <c r="D394" s="148"/>
      <c r="E394" s="148"/>
      <c r="F394" s="148"/>
      <c r="G394" s="148"/>
      <c r="H394" s="148"/>
      <c r="I394" s="76"/>
      <c r="J394" s="148"/>
      <c r="K394" s="166"/>
      <c r="L394" s="166"/>
      <c r="M394" s="166"/>
      <c r="N394" s="166"/>
      <c r="O394" s="166"/>
      <c r="P394" s="14"/>
      <c r="Q394" s="14"/>
      <c r="R394" s="14"/>
      <c r="S394" s="14"/>
      <c r="T394" s="14"/>
    </row>
    <row r="395" spans="1:20" s="18" customFormat="1" ht="15.75">
      <c r="A395" s="149"/>
      <c r="B395" s="148"/>
      <c r="C395" s="148"/>
      <c r="D395" s="148"/>
      <c r="E395" s="148"/>
      <c r="F395" s="148"/>
      <c r="G395" s="148"/>
      <c r="H395" s="148"/>
      <c r="I395" s="76"/>
      <c r="J395" s="148"/>
      <c r="K395" s="166"/>
      <c r="L395" s="166"/>
      <c r="M395" s="166"/>
      <c r="N395" s="166"/>
      <c r="O395" s="166"/>
      <c r="P395" s="14"/>
      <c r="Q395" s="14"/>
      <c r="R395" s="14"/>
      <c r="S395" s="14"/>
      <c r="T395" s="14"/>
    </row>
    <row r="396" spans="1:20" s="18" customFormat="1" ht="15.75">
      <c r="A396" s="149"/>
      <c r="B396" s="148"/>
      <c r="C396" s="148"/>
      <c r="D396" s="148"/>
      <c r="E396" s="148"/>
      <c r="F396" s="148"/>
      <c r="G396" s="148"/>
      <c r="H396" s="148"/>
      <c r="I396" s="76"/>
      <c r="J396" s="148"/>
      <c r="K396" s="166"/>
      <c r="L396" s="166"/>
      <c r="M396" s="166"/>
      <c r="N396" s="166"/>
      <c r="O396" s="166"/>
      <c r="P396" s="14"/>
      <c r="Q396" s="14"/>
      <c r="R396" s="14"/>
      <c r="S396" s="14"/>
      <c r="T396" s="14"/>
    </row>
    <row r="397" spans="1:20" s="18" customFormat="1" ht="15.75">
      <c r="A397" s="149"/>
      <c r="B397" s="148"/>
      <c r="C397" s="148"/>
      <c r="D397" s="148"/>
      <c r="E397" s="148"/>
      <c r="F397" s="148"/>
      <c r="G397" s="148"/>
      <c r="H397" s="148"/>
      <c r="I397" s="76"/>
      <c r="J397" s="148"/>
      <c r="K397" s="166"/>
      <c r="L397" s="166"/>
      <c r="M397" s="166"/>
      <c r="N397" s="166"/>
      <c r="O397" s="166"/>
      <c r="P397" s="14"/>
      <c r="Q397" s="14"/>
      <c r="R397" s="14"/>
      <c r="S397" s="14"/>
      <c r="T397" s="14"/>
    </row>
    <row r="398" spans="1:20" s="18" customFormat="1" ht="15.75">
      <c r="A398" s="149"/>
      <c r="B398" s="148"/>
      <c r="C398" s="148"/>
      <c r="D398" s="148"/>
      <c r="E398" s="148"/>
      <c r="F398" s="148"/>
      <c r="G398" s="148"/>
      <c r="H398" s="148"/>
      <c r="I398" s="76"/>
      <c r="J398" s="148"/>
      <c r="K398" s="166"/>
      <c r="L398" s="166"/>
      <c r="M398" s="166"/>
      <c r="N398" s="166"/>
      <c r="O398" s="166"/>
      <c r="P398" s="14"/>
      <c r="Q398" s="14"/>
      <c r="R398" s="14"/>
      <c r="S398" s="14"/>
      <c r="T398" s="14"/>
    </row>
    <row r="399" spans="1:20" s="18" customFormat="1" ht="15.75">
      <c r="A399" s="149"/>
      <c r="B399" s="148"/>
      <c r="C399" s="148"/>
      <c r="D399" s="148"/>
      <c r="E399" s="148"/>
      <c r="F399" s="148"/>
      <c r="G399" s="148"/>
      <c r="H399" s="148"/>
      <c r="I399" s="76"/>
      <c r="J399" s="148"/>
      <c r="K399" s="166"/>
      <c r="L399" s="166"/>
      <c r="M399" s="166"/>
      <c r="N399" s="166"/>
      <c r="O399" s="166"/>
      <c r="P399" s="14"/>
      <c r="Q399" s="14"/>
      <c r="R399" s="14"/>
      <c r="S399" s="14"/>
      <c r="T399" s="14"/>
    </row>
    <row r="400" spans="1:20" s="18" customFormat="1" ht="15.75">
      <c r="A400" s="149"/>
      <c r="B400" s="148"/>
      <c r="C400" s="148"/>
      <c r="D400" s="148"/>
      <c r="E400" s="148"/>
      <c r="F400" s="148"/>
      <c r="G400" s="148"/>
      <c r="H400" s="148"/>
      <c r="I400" s="76"/>
      <c r="J400" s="148"/>
      <c r="K400" s="166"/>
      <c r="L400" s="166"/>
      <c r="M400" s="166"/>
      <c r="N400" s="166"/>
      <c r="O400" s="166"/>
      <c r="P400" s="14"/>
      <c r="Q400" s="14"/>
      <c r="R400" s="14"/>
      <c r="S400" s="14"/>
      <c r="T400" s="14"/>
    </row>
    <row r="401" spans="1:20" s="18" customFormat="1" ht="15.75">
      <c r="A401" s="149"/>
      <c r="B401" s="148"/>
      <c r="C401" s="148"/>
      <c r="D401" s="148"/>
      <c r="E401" s="148"/>
      <c r="F401" s="148"/>
      <c r="G401" s="148"/>
      <c r="H401" s="148"/>
      <c r="I401" s="76"/>
      <c r="J401" s="148"/>
      <c r="K401" s="166"/>
      <c r="L401" s="166"/>
      <c r="M401" s="166"/>
      <c r="N401" s="166"/>
      <c r="O401" s="166"/>
      <c r="P401" s="14"/>
      <c r="Q401" s="14"/>
      <c r="R401" s="14"/>
      <c r="S401" s="14"/>
      <c r="T401" s="14"/>
    </row>
    <row r="402" spans="1:20" s="18" customFormat="1" ht="15.75">
      <c r="A402" s="149"/>
      <c r="B402" s="148"/>
      <c r="C402" s="148"/>
      <c r="D402" s="148"/>
      <c r="E402" s="148"/>
      <c r="F402" s="148"/>
      <c r="G402" s="148"/>
      <c r="H402" s="148"/>
      <c r="I402" s="76"/>
      <c r="J402" s="148"/>
      <c r="K402" s="166"/>
      <c r="L402" s="166"/>
      <c r="M402" s="166"/>
      <c r="N402" s="166"/>
      <c r="O402" s="166"/>
      <c r="P402" s="14"/>
      <c r="Q402" s="14"/>
      <c r="R402" s="14"/>
      <c r="S402" s="14"/>
      <c r="T402" s="14"/>
    </row>
    <row r="403" spans="1:20" s="18" customFormat="1" ht="15.75">
      <c r="A403" s="149"/>
      <c r="B403" s="148"/>
      <c r="C403" s="148"/>
      <c r="D403" s="148"/>
      <c r="E403" s="148"/>
      <c r="F403" s="148"/>
      <c r="G403" s="148"/>
      <c r="H403" s="148"/>
      <c r="I403" s="76"/>
      <c r="J403" s="148"/>
      <c r="K403" s="166"/>
      <c r="L403" s="166"/>
      <c r="M403" s="166"/>
      <c r="N403" s="166"/>
      <c r="O403" s="166"/>
      <c r="P403" s="14"/>
      <c r="Q403" s="14"/>
      <c r="R403" s="14"/>
      <c r="S403" s="14"/>
      <c r="T403" s="14"/>
    </row>
    <row r="404" spans="1:20" s="18" customFormat="1" ht="15.75">
      <c r="A404" s="149"/>
      <c r="B404" s="148"/>
      <c r="C404" s="148"/>
      <c r="D404" s="148"/>
      <c r="E404" s="148"/>
      <c r="F404" s="148"/>
      <c r="G404" s="148"/>
      <c r="H404" s="148"/>
      <c r="I404" s="76"/>
      <c r="J404" s="148"/>
      <c r="K404" s="166"/>
      <c r="L404" s="166"/>
      <c r="M404" s="166"/>
      <c r="N404" s="166"/>
      <c r="O404" s="166"/>
      <c r="P404" s="14"/>
      <c r="Q404" s="14"/>
      <c r="R404" s="14"/>
      <c r="S404" s="14"/>
      <c r="T404" s="14"/>
    </row>
    <row r="405" spans="1:20" s="18" customFormat="1" ht="15.75">
      <c r="A405" s="149"/>
      <c r="B405" s="148"/>
      <c r="C405" s="148"/>
      <c r="D405" s="148"/>
      <c r="E405" s="148"/>
      <c r="F405" s="148"/>
      <c r="G405" s="148"/>
      <c r="H405" s="148"/>
      <c r="I405" s="76"/>
      <c r="J405" s="148"/>
      <c r="K405" s="166"/>
      <c r="L405" s="166"/>
      <c r="M405" s="166"/>
      <c r="N405" s="166"/>
      <c r="O405" s="166"/>
      <c r="P405" s="14"/>
      <c r="Q405" s="14"/>
      <c r="R405" s="14"/>
      <c r="S405" s="14"/>
      <c r="T405" s="14"/>
    </row>
    <row r="406" spans="1:20" s="18" customFormat="1" ht="15.75">
      <c r="A406" s="149"/>
      <c r="B406" s="148"/>
      <c r="C406" s="148"/>
      <c r="D406" s="148"/>
      <c r="E406" s="148"/>
      <c r="F406" s="148"/>
      <c r="G406" s="148"/>
      <c r="H406" s="148"/>
      <c r="I406" s="76"/>
      <c r="J406" s="148"/>
      <c r="K406" s="166"/>
      <c r="L406" s="166"/>
      <c r="M406" s="166"/>
      <c r="N406" s="166"/>
      <c r="O406" s="166"/>
      <c r="P406" s="14"/>
      <c r="Q406" s="14"/>
      <c r="R406" s="14"/>
      <c r="S406" s="14"/>
      <c r="T406" s="14"/>
    </row>
    <row r="407" spans="1:20" s="18" customFormat="1" ht="15.75">
      <c r="A407" s="149"/>
      <c r="B407" s="148"/>
      <c r="C407" s="148"/>
      <c r="D407" s="148"/>
      <c r="E407" s="148"/>
      <c r="F407" s="148"/>
      <c r="G407" s="148"/>
      <c r="H407" s="148"/>
      <c r="I407" s="76"/>
      <c r="J407" s="148"/>
      <c r="K407" s="166"/>
      <c r="L407" s="166"/>
      <c r="M407" s="166"/>
      <c r="N407" s="166"/>
      <c r="O407" s="166"/>
      <c r="P407" s="14"/>
      <c r="Q407" s="14"/>
      <c r="R407" s="14"/>
      <c r="S407" s="14"/>
      <c r="T407" s="14"/>
    </row>
    <row r="408" spans="1:20" s="18" customFormat="1" ht="15.75">
      <c r="A408" s="149"/>
      <c r="B408" s="148"/>
      <c r="C408" s="148"/>
      <c r="D408" s="148"/>
      <c r="E408" s="148"/>
      <c r="F408" s="148"/>
      <c r="G408" s="148"/>
      <c r="H408" s="148"/>
      <c r="I408" s="76"/>
      <c r="J408" s="148"/>
      <c r="K408" s="166"/>
      <c r="L408" s="166"/>
      <c r="M408" s="166"/>
      <c r="N408" s="166"/>
      <c r="O408" s="166"/>
      <c r="P408" s="14"/>
      <c r="Q408" s="14"/>
      <c r="R408" s="14"/>
      <c r="S408" s="14"/>
      <c r="T408" s="14"/>
    </row>
    <row r="409" spans="1:20" s="18" customFormat="1" ht="15.75">
      <c r="A409" s="149"/>
      <c r="B409" s="148"/>
      <c r="C409" s="148"/>
      <c r="D409" s="148"/>
      <c r="E409" s="148"/>
      <c r="F409" s="148"/>
      <c r="G409" s="148"/>
      <c r="H409" s="148"/>
      <c r="I409" s="76"/>
      <c r="J409" s="148"/>
      <c r="K409" s="166"/>
      <c r="L409" s="166"/>
      <c r="M409" s="166"/>
      <c r="N409" s="166"/>
      <c r="O409" s="166"/>
      <c r="P409" s="14"/>
      <c r="Q409" s="14"/>
      <c r="R409" s="14"/>
      <c r="S409" s="14"/>
      <c r="T409" s="14"/>
    </row>
    <row r="410" spans="1:20" s="18" customFormat="1" ht="15.75">
      <c r="A410" s="149"/>
      <c r="B410" s="148"/>
      <c r="C410" s="148"/>
      <c r="D410" s="148"/>
      <c r="E410" s="148"/>
      <c r="F410" s="148"/>
      <c r="G410" s="148"/>
      <c r="H410" s="148"/>
      <c r="I410" s="76"/>
      <c r="J410" s="148"/>
      <c r="K410" s="166"/>
      <c r="L410" s="166"/>
      <c r="M410" s="166"/>
      <c r="N410" s="166"/>
      <c r="O410" s="166"/>
      <c r="P410" s="14"/>
      <c r="Q410" s="14"/>
      <c r="R410" s="14"/>
      <c r="S410" s="14"/>
      <c r="T410" s="14"/>
    </row>
    <row r="411" spans="1:20" s="18" customFormat="1" ht="15.75">
      <c r="A411" s="149"/>
      <c r="B411" s="148"/>
      <c r="C411" s="148"/>
      <c r="D411" s="148"/>
      <c r="E411" s="148"/>
      <c r="F411" s="148"/>
      <c r="G411" s="148"/>
      <c r="H411" s="148"/>
      <c r="I411" s="76"/>
      <c r="J411" s="148"/>
      <c r="K411" s="166"/>
      <c r="L411" s="166"/>
      <c r="M411" s="166"/>
      <c r="N411" s="166"/>
      <c r="O411" s="166"/>
      <c r="P411" s="14"/>
      <c r="Q411" s="14"/>
      <c r="R411" s="14"/>
      <c r="S411" s="14"/>
      <c r="T411" s="14"/>
    </row>
    <row r="412" spans="1:20" s="18" customFormat="1" ht="15.75">
      <c r="A412" s="149"/>
      <c r="B412" s="148"/>
      <c r="C412" s="148"/>
      <c r="D412" s="148"/>
      <c r="E412" s="148"/>
      <c r="F412" s="148"/>
      <c r="G412" s="148"/>
      <c r="H412" s="148"/>
      <c r="I412" s="76"/>
      <c r="J412" s="148"/>
      <c r="K412" s="166"/>
      <c r="L412" s="166"/>
      <c r="M412" s="166"/>
      <c r="N412" s="166"/>
      <c r="O412" s="166"/>
      <c r="P412" s="14"/>
      <c r="Q412" s="14"/>
      <c r="R412" s="14"/>
      <c r="S412" s="14"/>
      <c r="T412" s="14"/>
    </row>
    <row r="413" spans="1:20" s="18" customFormat="1" ht="15.75">
      <c r="A413" s="149"/>
      <c r="B413" s="148"/>
      <c r="C413" s="148"/>
      <c r="D413" s="148"/>
      <c r="E413" s="148"/>
      <c r="F413" s="148"/>
      <c r="G413" s="148"/>
      <c r="H413" s="148"/>
      <c r="I413" s="76"/>
      <c r="J413" s="148"/>
      <c r="K413" s="166"/>
      <c r="L413" s="166"/>
      <c r="M413" s="166"/>
      <c r="N413" s="166"/>
      <c r="O413" s="166"/>
      <c r="P413" s="14"/>
      <c r="Q413" s="14"/>
      <c r="R413" s="14"/>
      <c r="S413" s="14"/>
      <c r="T413" s="14"/>
    </row>
    <row r="414" spans="1:20" s="18" customFormat="1" ht="15.75">
      <c r="A414" s="149"/>
      <c r="B414" s="148"/>
      <c r="C414" s="148"/>
      <c r="D414" s="148"/>
      <c r="E414" s="148"/>
      <c r="F414" s="148"/>
      <c r="G414" s="148"/>
      <c r="H414" s="148"/>
      <c r="I414" s="76"/>
      <c r="J414" s="148"/>
      <c r="K414" s="166"/>
      <c r="L414" s="166"/>
      <c r="M414" s="166"/>
      <c r="N414" s="166"/>
      <c r="O414" s="166"/>
      <c r="P414" s="14"/>
      <c r="Q414" s="14"/>
      <c r="R414" s="14"/>
      <c r="S414" s="14"/>
      <c r="T414" s="14"/>
    </row>
    <row r="415" spans="1:20" s="18" customFormat="1" ht="15.75">
      <c r="A415" s="149"/>
      <c r="B415" s="148"/>
      <c r="C415" s="148"/>
      <c r="D415" s="148"/>
      <c r="E415" s="148"/>
      <c r="F415" s="148"/>
      <c r="G415" s="148"/>
      <c r="H415" s="148"/>
      <c r="I415" s="76"/>
      <c r="J415" s="148"/>
      <c r="K415" s="166"/>
      <c r="L415" s="166"/>
      <c r="M415" s="166"/>
      <c r="N415" s="166"/>
      <c r="O415" s="166"/>
      <c r="P415" s="14"/>
      <c r="Q415" s="14"/>
      <c r="R415" s="14"/>
      <c r="S415" s="14"/>
      <c r="T415" s="14"/>
    </row>
    <row r="416" spans="1:20" s="18" customFormat="1" ht="15.75">
      <c r="A416" s="149"/>
      <c r="B416" s="148"/>
      <c r="C416" s="148"/>
      <c r="D416" s="148"/>
      <c r="E416" s="148"/>
      <c r="F416" s="148"/>
      <c r="G416" s="148"/>
      <c r="H416" s="148"/>
      <c r="I416" s="76"/>
      <c r="J416" s="148"/>
      <c r="K416" s="166"/>
      <c r="L416" s="166"/>
      <c r="M416" s="166"/>
      <c r="N416" s="166"/>
      <c r="O416" s="166"/>
      <c r="P416" s="14"/>
      <c r="Q416" s="14"/>
      <c r="R416" s="14"/>
      <c r="S416" s="14"/>
      <c r="T416" s="14"/>
    </row>
    <row r="417" spans="1:20" s="18" customFormat="1" ht="15.75">
      <c r="A417" s="149"/>
      <c r="B417" s="148"/>
      <c r="C417" s="148"/>
      <c r="D417" s="148"/>
      <c r="E417" s="148"/>
      <c r="F417" s="148"/>
      <c r="G417" s="148"/>
      <c r="H417" s="148"/>
      <c r="I417" s="76"/>
      <c r="J417" s="148"/>
      <c r="K417" s="166"/>
      <c r="L417" s="166"/>
      <c r="M417" s="166"/>
      <c r="N417" s="166"/>
      <c r="O417" s="166"/>
      <c r="P417" s="14"/>
      <c r="Q417" s="14"/>
      <c r="R417" s="14"/>
      <c r="S417" s="14"/>
      <c r="T417" s="14"/>
    </row>
    <row r="418" spans="1:20" s="18" customFormat="1" ht="15.75">
      <c r="A418" s="149"/>
      <c r="B418" s="148"/>
      <c r="C418" s="148"/>
      <c r="D418" s="148"/>
      <c r="E418" s="148"/>
      <c r="F418" s="148"/>
      <c r="G418" s="148"/>
      <c r="H418" s="148"/>
      <c r="I418" s="76"/>
      <c r="J418" s="148"/>
      <c r="K418" s="166"/>
      <c r="L418" s="166"/>
      <c r="M418" s="166"/>
      <c r="N418" s="166"/>
      <c r="O418" s="166"/>
      <c r="P418" s="14"/>
      <c r="Q418" s="14"/>
      <c r="R418" s="14"/>
      <c r="S418" s="14"/>
      <c r="T418" s="14"/>
    </row>
    <row r="419" spans="1:20" s="18" customFormat="1" ht="15.75">
      <c r="A419" s="149"/>
      <c r="B419" s="148"/>
      <c r="C419" s="148"/>
      <c r="D419" s="148"/>
      <c r="E419" s="148"/>
      <c r="F419" s="148"/>
      <c r="G419" s="148"/>
      <c r="H419" s="148"/>
      <c r="I419" s="76"/>
      <c r="J419" s="148"/>
      <c r="K419" s="166"/>
      <c r="L419" s="166"/>
      <c r="M419" s="166"/>
      <c r="N419" s="166"/>
      <c r="O419" s="166"/>
      <c r="P419" s="14"/>
      <c r="Q419" s="14"/>
      <c r="R419" s="14"/>
      <c r="S419" s="14"/>
      <c r="T419" s="14"/>
    </row>
    <row r="420" spans="1:20" s="18" customFormat="1" ht="15.75">
      <c r="A420" s="149"/>
      <c r="B420" s="148"/>
      <c r="C420" s="148"/>
      <c r="D420" s="148"/>
      <c r="E420" s="148"/>
      <c r="F420" s="148"/>
      <c r="G420" s="148"/>
      <c r="H420" s="148"/>
      <c r="I420" s="76"/>
      <c r="J420" s="148"/>
      <c r="K420" s="166"/>
      <c r="L420" s="166"/>
      <c r="M420" s="166"/>
      <c r="N420" s="166"/>
      <c r="O420" s="166"/>
      <c r="P420" s="14"/>
      <c r="Q420" s="14"/>
      <c r="R420" s="14"/>
      <c r="S420" s="14"/>
      <c r="T420" s="14"/>
    </row>
    <row r="421" spans="1:20" s="18" customFormat="1" ht="15.75">
      <c r="A421" s="149"/>
      <c r="B421" s="148"/>
      <c r="C421" s="148"/>
      <c r="D421" s="148"/>
      <c r="E421" s="148"/>
      <c r="F421" s="148"/>
      <c r="G421" s="148"/>
      <c r="H421" s="148"/>
      <c r="I421" s="76"/>
      <c r="J421" s="148"/>
      <c r="K421" s="166"/>
      <c r="L421" s="166"/>
      <c r="M421" s="166"/>
      <c r="N421" s="166"/>
      <c r="O421" s="166"/>
      <c r="P421" s="14"/>
      <c r="Q421" s="14"/>
      <c r="R421" s="14"/>
      <c r="S421" s="14"/>
      <c r="T421" s="14"/>
    </row>
    <row r="422" spans="1:20" s="18" customFormat="1" ht="15.75">
      <c r="A422" s="149"/>
      <c r="B422" s="148"/>
      <c r="C422" s="148"/>
      <c r="D422" s="148"/>
      <c r="E422" s="148"/>
      <c r="F422" s="148"/>
      <c r="G422" s="148"/>
      <c r="H422" s="148"/>
      <c r="I422" s="76"/>
      <c r="J422" s="148"/>
      <c r="K422" s="166"/>
      <c r="L422" s="166"/>
      <c r="M422" s="166"/>
      <c r="N422" s="166"/>
      <c r="O422" s="166"/>
      <c r="P422" s="14"/>
      <c r="Q422" s="14"/>
      <c r="R422" s="14"/>
      <c r="S422" s="14"/>
      <c r="T422" s="14"/>
    </row>
    <row r="423" spans="1:20" s="18" customFormat="1" ht="15.75">
      <c r="A423" s="149"/>
      <c r="B423" s="148"/>
      <c r="C423" s="148"/>
      <c r="D423" s="148"/>
      <c r="E423" s="148"/>
      <c r="F423" s="148"/>
      <c r="G423" s="148"/>
      <c r="H423" s="148"/>
      <c r="I423" s="76"/>
      <c r="J423" s="148"/>
      <c r="K423" s="166"/>
      <c r="L423" s="166"/>
      <c r="M423" s="166"/>
      <c r="N423" s="166"/>
      <c r="O423" s="166"/>
      <c r="P423" s="14"/>
      <c r="Q423" s="14"/>
      <c r="R423" s="14"/>
      <c r="S423" s="14"/>
      <c r="T423" s="14"/>
    </row>
    <row r="424" spans="1:20" s="18" customFormat="1" ht="15.75">
      <c r="A424" s="149"/>
      <c r="B424" s="148"/>
      <c r="C424" s="148"/>
      <c r="D424" s="148"/>
      <c r="E424" s="148"/>
      <c r="F424" s="148"/>
      <c r="G424" s="148"/>
      <c r="H424" s="148"/>
      <c r="I424" s="76"/>
      <c r="J424" s="148"/>
      <c r="K424" s="166"/>
      <c r="L424" s="166"/>
      <c r="M424" s="166"/>
      <c r="N424" s="166"/>
      <c r="O424" s="166"/>
      <c r="P424" s="14"/>
      <c r="Q424" s="14"/>
      <c r="R424" s="14"/>
      <c r="S424" s="14"/>
      <c r="T424" s="14"/>
    </row>
    <row r="425" spans="1:20" s="18" customFormat="1" ht="15.75">
      <c r="A425" s="149"/>
      <c r="B425" s="148"/>
      <c r="C425" s="148"/>
      <c r="D425" s="148"/>
      <c r="E425" s="148"/>
      <c r="F425" s="148"/>
      <c r="G425" s="148"/>
      <c r="H425" s="148"/>
      <c r="I425" s="76"/>
      <c r="J425" s="148"/>
      <c r="K425" s="166"/>
      <c r="L425" s="166"/>
      <c r="M425" s="166"/>
      <c r="N425" s="166"/>
      <c r="O425" s="166"/>
      <c r="P425" s="14"/>
      <c r="Q425" s="14"/>
      <c r="R425" s="14"/>
      <c r="S425" s="14"/>
      <c r="T425" s="14"/>
    </row>
    <row r="426" spans="1:20" s="18" customFormat="1" ht="15.75">
      <c r="A426" s="149"/>
      <c r="B426" s="148"/>
      <c r="C426" s="148"/>
      <c r="D426" s="148"/>
      <c r="E426" s="148"/>
      <c r="F426" s="148"/>
      <c r="G426" s="148"/>
      <c r="H426" s="148"/>
      <c r="I426" s="76"/>
      <c r="J426" s="148"/>
      <c r="K426" s="166"/>
      <c r="L426" s="166"/>
      <c r="M426" s="166"/>
      <c r="N426" s="166"/>
      <c r="O426" s="166"/>
      <c r="P426" s="14"/>
      <c r="Q426" s="14"/>
      <c r="R426" s="14"/>
      <c r="S426" s="14"/>
      <c r="T426" s="14"/>
    </row>
    <row r="427" spans="1:20" s="18" customFormat="1" ht="15.75">
      <c r="A427" s="149"/>
      <c r="B427" s="148"/>
      <c r="C427" s="148"/>
      <c r="D427" s="148"/>
      <c r="E427" s="148"/>
      <c r="F427" s="148"/>
      <c r="G427" s="148"/>
      <c r="H427" s="148"/>
      <c r="I427" s="76"/>
      <c r="J427" s="148"/>
      <c r="K427" s="166"/>
      <c r="L427" s="166"/>
      <c r="M427" s="166"/>
      <c r="N427" s="166"/>
      <c r="O427" s="166"/>
      <c r="P427" s="14"/>
      <c r="Q427" s="14"/>
      <c r="R427" s="14"/>
      <c r="S427" s="14"/>
      <c r="T427" s="14"/>
    </row>
    <row r="428" spans="1:20" s="18" customFormat="1" ht="15.75">
      <c r="A428" s="149"/>
      <c r="B428" s="148"/>
      <c r="C428" s="148"/>
      <c r="D428" s="148"/>
      <c r="E428" s="148"/>
      <c r="F428" s="148"/>
      <c r="G428" s="148"/>
      <c r="H428" s="148"/>
      <c r="I428" s="76"/>
      <c r="J428" s="148"/>
      <c r="K428" s="166"/>
      <c r="L428" s="166"/>
      <c r="M428" s="166"/>
      <c r="N428" s="166"/>
      <c r="O428" s="166"/>
      <c r="P428" s="14"/>
      <c r="Q428" s="14"/>
      <c r="R428" s="14"/>
      <c r="S428" s="14"/>
      <c r="T428" s="14"/>
    </row>
    <row r="429" spans="1:20" s="18" customFormat="1" ht="15.75">
      <c r="A429" s="149"/>
      <c r="B429" s="148"/>
      <c r="C429" s="148"/>
      <c r="D429" s="148"/>
      <c r="E429" s="148"/>
      <c r="F429" s="148"/>
      <c r="G429" s="148"/>
      <c r="H429" s="148"/>
      <c r="I429" s="76"/>
      <c r="J429" s="148"/>
      <c r="K429" s="166"/>
      <c r="L429" s="166"/>
      <c r="M429" s="166"/>
      <c r="N429" s="166"/>
      <c r="O429" s="166"/>
      <c r="P429" s="14"/>
      <c r="Q429" s="14"/>
      <c r="R429" s="14"/>
      <c r="S429" s="14"/>
      <c r="T429" s="14"/>
    </row>
    <row r="430" spans="1:20" s="18" customFormat="1" ht="15.75">
      <c r="A430" s="149"/>
      <c r="B430" s="148"/>
      <c r="C430" s="148"/>
      <c r="D430" s="148"/>
      <c r="E430" s="148"/>
      <c r="F430" s="148"/>
      <c r="G430" s="148"/>
      <c r="H430" s="148"/>
      <c r="I430" s="76"/>
      <c r="J430" s="148"/>
      <c r="K430" s="166"/>
      <c r="L430" s="166"/>
      <c r="M430" s="166"/>
      <c r="N430" s="166"/>
      <c r="O430" s="166"/>
      <c r="P430" s="14"/>
      <c r="Q430" s="14"/>
      <c r="R430" s="14"/>
      <c r="S430" s="14"/>
      <c r="T430" s="14"/>
    </row>
    <row r="431" spans="1:20" s="18" customFormat="1" ht="15.75">
      <c r="A431" s="149"/>
      <c r="B431" s="148"/>
      <c r="C431" s="148"/>
      <c r="D431" s="148"/>
      <c r="E431" s="148"/>
      <c r="F431" s="148"/>
      <c r="G431" s="148"/>
      <c r="H431" s="148"/>
      <c r="I431" s="76"/>
      <c r="J431" s="148"/>
      <c r="K431" s="166"/>
      <c r="L431" s="166"/>
      <c r="M431" s="166"/>
      <c r="N431" s="166"/>
      <c r="O431" s="166"/>
      <c r="P431" s="14"/>
      <c r="Q431" s="14"/>
      <c r="R431" s="14"/>
      <c r="S431" s="14"/>
      <c r="T431" s="14"/>
    </row>
    <row r="432" spans="1:20" s="18" customFormat="1" ht="15.75">
      <c r="A432" s="149"/>
      <c r="B432" s="148"/>
      <c r="C432" s="148"/>
      <c r="D432" s="148"/>
      <c r="E432" s="148"/>
      <c r="F432" s="148"/>
      <c r="G432" s="148"/>
      <c r="H432" s="148"/>
      <c r="I432" s="76"/>
      <c r="J432" s="148"/>
      <c r="K432" s="166"/>
      <c r="L432" s="166"/>
      <c r="M432" s="166"/>
      <c r="N432" s="166"/>
      <c r="O432" s="166"/>
      <c r="P432" s="14"/>
      <c r="Q432" s="14"/>
      <c r="R432" s="14"/>
      <c r="S432" s="14"/>
      <c r="T432" s="14"/>
    </row>
    <row r="433" spans="1:20" s="18" customFormat="1" ht="15.75">
      <c r="A433" s="149"/>
      <c r="B433" s="148"/>
      <c r="C433" s="148"/>
      <c r="D433" s="148"/>
      <c r="E433" s="148"/>
      <c r="F433" s="148"/>
      <c r="G433" s="148"/>
      <c r="H433" s="148"/>
      <c r="I433" s="76"/>
      <c r="J433" s="148"/>
      <c r="K433" s="166"/>
      <c r="L433" s="166"/>
      <c r="M433" s="166"/>
      <c r="N433" s="166"/>
      <c r="O433" s="166"/>
      <c r="P433" s="14"/>
      <c r="Q433" s="14"/>
      <c r="R433" s="14"/>
      <c r="S433" s="14"/>
      <c r="T433" s="14"/>
    </row>
    <row r="434" spans="1:20" s="18" customFormat="1" ht="15.75">
      <c r="A434" s="149"/>
      <c r="B434" s="148"/>
      <c r="C434" s="148"/>
      <c r="D434" s="148"/>
      <c r="E434" s="148"/>
      <c r="F434" s="148"/>
      <c r="G434" s="148"/>
      <c r="H434" s="148"/>
      <c r="I434" s="76"/>
      <c r="J434" s="148"/>
      <c r="K434" s="166"/>
      <c r="L434" s="166"/>
      <c r="M434" s="166"/>
      <c r="N434" s="166"/>
      <c r="O434" s="166"/>
      <c r="P434" s="14"/>
      <c r="Q434" s="14"/>
      <c r="R434" s="14"/>
      <c r="S434" s="14"/>
      <c r="T434" s="14"/>
    </row>
    <row r="435" spans="1:20" s="18" customFormat="1" ht="15.75">
      <c r="A435" s="149"/>
      <c r="B435" s="148"/>
      <c r="C435" s="148"/>
      <c r="D435" s="148"/>
      <c r="E435" s="148"/>
      <c r="F435" s="148"/>
      <c r="G435" s="148"/>
      <c r="H435" s="148"/>
      <c r="I435" s="76"/>
      <c r="J435" s="148"/>
      <c r="K435" s="166"/>
      <c r="L435" s="166"/>
      <c r="M435" s="166"/>
      <c r="N435" s="166"/>
      <c r="O435" s="166"/>
      <c r="P435" s="14"/>
      <c r="Q435" s="14"/>
      <c r="R435" s="14"/>
      <c r="S435" s="14"/>
      <c r="T435" s="14"/>
    </row>
    <row r="436" spans="1:20" s="18" customFormat="1" ht="15.75">
      <c r="A436" s="149"/>
      <c r="B436" s="148"/>
      <c r="C436" s="148"/>
      <c r="D436" s="148"/>
      <c r="E436" s="148"/>
      <c r="F436" s="148"/>
      <c r="G436" s="148"/>
      <c r="H436" s="148"/>
      <c r="I436" s="76"/>
      <c r="J436" s="148"/>
      <c r="K436" s="166"/>
      <c r="L436" s="166"/>
      <c r="M436" s="166"/>
      <c r="N436" s="166"/>
      <c r="O436" s="166"/>
      <c r="P436" s="14"/>
      <c r="Q436" s="14"/>
      <c r="R436" s="14"/>
      <c r="S436" s="14"/>
      <c r="T436" s="14"/>
    </row>
    <row r="437" spans="1:20" s="18" customFormat="1" ht="15.75">
      <c r="A437" s="149"/>
      <c r="B437" s="148"/>
      <c r="C437" s="148"/>
      <c r="D437" s="148"/>
      <c r="E437" s="148"/>
      <c r="F437" s="148"/>
      <c r="G437" s="148"/>
      <c r="H437" s="148"/>
      <c r="I437" s="76"/>
      <c r="J437" s="148"/>
      <c r="K437" s="166"/>
      <c r="L437" s="166"/>
      <c r="M437" s="166"/>
      <c r="N437" s="166"/>
      <c r="O437" s="166"/>
      <c r="P437" s="14"/>
      <c r="Q437" s="14"/>
      <c r="R437" s="14"/>
      <c r="S437" s="14"/>
      <c r="T437" s="14"/>
    </row>
    <row r="438" spans="1:20" s="18" customFormat="1" ht="15.75">
      <c r="A438" s="149"/>
      <c r="B438" s="148"/>
      <c r="C438" s="148"/>
      <c r="D438" s="148"/>
      <c r="E438" s="148"/>
      <c r="F438" s="148"/>
      <c r="G438" s="148"/>
      <c r="H438" s="148"/>
      <c r="I438" s="76"/>
      <c r="J438" s="148"/>
      <c r="K438" s="166"/>
      <c r="L438" s="166"/>
      <c r="M438" s="166"/>
      <c r="N438" s="166"/>
      <c r="O438" s="166"/>
      <c r="P438" s="14"/>
      <c r="Q438" s="14"/>
      <c r="R438" s="14"/>
      <c r="S438" s="14"/>
      <c r="T438" s="14"/>
    </row>
    <row r="439" spans="1:20" s="18" customFormat="1" ht="15.75">
      <c r="A439" s="149"/>
      <c r="B439" s="148"/>
      <c r="C439" s="148"/>
      <c r="D439" s="148"/>
      <c r="E439" s="148"/>
      <c r="F439" s="148"/>
      <c r="G439" s="148"/>
      <c r="H439" s="148"/>
      <c r="I439" s="76"/>
      <c r="J439" s="148"/>
      <c r="K439" s="166"/>
      <c r="L439" s="166"/>
      <c r="M439" s="166"/>
      <c r="N439" s="166"/>
      <c r="O439" s="166"/>
      <c r="P439" s="14"/>
      <c r="Q439" s="14"/>
      <c r="R439" s="14"/>
      <c r="S439" s="14"/>
      <c r="T439" s="14"/>
    </row>
    <row r="440" spans="1:20" s="18" customFormat="1" ht="15.75">
      <c r="A440" s="149"/>
      <c r="B440" s="148"/>
      <c r="C440" s="148"/>
      <c r="D440" s="148"/>
      <c r="E440" s="148"/>
      <c r="F440" s="148"/>
      <c r="G440" s="148"/>
      <c r="H440" s="148"/>
      <c r="I440" s="76"/>
      <c r="J440" s="148"/>
      <c r="K440" s="166"/>
      <c r="L440" s="166"/>
      <c r="M440" s="166"/>
      <c r="N440" s="166"/>
      <c r="O440" s="166"/>
      <c r="P440" s="14"/>
      <c r="Q440" s="14"/>
      <c r="R440" s="14"/>
      <c r="S440" s="14"/>
      <c r="T440" s="14"/>
    </row>
    <row r="441" spans="1:20" s="18" customFormat="1" ht="15.75">
      <c r="A441" s="149"/>
      <c r="B441" s="148"/>
      <c r="C441" s="148"/>
      <c r="D441" s="148"/>
      <c r="E441" s="148"/>
      <c r="F441" s="148"/>
      <c r="G441" s="148"/>
      <c r="H441" s="148"/>
      <c r="I441" s="76"/>
      <c r="J441" s="148"/>
      <c r="K441" s="166"/>
      <c r="L441" s="166"/>
      <c r="M441" s="166"/>
      <c r="N441" s="166"/>
      <c r="O441" s="166"/>
      <c r="P441" s="14"/>
      <c r="Q441" s="14"/>
      <c r="R441" s="14"/>
      <c r="S441" s="14"/>
      <c r="T441" s="14"/>
    </row>
    <row r="442" spans="1:20" s="18" customFormat="1" ht="15.75">
      <c r="A442" s="149"/>
      <c r="B442" s="148"/>
      <c r="C442" s="148"/>
      <c r="D442" s="148"/>
      <c r="E442" s="148"/>
      <c r="F442" s="148"/>
      <c r="G442" s="148"/>
      <c r="H442" s="148"/>
      <c r="I442" s="76"/>
      <c r="J442" s="148"/>
      <c r="K442" s="166"/>
      <c r="L442" s="166"/>
      <c r="M442" s="166"/>
      <c r="N442" s="166"/>
      <c r="O442" s="166"/>
      <c r="P442" s="14"/>
      <c r="Q442" s="14"/>
      <c r="R442" s="14"/>
      <c r="S442" s="14"/>
      <c r="T442" s="14"/>
    </row>
    <row r="443" spans="1:20" s="18" customFormat="1" ht="15.75">
      <c r="A443" s="149"/>
      <c r="B443" s="148"/>
      <c r="C443" s="148"/>
      <c r="D443" s="148"/>
      <c r="E443" s="148"/>
      <c r="F443" s="148"/>
      <c r="G443" s="148"/>
      <c r="H443" s="148"/>
      <c r="I443" s="76"/>
      <c r="J443" s="148"/>
      <c r="K443" s="166"/>
      <c r="L443" s="166"/>
      <c r="M443" s="166"/>
      <c r="N443" s="166"/>
      <c r="O443" s="166"/>
      <c r="P443" s="14"/>
      <c r="Q443" s="14"/>
      <c r="R443" s="14"/>
      <c r="S443" s="14"/>
      <c r="T443" s="14"/>
    </row>
    <row r="444" spans="1:20" s="18" customFormat="1" ht="15.75">
      <c r="A444" s="149"/>
      <c r="B444" s="148"/>
      <c r="C444" s="148"/>
      <c r="D444" s="148"/>
      <c r="E444" s="148"/>
      <c r="F444" s="148"/>
      <c r="G444" s="148"/>
      <c r="H444" s="148"/>
      <c r="I444" s="76"/>
      <c r="J444" s="148"/>
      <c r="K444" s="166"/>
      <c r="L444" s="166"/>
      <c r="M444" s="166"/>
      <c r="N444" s="166"/>
      <c r="O444" s="166"/>
      <c r="P444" s="14"/>
      <c r="Q444" s="14"/>
      <c r="R444" s="14"/>
      <c r="S444" s="14"/>
      <c r="T444" s="14"/>
    </row>
    <row r="445" spans="1:20" s="18" customFormat="1" ht="15.75">
      <c r="A445" s="149"/>
      <c r="B445" s="148"/>
      <c r="C445" s="148"/>
      <c r="D445" s="148"/>
      <c r="E445" s="148"/>
      <c r="F445" s="148"/>
      <c r="G445" s="148"/>
      <c r="H445" s="148"/>
      <c r="I445" s="76"/>
      <c r="J445" s="148"/>
      <c r="K445" s="166"/>
      <c r="L445" s="166"/>
      <c r="M445" s="166"/>
      <c r="N445" s="166"/>
      <c r="O445" s="166"/>
      <c r="P445" s="14"/>
      <c r="Q445" s="14"/>
      <c r="R445" s="14"/>
      <c r="S445" s="14"/>
      <c r="T445" s="14"/>
    </row>
    <row r="446" spans="1:20" s="18" customFormat="1" ht="15.75">
      <c r="A446" s="149"/>
      <c r="B446" s="148"/>
      <c r="C446" s="148"/>
      <c r="D446" s="148"/>
      <c r="E446" s="148"/>
      <c r="F446" s="148"/>
      <c r="G446" s="148"/>
      <c r="H446" s="148"/>
      <c r="I446" s="76"/>
      <c r="J446" s="148"/>
      <c r="K446" s="166"/>
      <c r="L446" s="166"/>
      <c r="M446" s="166"/>
      <c r="N446" s="166"/>
      <c r="O446" s="166"/>
      <c r="P446" s="14"/>
      <c r="Q446" s="14"/>
      <c r="R446" s="14"/>
      <c r="S446" s="14"/>
      <c r="T446" s="14"/>
    </row>
    <row r="447" spans="1:20" s="18" customFormat="1" ht="15.75">
      <c r="A447" s="149"/>
      <c r="B447" s="148"/>
      <c r="C447" s="148"/>
      <c r="D447" s="148"/>
      <c r="E447" s="148"/>
      <c r="F447" s="148"/>
      <c r="G447" s="148"/>
      <c r="H447" s="148"/>
      <c r="I447" s="76"/>
      <c r="J447" s="148"/>
      <c r="K447" s="166"/>
      <c r="L447" s="166"/>
      <c r="M447" s="166"/>
      <c r="N447" s="166"/>
      <c r="O447" s="166"/>
      <c r="P447" s="14"/>
      <c r="Q447" s="14"/>
      <c r="R447" s="14"/>
      <c r="S447" s="14"/>
      <c r="T447" s="14"/>
    </row>
    <row r="448" spans="1:20" s="18" customFormat="1" ht="15.75">
      <c r="A448" s="149"/>
      <c r="B448" s="148"/>
      <c r="C448" s="148"/>
      <c r="D448" s="148"/>
      <c r="E448" s="148"/>
      <c r="F448" s="148"/>
      <c r="G448" s="148"/>
      <c r="H448" s="148"/>
      <c r="I448" s="76"/>
      <c r="J448" s="148"/>
      <c r="K448" s="166"/>
      <c r="L448" s="166"/>
      <c r="M448" s="166"/>
      <c r="N448" s="166"/>
      <c r="O448" s="166"/>
      <c r="P448" s="14"/>
      <c r="Q448" s="14"/>
      <c r="R448" s="14"/>
      <c r="S448" s="14"/>
      <c r="T448" s="14"/>
    </row>
    <row r="449" spans="1:20" s="18" customFormat="1" ht="15.75">
      <c r="A449" s="149"/>
      <c r="B449" s="148"/>
      <c r="C449" s="148"/>
      <c r="D449" s="148"/>
      <c r="E449" s="148"/>
      <c r="F449" s="148"/>
      <c r="G449" s="148"/>
      <c r="H449" s="148"/>
      <c r="I449" s="76"/>
      <c r="J449" s="148"/>
      <c r="K449" s="166"/>
      <c r="L449" s="166"/>
      <c r="M449" s="166"/>
      <c r="N449" s="166"/>
      <c r="O449" s="166"/>
      <c r="P449" s="14"/>
      <c r="Q449" s="14"/>
      <c r="R449" s="14"/>
      <c r="S449" s="14"/>
      <c r="T449" s="14"/>
    </row>
    <row r="450" spans="1:20" s="18" customFormat="1" ht="15.75">
      <c r="A450" s="149"/>
      <c r="B450" s="148"/>
      <c r="C450" s="148"/>
      <c r="D450" s="148"/>
      <c r="E450" s="148"/>
      <c r="F450" s="148"/>
      <c r="G450" s="148"/>
      <c r="H450" s="148"/>
      <c r="I450" s="76"/>
      <c r="J450" s="148"/>
      <c r="K450" s="166"/>
      <c r="L450" s="166"/>
      <c r="M450" s="166"/>
      <c r="N450" s="166"/>
      <c r="O450" s="166"/>
      <c r="P450" s="14"/>
      <c r="Q450" s="14"/>
      <c r="R450" s="14"/>
      <c r="S450" s="14"/>
      <c r="T450" s="14"/>
    </row>
    <row r="451" spans="1:20" s="18" customFormat="1" ht="15.75">
      <c r="A451" s="149"/>
      <c r="B451" s="148"/>
      <c r="C451" s="148"/>
      <c r="D451" s="148"/>
      <c r="E451" s="148"/>
      <c r="F451" s="148"/>
      <c r="G451" s="148"/>
      <c r="H451" s="148"/>
      <c r="I451" s="76"/>
      <c r="J451" s="148"/>
      <c r="K451" s="166"/>
      <c r="L451" s="166"/>
      <c r="M451" s="166"/>
      <c r="N451" s="166"/>
      <c r="O451" s="166"/>
      <c r="P451" s="14"/>
      <c r="Q451" s="14"/>
      <c r="R451" s="14"/>
      <c r="S451" s="14"/>
      <c r="T451" s="14"/>
    </row>
    <row r="452" spans="1:20" s="18" customFormat="1" ht="15.75">
      <c r="A452" s="149"/>
      <c r="B452" s="148"/>
      <c r="C452" s="148"/>
      <c r="D452" s="148"/>
      <c r="E452" s="148"/>
      <c r="F452" s="148"/>
      <c r="G452" s="148"/>
      <c r="H452" s="148"/>
      <c r="I452" s="76"/>
      <c r="J452" s="148"/>
      <c r="K452" s="166"/>
      <c r="L452" s="166"/>
      <c r="M452" s="166"/>
      <c r="N452" s="166"/>
      <c r="O452" s="166"/>
      <c r="P452" s="14"/>
      <c r="Q452" s="14"/>
      <c r="R452" s="14"/>
      <c r="S452" s="14"/>
      <c r="T452" s="14"/>
    </row>
    <row r="453" spans="1:20" s="18" customFormat="1" ht="15.75">
      <c r="A453" s="149"/>
      <c r="B453" s="148"/>
      <c r="C453" s="148"/>
      <c r="D453" s="148"/>
      <c r="E453" s="148"/>
      <c r="F453" s="148"/>
      <c r="G453" s="148"/>
      <c r="H453" s="148"/>
      <c r="I453" s="76"/>
      <c r="J453" s="148"/>
      <c r="K453" s="166"/>
      <c r="L453" s="166"/>
      <c r="M453" s="166"/>
      <c r="N453" s="166"/>
      <c r="O453" s="166"/>
      <c r="P453" s="14"/>
      <c r="Q453" s="14"/>
      <c r="R453" s="14"/>
      <c r="S453" s="14"/>
      <c r="T453" s="14"/>
    </row>
    <row r="454" spans="1:20" s="18" customFormat="1" ht="15.75">
      <c r="A454" s="149"/>
      <c r="B454" s="148"/>
      <c r="C454" s="148"/>
      <c r="D454" s="148"/>
      <c r="E454" s="148"/>
      <c r="F454" s="148"/>
      <c r="G454" s="148"/>
      <c r="H454" s="148"/>
      <c r="I454" s="76"/>
      <c r="J454" s="148"/>
      <c r="K454" s="166"/>
      <c r="L454" s="166"/>
      <c r="M454" s="166"/>
      <c r="N454" s="166"/>
      <c r="O454" s="166"/>
      <c r="P454" s="14"/>
      <c r="Q454" s="14"/>
      <c r="R454" s="14"/>
      <c r="S454" s="14"/>
      <c r="T454" s="14"/>
    </row>
    <row r="455" spans="1:20" s="18" customFormat="1" ht="15.75">
      <c r="A455" s="149"/>
      <c r="B455" s="148"/>
      <c r="C455" s="148"/>
      <c r="D455" s="148"/>
      <c r="E455" s="148"/>
      <c r="F455" s="148"/>
      <c r="G455" s="148"/>
      <c r="H455" s="148"/>
      <c r="I455" s="76"/>
      <c r="J455" s="148"/>
      <c r="K455" s="166"/>
      <c r="L455" s="166"/>
      <c r="M455" s="166"/>
      <c r="N455" s="166"/>
      <c r="O455" s="166"/>
      <c r="P455" s="14"/>
      <c r="Q455" s="14"/>
      <c r="R455" s="14"/>
      <c r="S455" s="14"/>
      <c r="T455" s="14"/>
    </row>
    <row r="456" spans="1:20" s="18" customFormat="1" ht="15.75">
      <c r="A456" s="149"/>
      <c r="B456" s="148"/>
      <c r="C456" s="148"/>
      <c r="D456" s="148"/>
      <c r="E456" s="148"/>
      <c r="F456" s="148"/>
      <c r="G456" s="148"/>
      <c r="H456" s="148"/>
      <c r="I456" s="76"/>
      <c r="J456" s="148"/>
      <c r="K456" s="166"/>
      <c r="L456" s="166"/>
      <c r="M456" s="166"/>
      <c r="N456" s="166"/>
      <c r="O456" s="166"/>
      <c r="P456" s="14"/>
      <c r="Q456" s="14"/>
      <c r="R456" s="14"/>
      <c r="S456" s="14"/>
      <c r="T456" s="14"/>
    </row>
    <row r="457" spans="1:20" s="18" customFormat="1" ht="15.75">
      <c r="A457" s="149"/>
      <c r="B457" s="148"/>
      <c r="C457" s="148"/>
      <c r="D457" s="148"/>
      <c r="E457" s="148"/>
      <c r="F457" s="148"/>
      <c r="G457" s="148"/>
      <c r="H457" s="148"/>
      <c r="I457" s="76"/>
      <c r="J457" s="148"/>
      <c r="K457" s="166"/>
      <c r="L457" s="166"/>
      <c r="M457" s="166"/>
      <c r="N457" s="166"/>
      <c r="O457" s="166"/>
      <c r="P457" s="14"/>
      <c r="Q457" s="14"/>
      <c r="R457" s="14"/>
      <c r="S457" s="14"/>
      <c r="T457" s="14"/>
    </row>
    <row r="458" spans="1:20" s="18" customFormat="1" ht="15.75">
      <c r="A458" s="149"/>
      <c r="B458" s="148"/>
      <c r="C458" s="148"/>
      <c r="D458" s="148"/>
      <c r="E458" s="148"/>
      <c r="F458" s="148"/>
      <c r="G458" s="148"/>
      <c r="H458" s="148"/>
      <c r="I458" s="76"/>
      <c r="J458" s="148"/>
      <c r="K458" s="166"/>
      <c r="L458" s="166"/>
      <c r="M458" s="166"/>
      <c r="N458" s="166"/>
      <c r="O458" s="166"/>
      <c r="P458" s="14"/>
      <c r="Q458" s="14"/>
      <c r="R458" s="14"/>
      <c r="S458" s="14"/>
      <c r="T458" s="14"/>
    </row>
    <row r="459" spans="1:20" s="18" customFormat="1" ht="15.75">
      <c r="A459" s="149"/>
      <c r="B459" s="148"/>
      <c r="C459" s="148"/>
      <c r="D459" s="148"/>
      <c r="E459" s="148"/>
      <c r="F459" s="148"/>
      <c r="G459" s="148"/>
      <c r="H459" s="148"/>
      <c r="I459" s="76"/>
      <c r="J459" s="148"/>
      <c r="K459" s="166"/>
      <c r="L459" s="166"/>
      <c r="M459" s="166"/>
      <c r="N459" s="166"/>
      <c r="O459" s="166"/>
      <c r="P459" s="14"/>
      <c r="Q459" s="14"/>
      <c r="R459" s="14"/>
      <c r="S459" s="14"/>
      <c r="T459" s="14"/>
    </row>
    <row r="460" spans="1:20" s="18" customFormat="1" ht="15.75">
      <c r="A460" s="149"/>
      <c r="B460" s="148"/>
      <c r="C460" s="148"/>
      <c r="D460" s="148"/>
      <c r="E460" s="148"/>
      <c r="F460" s="148"/>
      <c r="G460" s="148"/>
      <c r="H460" s="148"/>
      <c r="I460" s="76"/>
      <c r="J460" s="148"/>
      <c r="K460" s="166"/>
      <c r="L460" s="166"/>
      <c r="M460" s="166"/>
      <c r="N460" s="166"/>
      <c r="O460" s="166"/>
      <c r="P460" s="14"/>
      <c r="Q460" s="14"/>
      <c r="R460" s="14"/>
      <c r="S460" s="14"/>
      <c r="T460" s="14"/>
    </row>
    <row r="461" spans="1:20" s="18" customFormat="1" ht="15.75">
      <c r="A461" s="149"/>
      <c r="B461" s="148"/>
      <c r="C461" s="148"/>
      <c r="D461" s="148"/>
      <c r="E461" s="148"/>
      <c r="F461" s="148"/>
      <c r="G461" s="148"/>
      <c r="H461" s="148"/>
      <c r="I461" s="76"/>
      <c r="J461" s="148"/>
      <c r="K461" s="166"/>
      <c r="L461" s="166"/>
      <c r="M461" s="166"/>
      <c r="N461" s="166"/>
      <c r="O461" s="166"/>
      <c r="P461" s="14"/>
      <c r="Q461" s="14"/>
      <c r="R461" s="14"/>
      <c r="S461" s="14"/>
      <c r="T461" s="14"/>
    </row>
    <row r="462" spans="1:20" s="18" customFormat="1" ht="15.75">
      <c r="A462" s="149"/>
      <c r="B462" s="148"/>
      <c r="C462" s="148"/>
      <c r="D462" s="148"/>
      <c r="E462" s="148"/>
      <c r="F462" s="148"/>
      <c r="G462" s="148"/>
      <c r="H462" s="148"/>
      <c r="I462" s="76"/>
      <c r="J462" s="148"/>
      <c r="K462" s="166"/>
      <c r="L462" s="166"/>
      <c r="M462" s="166"/>
      <c r="N462" s="166"/>
      <c r="O462" s="166"/>
      <c r="P462" s="14"/>
      <c r="Q462" s="14"/>
      <c r="R462" s="14"/>
      <c r="S462" s="14"/>
      <c r="T462" s="14"/>
    </row>
    <row r="463" spans="1:20" s="18" customFormat="1" ht="15.75">
      <c r="A463" s="149"/>
      <c r="B463" s="148"/>
      <c r="C463" s="148"/>
      <c r="D463" s="148"/>
      <c r="E463" s="148"/>
      <c r="F463" s="148"/>
      <c r="G463" s="148"/>
      <c r="H463" s="148"/>
      <c r="I463" s="76"/>
      <c r="J463" s="148"/>
      <c r="K463" s="166"/>
      <c r="L463" s="166"/>
      <c r="M463" s="166"/>
      <c r="N463" s="166"/>
      <c r="O463" s="166"/>
      <c r="P463" s="14"/>
      <c r="Q463" s="14"/>
      <c r="R463" s="14"/>
      <c r="S463" s="14"/>
      <c r="T463" s="14"/>
    </row>
    <row r="464" spans="1:20" s="18" customFormat="1" ht="15.75">
      <c r="A464" s="149"/>
      <c r="B464" s="148"/>
      <c r="C464" s="148"/>
      <c r="D464" s="148"/>
      <c r="E464" s="148"/>
      <c r="F464" s="148"/>
      <c r="G464" s="148"/>
      <c r="H464" s="148"/>
      <c r="I464" s="76"/>
      <c r="J464" s="148"/>
      <c r="K464" s="166"/>
      <c r="L464" s="166"/>
      <c r="M464" s="166"/>
      <c r="N464" s="166"/>
      <c r="O464" s="166"/>
      <c r="P464" s="14"/>
      <c r="Q464" s="14"/>
      <c r="R464" s="14"/>
      <c r="S464" s="14"/>
      <c r="T464" s="14"/>
    </row>
  </sheetData>
  <mergeCells count="17">
    <mergeCell ref="A1:J1"/>
    <mergeCell ref="L3:L4"/>
    <mergeCell ref="K3:K4"/>
    <mergeCell ref="G3:I3"/>
    <mergeCell ref="C3:C4"/>
    <mergeCell ref="B3:B4"/>
    <mergeCell ref="D3:D4"/>
    <mergeCell ref="E3:E4"/>
    <mergeCell ref="N3:N4"/>
    <mergeCell ref="M3:M4"/>
    <mergeCell ref="K36:L36"/>
    <mergeCell ref="A3:A4"/>
    <mergeCell ref="J3:J4"/>
    <mergeCell ref="K51:L51"/>
    <mergeCell ref="E29:F29"/>
    <mergeCell ref="F3:F4"/>
    <mergeCell ref="K21:L21"/>
  </mergeCells>
  <printOptions/>
  <pageMargins left="0.24" right="0.23" top="0.28" bottom="0.29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4">
      <selection activeCell="C14" sqref="C14"/>
    </sheetView>
  </sheetViews>
  <sheetFormatPr defaultColWidth="9.00390625" defaultRowHeight="24" customHeight="1"/>
  <cols>
    <col min="1" max="1" width="5.375" style="0" customWidth="1"/>
    <col min="2" max="2" width="17.00390625" style="0" customWidth="1"/>
    <col min="3" max="3" width="15.625" style="270" customWidth="1"/>
    <col min="4" max="4" width="18.00390625" style="0" customWidth="1"/>
    <col min="5" max="5" width="15.875" style="0" customWidth="1"/>
    <col min="6" max="6" width="14.375" style="0" customWidth="1"/>
    <col min="7" max="7" width="16.00390625" style="0" customWidth="1"/>
    <col min="8" max="8" width="15.875" style="324" customWidth="1"/>
    <col min="9" max="9" width="17.125" style="275" customWidth="1"/>
    <col min="10" max="10" width="20.375" style="275" customWidth="1"/>
    <col min="11" max="11" width="21.125" style="270" customWidth="1"/>
    <col min="12" max="12" width="18.875" style="270" customWidth="1"/>
    <col min="13" max="13" width="18.75390625" style="276" customWidth="1"/>
  </cols>
  <sheetData>
    <row r="1" spans="1:8" ht="24" customHeight="1">
      <c r="A1" s="420" t="s">
        <v>419</v>
      </c>
      <c r="B1" s="420"/>
      <c r="C1" s="420"/>
      <c r="D1" s="420"/>
      <c r="E1" s="420"/>
      <c r="F1" s="420"/>
      <c r="G1" s="420"/>
      <c r="H1" s="420"/>
    </row>
    <row r="2" spans="1:13" ht="24" customHeight="1">
      <c r="A2" s="215"/>
      <c r="B2" s="216"/>
      <c r="C2" s="223"/>
      <c r="D2" s="75"/>
      <c r="E2" s="75"/>
      <c r="F2" s="75"/>
      <c r="G2" s="75"/>
      <c r="H2" s="75"/>
      <c r="I2" s="275" t="s">
        <v>378</v>
      </c>
      <c r="J2" s="421"/>
      <c r="K2" s="421"/>
      <c r="M2" s="276" t="s">
        <v>379</v>
      </c>
    </row>
    <row r="3" spans="1:13" s="279" customFormat="1" ht="24" customHeight="1">
      <c r="A3" s="36" t="s">
        <v>380</v>
      </c>
      <c r="B3" s="36" t="s">
        <v>381</v>
      </c>
      <c r="C3" s="162" t="s">
        <v>382</v>
      </c>
      <c r="D3" s="162" t="s">
        <v>383</v>
      </c>
      <c r="E3" s="162" t="s">
        <v>384</v>
      </c>
      <c r="F3" s="162" t="s">
        <v>385</v>
      </c>
      <c r="G3" s="162" t="s">
        <v>386</v>
      </c>
      <c r="H3" s="162" t="s">
        <v>387</v>
      </c>
      <c r="I3" s="325" t="s">
        <v>388</v>
      </c>
      <c r="J3" s="147"/>
      <c r="K3" s="277"/>
      <c r="L3" s="277"/>
      <c r="M3" s="278"/>
    </row>
    <row r="4" spans="1:13" s="287" customFormat="1" ht="24" customHeight="1">
      <c r="A4" s="280"/>
      <c r="B4" s="281"/>
      <c r="C4" s="282">
        <v>1</v>
      </c>
      <c r="D4" s="282">
        <v>2</v>
      </c>
      <c r="E4" s="282">
        <v>3</v>
      </c>
      <c r="F4" s="282">
        <v>4</v>
      </c>
      <c r="G4" s="282" t="s">
        <v>389</v>
      </c>
      <c r="H4" s="282"/>
      <c r="I4" s="283" t="s">
        <v>390</v>
      </c>
      <c r="J4" s="284"/>
      <c r="K4" s="285"/>
      <c r="L4" s="285"/>
      <c r="M4" s="286"/>
    </row>
    <row r="5" spans="1:13" ht="24" customHeight="1">
      <c r="A5" s="254">
        <v>1</v>
      </c>
      <c r="B5" s="124" t="s">
        <v>391</v>
      </c>
      <c r="C5" s="288"/>
      <c r="D5" s="288">
        <v>21362882336</v>
      </c>
      <c r="E5" s="288">
        <v>20984423554</v>
      </c>
      <c r="F5" s="288">
        <f>F14/D14*D5</f>
        <v>3535693601.7648435</v>
      </c>
      <c r="G5" s="288">
        <f>D5-E5-F5</f>
        <v>-3157234819.7648435</v>
      </c>
      <c r="H5" s="288"/>
      <c r="I5" s="289">
        <f>C5+D5-E5</f>
        <v>378458782</v>
      </c>
      <c r="L5" s="290" t="s">
        <v>392</v>
      </c>
      <c r="M5" s="276" t="s">
        <v>393</v>
      </c>
    </row>
    <row r="6" spans="1:13" ht="24" customHeight="1">
      <c r="A6" s="217">
        <v>2</v>
      </c>
      <c r="B6" s="21" t="s">
        <v>394</v>
      </c>
      <c r="C6" s="291"/>
      <c r="D6" s="291">
        <v>2005551054</v>
      </c>
      <c r="E6" s="291">
        <v>1819181395</v>
      </c>
      <c r="F6" s="288">
        <f>F14/D14*D6</f>
        <v>331931521.1361251</v>
      </c>
      <c r="G6" s="288">
        <f>D6-E6-F6</f>
        <v>-145561862.1361251</v>
      </c>
      <c r="H6" s="291"/>
      <c r="I6" s="289">
        <f aca="true" t="shared" si="0" ref="I6:I12">C6+D6-E6</f>
        <v>186369659</v>
      </c>
      <c r="M6" s="276" t="s">
        <v>395</v>
      </c>
    </row>
    <row r="7" spans="1:13" ht="24" customHeight="1">
      <c r="A7" s="254">
        <v>3</v>
      </c>
      <c r="B7" s="21" t="s">
        <v>396</v>
      </c>
      <c r="C7" s="291"/>
      <c r="D7" s="291">
        <v>2488705253</v>
      </c>
      <c r="E7" s="291">
        <v>2741036301</v>
      </c>
      <c r="F7" s="288">
        <f>F14/D14*D7</f>
        <v>411896629.9263081</v>
      </c>
      <c r="G7" s="288">
        <f>D7-E7-F7</f>
        <v>-664227677.9263082</v>
      </c>
      <c r="H7" s="291"/>
      <c r="I7" s="289">
        <f t="shared" si="0"/>
        <v>-252331048</v>
      </c>
      <c r="M7" s="276" t="s">
        <v>397</v>
      </c>
    </row>
    <row r="8" spans="1:13" ht="24" customHeight="1">
      <c r="A8" s="217">
        <v>4</v>
      </c>
      <c r="B8" s="21" t="s">
        <v>398</v>
      </c>
      <c r="C8" s="291"/>
      <c r="D8" s="291">
        <v>2984631333</v>
      </c>
      <c r="E8" s="291">
        <v>2337211706</v>
      </c>
      <c r="F8" s="288">
        <f>F14/D14*D8</f>
        <v>493975566.6739715</v>
      </c>
      <c r="G8" s="288">
        <f>D8-E8-F8</f>
        <v>153444060.32602853</v>
      </c>
      <c r="H8" s="291"/>
      <c r="I8" s="289">
        <f t="shared" si="0"/>
        <v>647419627</v>
      </c>
      <c r="M8" s="276" t="s">
        <v>399</v>
      </c>
    </row>
    <row r="9" spans="1:13" ht="24" customHeight="1">
      <c r="A9" s="254">
        <v>5</v>
      </c>
      <c r="B9" s="21" t="s">
        <v>400</v>
      </c>
      <c r="C9" s="291">
        <f>1575122255-662394982</f>
        <v>912727273</v>
      </c>
      <c r="D9" s="291">
        <f>16380372719-7311870717</f>
        <v>9068502002</v>
      </c>
      <c r="E9" s="291"/>
      <c r="F9" s="288">
        <f>F14/(D14+C14)*(D9+C9)</f>
        <v>1150273116.6088998</v>
      </c>
      <c r="G9" s="288">
        <f>C9+D9-E9-F9</f>
        <v>8830956158.3911</v>
      </c>
      <c r="H9" s="291"/>
      <c r="I9" s="289">
        <f t="shared" si="0"/>
        <v>9981229275</v>
      </c>
      <c r="L9" s="270">
        <v>662394982</v>
      </c>
      <c r="M9" s="276" t="s">
        <v>401</v>
      </c>
    </row>
    <row r="10" spans="1:9" ht="24" customHeight="1">
      <c r="A10" s="254"/>
      <c r="B10" s="21" t="s">
        <v>424</v>
      </c>
      <c r="C10" s="291">
        <v>662394982</v>
      </c>
      <c r="D10" s="291">
        <v>7311870717</v>
      </c>
      <c r="E10" s="291">
        <v>5554529018</v>
      </c>
      <c r="F10" s="288"/>
      <c r="G10" s="288">
        <f>C10+D10-E10-F10</f>
        <v>2419736681</v>
      </c>
      <c r="H10" s="291"/>
      <c r="I10" s="289">
        <f t="shared" si="0"/>
        <v>2419736681</v>
      </c>
    </row>
    <row r="11" spans="1:13" ht="24" customHeight="1">
      <c r="A11" s="217">
        <v>6</v>
      </c>
      <c r="B11" s="24" t="s">
        <v>402</v>
      </c>
      <c r="C11" s="291">
        <v>5454545454</v>
      </c>
      <c r="D11" s="291">
        <v>41916470909</v>
      </c>
      <c r="E11" s="291">
        <v>46117493855</v>
      </c>
      <c r="F11" s="288">
        <f>F14/(D14+C14)*(D11+C11)</f>
        <v>5459207992.073622</v>
      </c>
      <c r="G11" s="288">
        <f>C11+D11-E11-F11</f>
        <v>-4205685484.0736217</v>
      </c>
      <c r="H11" s="291"/>
      <c r="I11" s="289">
        <f t="shared" si="0"/>
        <v>1253522508</v>
      </c>
      <c r="M11" s="276" t="s">
        <v>403</v>
      </c>
    </row>
    <row r="12" spans="1:13" ht="24" customHeight="1">
      <c r="A12" s="254"/>
      <c r="B12" s="21" t="s">
        <v>404</v>
      </c>
      <c r="C12" s="291">
        <v>37290909117</v>
      </c>
      <c r="D12" s="291">
        <f>14559323204-78682727</f>
        <v>14480640477</v>
      </c>
      <c r="E12" s="291">
        <v>48328201551</v>
      </c>
      <c r="F12" s="288">
        <f>F14/D14*D12</f>
        <v>2396638575.203259</v>
      </c>
      <c r="G12" s="288">
        <f>C12+D12-E12-F12</f>
        <v>1046709467.796741</v>
      </c>
      <c r="H12" s="291"/>
      <c r="I12" s="289">
        <f t="shared" si="0"/>
        <v>3443348043</v>
      </c>
      <c r="M12" s="276" t="s">
        <v>405</v>
      </c>
    </row>
    <row r="13" spans="1:9" ht="24" customHeight="1">
      <c r="A13" s="217"/>
      <c r="B13" s="21"/>
      <c r="C13" s="291"/>
      <c r="D13" s="291"/>
      <c r="E13" s="291"/>
      <c r="F13" s="288"/>
      <c r="G13" s="288">
        <f>D13-E13-F13</f>
        <v>0</v>
      </c>
      <c r="H13" s="291"/>
      <c r="I13" s="291"/>
    </row>
    <row r="14" spans="1:9" ht="24" customHeight="1">
      <c r="A14" s="219"/>
      <c r="B14" s="24" t="s">
        <v>242</v>
      </c>
      <c r="C14" s="292">
        <f>SUM(C5:C13)</f>
        <v>44320576826</v>
      </c>
      <c r="D14" s="292">
        <f>SUM(D5:D13)</f>
        <v>101619254081</v>
      </c>
      <c r="E14" s="292">
        <f>SUM(E5:E13)</f>
        <v>127882077380</v>
      </c>
      <c r="F14" s="292">
        <f>F18</f>
        <v>16818636213</v>
      </c>
      <c r="G14" s="292">
        <f>SUM(G5:G13)</f>
        <v>4278136523.612971</v>
      </c>
      <c r="H14" s="292">
        <f>SUM(H5:H13)</f>
        <v>0</v>
      </c>
      <c r="I14" s="293">
        <f>C14+D14-E14-F14</f>
        <v>1239117314</v>
      </c>
    </row>
    <row r="15" spans="1:9" ht="24" customHeight="1">
      <c r="A15" s="219"/>
      <c r="B15" s="24"/>
      <c r="C15" s="292"/>
      <c r="D15" s="292"/>
      <c r="E15" s="292"/>
      <c r="F15" s="292" t="s">
        <v>407</v>
      </c>
      <c r="G15" s="293">
        <v>1239117314</v>
      </c>
      <c r="H15" s="292"/>
      <c r="I15" s="291"/>
    </row>
    <row r="16" spans="1:9" ht="24" customHeight="1">
      <c r="A16" s="217"/>
      <c r="B16" s="218"/>
      <c r="C16" s="291"/>
      <c r="D16" s="291" t="s">
        <v>420</v>
      </c>
      <c r="E16" s="291" t="s">
        <v>408</v>
      </c>
      <c r="F16" s="291">
        <f>3738634532+18970108307+509137406+1024600000</f>
        <v>24242480245</v>
      </c>
      <c r="G16" s="291"/>
      <c r="H16" s="291"/>
      <c r="I16" s="291"/>
    </row>
    <row r="17" spans="1:9" ht="24" customHeight="1">
      <c r="A17" s="217"/>
      <c r="B17" s="218"/>
      <c r="C17" s="291"/>
      <c r="D17" s="291" t="s">
        <v>409</v>
      </c>
      <c r="E17" s="291" t="s">
        <v>410</v>
      </c>
      <c r="F17" s="291">
        <f>1520000+7422324032</f>
        <v>7423844032</v>
      </c>
      <c r="G17" s="291"/>
      <c r="H17" s="291"/>
      <c r="I17" s="291"/>
    </row>
    <row r="18" spans="1:9" ht="24" customHeight="1">
      <c r="A18" s="217"/>
      <c r="B18" s="218"/>
      <c r="C18" s="291"/>
      <c r="D18" s="291"/>
      <c r="E18" s="291" t="s">
        <v>241</v>
      </c>
      <c r="F18" s="291">
        <f>F16-F17</f>
        <v>16818636213</v>
      </c>
      <c r="G18" s="291"/>
      <c r="H18" s="291"/>
      <c r="I18" s="291"/>
    </row>
    <row r="19" spans="1:9" ht="24" customHeight="1">
      <c r="A19" s="326"/>
      <c r="B19" s="327" t="s">
        <v>421</v>
      </c>
      <c r="C19" s="328"/>
      <c r="D19" s="328"/>
      <c r="E19" s="328"/>
      <c r="F19" s="328"/>
      <c r="G19" s="328"/>
      <c r="H19" s="328"/>
      <c r="I19" s="328"/>
    </row>
    <row r="20" spans="1:9" ht="24" customHeight="1">
      <c r="A20" s="326"/>
      <c r="B20" s="327" t="s">
        <v>422</v>
      </c>
      <c r="C20" s="328"/>
      <c r="D20" s="328">
        <f>765708750+6817842</f>
        <v>772526592</v>
      </c>
      <c r="E20" s="328"/>
      <c r="F20" s="328"/>
      <c r="G20" s="328"/>
      <c r="H20" s="328"/>
      <c r="I20" s="328"/>
    </row>
    <row r="21" spans="1:9" ht="24" customHeight="1">
      <c r="A21" s="326"/>
      <c r="B21" s="327" t="s">
        <v>423</v>
      </c>
      <c r="C21" s="328"/>
      <c r="D21" s="328">
        <f>748873000+10515600</f>
        <v>759388600</v>
      </c>
      <c r="E21" s="328"/>
      <c r="F21" s="328"/>
      <c r="G21" s="328"/>
      <c r="H21" s="328"/>
      <c r="I21" s="328"/>
    </row>
    <row r="22" spans="1:9" ht="24" customHeight="1">
      <c r="A22" s="221"/>
      <c r="B22" s="222"/>
      <c r="C22" s="294"/>
      <c r="D22" s="294"/>
      <c r="E22" s="294"/>
      <c r="F22" s="294"/>
      <c r="G22" s="294"/>
      <c r="H22" s="294"/>
      <c r="I22" s="295"/>
    </row>
    <row r="23" spans="1:8" ht="24" customHeight="1">
      <c r="A23" s="296"/>
      <c r="B23" s="297"/>
      <c r="C23" s="298"/>
      <c r="D23" s="298"/>
      <c r="E23" s="298"/>
      <c r="F23" s="298"/>
      <c r="G23" s="298"/>
      <c r="H23" s="298"/>
    </row>
    <row r="24" spans="1:8" ht="24" customHeight="1">
      <c r="A24" s="296"/>
      <c r="B24" s="297"/>
      <c r="C24" s="298"/>
      <c r="D24" s="298"/>
      <c r="E24" s="298"/>
      <c r="F24" s="298"/>
      <c r="G24" s="298"/>
      <c r="H24" s="298"/>
    </row>
    <row r="25" spans="1:8" ht="24" customHeight="1">
      <c r="A25" s="296"/>
      <c r="B25" s="297"/>
      <c r="C25" s="298"/>
      <c r="D25" s="298"/>
      <c r="E25" s="298"/>
      <c r="F25" s="298"/>
      <c r="G25" s="298"/>
      <c r="H25" s="298"/>
    </row>
    <row r="26" spans="1:8" ht="24" customHeight="1">
      <c r="A26" s="296"/>
      <c r="B26" s="297"/>
      <c r="C26" s="298"/>
      <c r="D26" s="298"/>
      <c r="E26" s="298"/>
      <c r="F26" s="298"/>
      <c r="G26" s="298"/>
      <c r="H26" s="298"/>
    </row>
    <row r="27" spans="1:8" ht="24" customHeight="1">
      <c r="A27" s="296"/>
      <c r="B27" s="297"/>
      <c r="C27" s="298"/>
      <c r="D27" s="298"/>
      <c r="E27" s="298"/>
      <c r="F27" s="298"/>
      <c r="G27" s="298"/>
      <c r="H27" s="298"/>
    </row>
    <row r="28" spans="1:8" ht="24" customHeight="1">
      <c r="A28" s="296"/>
      <c r="B28" s="297"/>
      <c r="C28" s="298"/>
      <c r="D28" s="298"/>
      <c r="E28" s="298"/>
      <c r="F28" s="298"/>
      <c r="G28" s="298"/>
      <c r="H28" s="298"/>
    </row>
    <row r="29" spans="1:8" ht="24" customHeight="1">
      <c r="A29" s="296"/>
      <c r="B29" s="297"/>
      <c r="C29" s="298"/>
      <c r="D29" s="298"/>
      <c r="E29" s="298"/>
      <c r="F29" s="298"/>
      <c r="G29" s="298"/>
      <c r="H29" s="298"/>
    </row>
    <row r="30" spans="1:8" ht="24" customHeight="1">
      <c r="A30" s="296"/>
      <c r="B30" s="297"/>
      <c r="C30" s="298"/>
      <c r="D30" s="298"/>
      <c r="E30" s="298"/>
      <c r="F30" s="298"/>
      <c r="G30" s="298"/>
      <c r="H30" s="298"/>
    </row>
    <row r="31" spans="1:8" ht="24" customHeight="1">
      <c r="A31" s="296"/>
      <c r="B31" s="297"/>
      <c r="C31" s="298"/>
      <c r="D31" s="298"/>
      <c r="E31" s="298"/>
      <c r="F31" s="298"/>
      <c r="G31" s="298"/>
      <c r="H31" s="298"/>
    </row>
    <row r="32" spans="1:8" ht="24" customHeight="1">
      <c r="A32" s="296"/>
      <c r="B32" s="297"/>
      <c r="C32" s="298"/>
      <c r="D32" s="298"/>
      <c r="E32" s="298"/>
      <c r="F32" s="298"/>
      <c r="G32" s="298"/>
      <c r="H32" s="298"/>
    </row>
    <row r="33" spans="1:8" ht="24" customHeight="1">
      <c r="A33" s="296"/>
      <c r="B33" s="297"/>
      <c r="C33" s="298"/>
      <c r="D33" s="298"/>
      <c r="E33" s="298"/>
      <c r="F33" s="298"/>
      <c r="G33" s="298"/>
      <c r="H33" s="298"/>
    </row>
    <row r="34" spans="1:8" ht="24" customHeight="1">
      <c r="A34" s="296"/>
      <c r="B34" s="297"/>
      <c r="C34" s="298"/>
      <c r="D34" s="298"/>
      <c r="E34" s="298"/>
      <c r="F34" s="298"/>
      <c r="G34" s="298"/>
      <c r="H34" s="298"/>
    </row>
    <row r="35" spans="1:8" ht="24" customHeight="1">
      <c r="A35" s="420" t="s">
        <v>377</v>
      </c>
      <c r="B35" s="420"/>
      <c r="C35" s="420"/>
      <c r="D35" s="420"/>
      <c r="E35" s="420"/>
      <c r="F35" s="420"/>
      <c r="G35" s="420"/>
      <c r="H35" s="420"/>
    </row>
    <row r="36" spans="1:8" ht="24" customHeight="1">
      <c r="A36" s="215"/>
      <c r="B36" s="216"/>
      <c r="C36" s="223"/>
      <c r="D36" s="75"/>
      <c r="E36" s="75"/>
      <c r="F36" s="75"/>
      <c r="G36" s="75"/>
      <c r="H36" s="75"/>
    </row>
    <row r="37" spans="1:12" ht="24" customHeight="1">
      <c r="A37" s="36" t="s">
        <v>380</v>
      </c>
      <c r="B37" s="36" t="s">
        <v>381</v>
      </c>
      <c r="C37" s="162" t="s">
        <v>382</v>
      </c>
      <c r="D37" s="162" t="s">
        <v>383</v>
      </c>
      <c r="E37" s="162" t="s">
        <v>411</v>
      </c>
      <c r="F37" s="162" t="s">
        <v>412</v>
      </c>
      <c r="G37" s="162" t="s">
        <v>36</v>
      </c>
      <c r="H37" s="162" t="s">
        <v>413</v>
      </c>
      <c r="I37" s="299" t="s">
        <v>414</v>
      </c>
      <c r="J37" s="299"/>
      <c r="K37" s="300"/>
      <c r="L37" s="301" t="s">
        <v>387</v>
      </c>
    </row>
    <row r="38" spans="1:12" ht="24" customHeight="1">
      <c r="A38" s="302"/>
      <c r="B38" s="36"/>
      <c r="C38" s="162"/>
      <c r="D38" s="282">
        <v>1</v>
      </c>
      <c r="E38" s="282">
        <v>2</v>
      </c>
      <c r="F38" s="282">
        <v>3</v>
      </c>
      <c r="G38" s="282">
        <v>4</v>
      </c>
      <c r="H38" s="282">
        <v>5</v>
      </c>
      <c r="I38" s="303">
        <v>6</v>
      </c>
      <c r="J38" s="303"/>
      <c r="K38" s="304"/>
      <c r="L38" s="301"/>
    </row>
    <row r="39" spans="1:12" ht="24" customHeight="1">
      <c r="A39" s="254">
        <v>1</v>
      </c>
      <c r="B39" s="305" t="s">
        <v>391</v>
      </c>
      <c r="C39" s="306"/>
      <c r="D39" s="306">
        <v>20655503843</v>
      </c>
      <c r="E39" s="306">
        <f>20303233602-'[1]chi tiet DT-LN'!F40-'[1]chi tiet DT-LN'!G40-'[1]chi tiet DT-LN'!H40-'[1]chi tiet DT-LN'!I40</f>
        <v>16300938295</v>
      </c>
      <c r="F39" s="306">
        <v>3229356290</v>
      </c>
      <c r="G39" s="306">
        <v>377776468</v>
      </c>
      <c r="H39" s="306">
        <v>135578251</v>
      </c>
      <c r="I39" s="306">
        <v>259584298</v>
      </c>
      <c r="J39" s="306"/>
      <c r="K39" s="307"/>
      <c r="L39" s="308"/>
    </row>
    <row r="40" spans="1:12" ht="24" customHeight="1">
      <c r="A40" s="217">
        <v>2</v>
      </c>
      <c r="B40" s="218" t="s">
        <v>394</v>
      </c>
      <c r="C40" s="7"/>
      <c r="D40" s="7">
        <v>1726249214</v>
      </c>
      <c r="E40" s="306">
        <f>2531911470-'[1]chi tiet DT-LN'!F41-'[1]chi tiet DT-LN'!G41-'[1]chi tiet DT-LN'!H41-'[1]chi tiet DT-LN'!I41</f>
        <v>1565944294</v>
      </c>
      <c r="F40" s="306">
        <v>587890022</v>
      </c>
      <c r="G40" s="306">
        <v>36048818</v>
      </c>
      <c r="H40" s="7">
        <v>125782008</v>
      </c>
      <c r="I40" s="7">
        <v>216246328</v>
      </c>
      <c r="J40" s="7"/>
      <c r="K40" s="309"/>
      <c r="L40" s="310"/>
    </row>
    <row r="41" spans="1:12" ht="24" customHeight="1">
      <c r="A41" s="254">
        <v>3</v>
      </c>
      <c r="B41" s="218" t="s">
        <v>396</v>
      </c>
      <c r="C41" s="7"/>
      <c r="D41" s="7">
        <v>1631191601</v>
      </c>
      <c r="E41" s="306">
        <f>1766369417-'[1]chi tiet DT-LN'!F42-'[1]chi tiet DT-LN'!G42-'[1]chi tiet DT-LN'!H42-'[1]chi tiet DT-LN'!I42</f>
        <v>1303729586</v>
      </c>
      <c r="F41" s="306">
        <v>338095858</v>
      </c>
      <c r="G41" s="306">
        <v>55524434</v>
      </c>
      <c r="H41" s="7">
        <v>21759935</v>
      </c>
      <c r="I41" s="7">
        <v>47259604</v>
      </c>
      <c r="J41" s="7"/>
      <c r="K41" s="309"/>
      <c r="L41" s="310"/>
    </row>
    <row r="42" spans="1:12" ht="24" customHeight="1">
      <c r="A42" s="217">
        <v>4</v>
      </c>
      <c r="B42" s="218" t="s">
        <v>398</v>
      </c>
      <c r="C42" s="7"/>
      <c r="D42" s="7">
        <v>7466450797</v>
      </c>
      <c r="E42" s="7">
        <v>7995030222</v>
      </c>
      <c r="F42" s="306"/>
      <c r="G42" s="306"/>
      <c r="H42" s="7"/>
      <c r="I42" s="7"/>
      <c r="J42" s="7"/>
      <c r="K42" s="309"/>
      <c r="L42" s="310"/>
    </row>
    <row r="43" spans="1:12" ht="24" customHeight="1">
      <c r="A43" s="254">
        <v>5</v>
      </c>
      <c r="B43" s="218" t="s">
        <v>400</v>
      </c>
      <c r="C43" s="7">
        <v>1422394982</v>
      </c>
      <c r="D43" s="7">
        <f>16016023170+2852435918</f>
        <v>18868459088</v>
      </c>
      <c r="E43" s="311">
        <f>6041228684</f>
        <v>6041228684</v>
      </c>
      <c r="F43" s="306"/>
      <c r="G43" s="306"/>
      <c r="H43" s="7"/>
      <c r="I43" s="7"/>
      <c r="J43" s="7"/>
      <c r="K43" s="309"/>
      <c r="L43" s="310"/>
    </row>
    <row r="44" spans="1:12" ht="24" customHeight="1">
      <c r="A44" s="217">
        <v>6</v>
      </c>
      <c r="B44" s="218" t="s">
        <v>402</v>
      </c>
      <c r="C44" s="7"/>
      <c r="D44" s="7">
        <f>9373165237-5454545454+188226362</f>
        <v>4106846145</v>
      </c>
      <c r="E44" s="7">
        <v>3901503837</v>
      </c>
      <c r="F44" s="306"/>
      <c r="G44" s="306"/>
      <c r="H44" s="7"/>
      <c r="I44" s="7"/>
      <c r="J44" s="7"/>
      <c r="K44" s="309"/>
      <c r="L44" s="310"/>
    </row>
    <row r="45" spans="1:12" ht="24" customHeight="1">
      <c r="A45" s="254"/>
      <c r="B45" s="218" t="s">
        <v>404</v>
      </c>
      <c r="C45" s="7">
        <v>18672727282</v>
      </c>
      <c r="D45" s="7">
        <f>32062469563+25737372354</f>
        <v>57799841917</v>
      </c>
      <c r="E45" s="7">
        <v>50211752247</v>
      </c>
      <c r="F45" s="306"/>
      <c r="G45" s="306"/>
      <c r="H45" s="7"/>
      <c r="I45" s="7"/>
      <c r="J45" s="7"/>
      <c r="K45" s="309"/>
      <c r="L45" s="310"/>
    </row>
    <row r="46" spans="1:12" ht="24" customHeight="1">
      <c r="A46" s="254"/>
      <c r="B46" s="218" t="s">
        <v>406</v>
      </c>
      <c r="C46" s="7">
        <v>5454545454</v>
      </c>
      <c r="D46" s="7"/>
      <c r="E46" s="7"/>
      <c r="F46" s="306"/>
      <c r="G46" s="306"/>
      <c r="H46" s="7"/>
      <c r="I46" s="7"/>
      <c r="J46" s="7"/>
      <c r="K46" s="309"/>
      <c r="L46" s="310"/>
    </row>
    <row r="47" spans="1:12" ht="24" customHeight="1">
      <c r="A47" s="254"/>
      <c r="B47" s="218"/>
      <c r="C47" s="7"/>
      <c r="D47" s="7"/>
      <c r="E47" s="7"/>
      <c r="F47" s="306"/>
      <c r="G47" s="306"/>
      <c r="H47" s="7"/>
      <c r="I47" s="7"/>
      <c r="J47" s="7"/>
      <c r="K47" s="309"/>
      <c r="L47" s="310"/>
    </row>
    <row r="48" spans="1:12" ht="24" customHeight="1">
      <c r="A48" s="254"/>
      <c r="B48" s="218" t="s">
        <v>415</v>
      </c>
      <c r="C48" s="7"/>
      <c r="D48" s="7"/>
      <c r="E48" s="7"/>
      <c r="F48" s="306">
        <v>10750165484</v>
      </c>
      <c r="G48" s="306">
        <f>801734263+90837132</f>
        <v>892571395</v>
      </c>
      <c r="H48" s="7">
        <v>1448980159</v>
      </c>
      <c r="I48" s="7">
        <f>5287292409-1781685038</f>
        <v>3505607371</v>
      </c>
      <c r="J48" s="7"/>
      <c r="K48" s="309"/>
      <c r="L48" s="310"/>
    </row>
    <row r="49" spans="1:12" ht="24" customHeight="1">
      <c r="A49" s="254"/>
      <c r="B49" s="218"/>
      <c r="C49" s="7"/>
      <c r="D49" s="7"/>
      <c r="E49" s="7"/>
      <c r="F49" s="306"/>
      <c r="G49" s="306"/>
      <c r="H49" s="7"/>
      <c r="I49" s="7"/>
      <c r="J49" s="7"/>
      <c r="K49" s="309"/>
      <c r="L49" s="310"/>
    </row>
    <row r="50" spans="1:12" ht="24" customHeight="1">
      <c r="A50" s="219"/>
      <c r="B50" s="220" t="s">
        <v>242</v>
      </c>
      <c r="C50" s="312">
        <f aca="true" t="shared" si="1" ref="C50:L50">SUM(C39:C48)</f>
        <v>25549667718</v>
      </c>
      <c r="D50" s="312">
        <f t="shared" si="1"/>
        <v>112254542605</v>
      </c>
      <c r="E50" s="312">
        <f t="shared" si="1"/>
        <v>87320127165</v>
      </c>
      <c r="F50" s="312">
        <f t="shared" si="1"/>
        <v>14905507654</v>
      </c>
      <c r="G50" s="312">
        <f t="shared" si="1"/>
        <v>1361921115</v>
      </c>
      <c r="H50" s="312">
        <f t="shared" si="1"/>
        <v>1732100353</v>
      </c>
      <c r="I50" s="312">
        <f t="shared" si="1"/>
        <v>4028697601</v>
      </c>
      <c r="J50" s="312"/>
      <c r="K50" s="312"/>
      <c r="L50" s="312">
        <f t="shared" si="1"/>
        <v>0</v>
      </c>
    </row>
    <row r="51" spans="1:13" s="320" customFormat="1" ht="24" customHeight="1">
      <c r="A51" s="313"/>
      <c r="B51" s="314" t="s">
        <v>416</v>
      </c>
      <c r="C51" s="315"/>
      <c r="D51" s="315"/>
      <c r="E51" s="315"/>
      <c r="F51" s="315"/>
      <c r="G51" s="315"/>
      <c r="H51" s="315"/>
      <c r="I51" s="316"/>
      <c r="J51" s="316"/>
      <c r="K51" s="317"/>
      <c r="L51" s="318"/>
      <c r="M51" s="319"/>
    </row>
    <row r="52" spans="1:13" s="320" customFormat="1" ht="24" customHeight="1">
      <c r="A52" s="313"/>
      <c r="B52" s="314" t="s">
        <v>417</v>
      </c>
      <c r="C52" s="315"/>
      <c r="D52" s="315"/>
      <c r="E52" s="315"/>
      <c r="F52" s="315"/>
      <c r="G52" s="315"/>
      <c r="H52" s="315"/>
      <c r="I52" s="316"/>
      <c r="J52" s="316"/>
      <c r="K52" s="318"/>
      <c r="L52" s="318"/>
      <c r="M52" s="319"/>
    </row>
    <row r="53" spans="1:12" ht="24" customHeight="1">
      <c r="A53" s="219"/>
      <c r="B53" s="220"/>
      <c r="C53" s="312"/>
      <c r="D53" s="312"/>
      <c r="E53" s="312"/>
      <c r="F53" s="312"/>
      <c r="G53" s="321"/>
      <c r="H53" s="312"/>
      <c r="I53" s="7"/>
      <c r="J53" s="7"/>
      <c r="K53" s="310"/>
      <c r="L53" s="310"/>
    </row>
    <row r="54" spans="1:12" ht="24" customHeight="1">
      <c r="A54" s="217"/>
      <c r="B54" s="218" t="s">
        <v>415</v>
      </c>
      <c r="C54" s="7"/>
      <c r="D54" s="7"/>
      <c r="E54" s="7"/>
      <c r="F54" s="7">
        <v>11232056684</v>
      </c>
      <c r="G54" s="7">
        <v>892571395</v>
      </c>
      <c r="H54" s="7">
        <v>1448980159</v>
      </c>
      <c r="I54" s="7">
        <v>5287292409</v>
      </c>
      <c r="J54" s="7"/>
      <c r="K54" s="310"/>
      <c r="L54" s="310"/>
    </row>
    <row r="55" spans="1:12" ht="24" customHeight="1">
      <c r="A55" s="217"/>
      <c r="B55" s="218"/>
      <c r="C55" s="7"/>
      <c r="D55" s="7"/>
      <c r="E55" s="7"/>
      <c r="F55" s="7"/>
      <c r="G55" s="7"/>
      <c r="H55" s="7"/>
      <c r="I55" s="7"/>
      <c r="J55" s="7"/>
      <c r="K55" s="310"/>
      <c r="L55" s="310"/>
    </row>
    <row r="56" spans="1:12" ht="24" customHeight="1">
      <c r="A56" s="217"/>
      <c r="B56" s="218" t="s">
        <v>418</v>
      </c>
      <c r="C56" s="7"/>
      <c r="D56" s="7"/>
      <c r="E56" s="7"/>
      <c r="F56" s="7"/>
      <c r="G56" s="7"/>
      <c r="H56" s="7"/>
      <c r="I56" s="7"/>
      <c r="J56" s="7"/>
      <c r="K56" s="310"/>
      <c r="L56" s="310"/>
    </row>
    <row r="57" spans="1:12" ht="24" customHeight="1">
      <c r="A57" s="217"/>
      <c r="B57" s="218"/>
      <c r="C57" s="7"/>
      <c r="D57" s="7"/>
      <c r="E57" s="7"/>
      <c r="F57" s="7"/>
      <c r="G57" s="7"/>
      <c r="H57" s="7"/>
      <c r="I57" s="7"/>
      <c r="J57" s="7"/>
      <c r="K57" s="310"/>
      <c r="L57" s="310"/>
    </row>
    <row r="58" spans="1:12" ht="24" customHeight="1">
      <c r="A58" s="221"/>
      <c r="B58" s="222"/>
      <c r="C58" s="294"/>
      <c r="D58" s="294"/>
      <c r="E58" s="294"/>
      <c r="F58" s="294"/>
      <c r="G58" s="294"/>
      <c r="H58" s="294"/>
      <c r="I58" s="322"/>
      <c r="J58" s="322"/>
      <c r="K58" s="323"/>
      <c r="L58" s="323"/>
    </row>
  </sheetData>
  <mergeCells count="3">
    <mergeCell ref="A1:H1"/>
    <mergeCell ref="J2:K2"/>
    <mergeCell ref="A35:H35"/>
  </mergeCells>
  <printOptions/>
  <pageMargins left="0.23" right="0.17" top="0.43" bottom="0.16" header="0.5" footer="0.2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2">
      <selection activeCell="D31" sqref="D31"/>
    </sheetView>
  </sheetViews>
  <sheetFormatPr defaultColWidth="9.00390625" defaultRowHeight="26.25" customHeight="1"/>
  <cols>
    <col min="1" max="1" width="5.25390625" style="215" customWidth="1"/>
    <col min="2" max="2" width="54.00390625" style="18" customWidth="1"/>
    <col min="3" max="3" width="9.375" style="215" customWidth="1"/>
    <col min="4" max="4" width="18.00390625" style="223" customWidth="1"/>
    <col min="5" max="5" width="0.2421875" style="216" hidden="1" customWidth="1"/>
    <col min="6" max="6" width="4.125" style="223" customWidth="1"/>
    <col min="7" max="7" width="11.75390625" style="216" customWidth="1"/>
    <col min="8" max="8" width="57.375" style="216" bestFit="1" customWidth="1"/>
    <col min="9" max="9" width="13.375" style="216" customWidth="1"/>
    <col min="10" max="10" width="19.875" style="216" customWidth="1"/>
    <col min="11" max="16384" width="13.375" style="216" customWidth="1"/>
  </cols>
  <sheetData>
    <row r="1" spans="1:11" s="236" customFormat="1" ht="26.25" customHeight="1">
      <c r="A1" s="420" t="s">
        <v>305</v>
      </c>
      <c r="B1" s="420"/>
      <c r="C1" s="420"/>
      <c r="D1" s="420"/>
      <c r="E1" s="420"/>
      <c r="F1" s="265"/>
      <c r="G1" s="420" t="s">
        <v>305</v>
      </c>
      <c r="H1" s="420"/>
      <c r="I1" s="420"/>
      <c r="J1" s="420"/>
      <c r="K1" s="420"/>
    </row>
    <row r="2" spans="1:10" ht="14.25" customHeight="1">
      <c r="A2" s="237"/>
      <c r="B2" s="256"/>
      <c r="C2" s="237"/>
      <c r="D2" s="240"/>
      <c r="G2" s="237"/>
      <c r="H2" s="256"/>
      <c r="I2" s="237"/>
      <c r="J2" s="240"/>
    </row>
    <row r="3" spans="1:11" s="247" customFormat="1" ht="26.25" customHeight="1">
      <c r="A3" s="241" t="s">
        <v>192</v>
      </c>
      <c r="B3" s="58" t="s">
        <v>290</v>
      </c>
      <c r="C3" s="269" t="s">
        <v>348</v>
      </c>
      <c r="D3" s="150" t="s">
        <v>291</v>
      </c>
      <c r="E3" s="329" t="s">
        <v>245</v>
      </c>
      <c r="F3" s="155"/>
      <c r="G3" s="241" t="s">
        <v>192</v>
      </c>
      <c r="H3" s="58" t="s">
        <v>290</v>
      </c>
      <c r="I3" s="269" t="s">
        <v>348</v>
      </c>
      <c r="J3" s="150" t="s">
        <v>291</v>
      </c>
      <c r="K3" s="329" t="s">
        <v>245</v>
      </c>
    </row>
    <row r="4" spans="1:11" s="236" customFormat="1" ht="26.25" customHeight="1">
      <c r="A4" s="239">
        <v>1</v>
      </c>
      <c r="B4" s="257" t="s">
        <v>347</v>
      </c>
      <c r="C4" s="245"/>
      <c r="D4" s="242">
        <f>4174824683+575045369</f>
        <v>4749870052</v>
      </c>
      <c r="E4" s="246"/>
      <c r="F4" s="265"/>
      <c r="G4" s="239">
        <v>1</v>
      </c>
      <c r="H4" s="257" t="s">
        <v>347</v>
      </c>
      <c r="I4" s="245"/>
      <c r="J4" s="242">
        <v>4174824683</v>
      </c>
      <c r="K4" s="246"/>
    </row>
    <row r="5" spans="1:11" s="236" customFormat="1" ht="26.25" customHeight="1">
      <c r="A5" s="253"/>
      <c r="B5" s="124" t="s">
        <v>338</v>
      </c>
      <c r="C5" s="267"/>
      <c r="D5" s="244"/>
      <c r="E5" s="29"/>
      <c r="F5" s="265"/>
      <c r="G5" s="253"/>
      <c r="H5" s="124" t="s">
        <v>338</v>
      </c>
      <c r="I5" s="267"/>
      <c r="J5" s="244"/>
      <c r="K5" s="29"/>
    </row>
    <row r="6" spans="1:11" s="236" customFormat="1" ht="26.25" customHeight="1">
      <c r="A6" s="219">
        <v>2</v>
      </c>
      <c r="B6" s="24" t="s">
        <v>346</v>
      </c>
      <c r="C6" s="32"/>
      <c r="D6" s="243">
        <f>D4+D5</f>
        <v>4749870052</v>
      </c>
      <c r="E6" s="220"/>
      <c r="F6" s="265"/>
      <c r="G6" s="219">
        <v>2</v>
      </c>
      <c r="H6" s="24" t="s">
        <v>346</v>
      </c>
      <c r="I6" s="32"/>
      <c r="J6" s="243">
        <f>J4+J5</f>
        <v>4174824683</v>
      </c>
      <c r="K6" s="220"/>
    </row>
    <row r="7" spans="1:11" s="236" customFormat="1" ht="26.25" customHeight="1">
      <c r="A7" s="253">
        <v>3</v>
      </c>
      <c r="B7" s="24" t="s">
        <v>236</v>
      </c>
      <c r="C7" s="32"/>
      <c r="D7" s="355">
        <f>1043706170-745818182+143761342</f>
        <v>441649330</v>
      </c>
      <c r="E7" s="220"/>
      <c r="F7" s="265"/>
      <c r="G7" s="253">
        <v>3</v>
      </c>
      <c r="H7" s="24" t="s">
        <v>236</v>
      </c>
      <c r="I7" s="32"/>
      <c r="J7" s="355">
        <f>1043706170</f>
        <v>1043706170</v>
      </c>
      <c r="K7" s="220"/>
    </row>
    <row r="8" spans="1:11" ht="26.25" customHeight="1">
      <c r="A8" s="238">
        <v>4</v>
      </c>
      <c r="B8" s="345" t="s">
        <v>440</v>
      </c>
      <c r="C8" s="33"/>
      <c r="D8" s="226">
        <f>D4-D7</f>
        <v>4308220722</v>
      </c>
      <c r="E8" s="218"/>
      <c r="G8" s="238">
        <v>4</v>
      </c>
      <c r="H8" s="345" t="s">
        <v>440</v>
      </c>
      <c r="I8" s="33"/>
      <c r="J8" s="226">
        <f>J4-J7</f>
        <v>3131118513</v>
      </c>
      <c r="K8" s="218"/>
    </row>
    <row r="9" spans="1:11" ht="26.25" customHeight="1">
      <c r="A9" s="254"/>
      <c r="B9" s="21" t="s">
        <v>441</v>
      </c>
      <c r="C9" s="33"/>
      <c r="D9" s="226">
        <v>240503288</v>
      </c>
      <c r="E9" s="218"/>
      <c r="G9" s="254"/>
      <c r="H9" s="21" t="s">
        <v>441</v>
      </c>
      <c r="I9" s="33"/>
      <c r="J9" s="226">
        <v>1780198669</v>
      </c>
      <c r="K9" s="218"/>
    </row>
    <row r="10" spans="1:11" ht="26.25" customHeight="1">
      <c r="A10" s="254"/>
      <c r="B10" s="124" t="s">
        <v>444</v>
      </c>
      <c r="C10" s="33"/>
      <c r="D10" s="226">
        <f>D8-D9</f>
        <v>4067717434</v>
      </c>
      <c r="E10" s="218"/>
      <c r="G10" s="254"/>
      <c r="H10" s="124" t="s">
        <v>444</v>
      </c>
      <c r="I10" s="33"/>
      <c r="J10" s="226">
        <f>J8-J9</f>
        <v>1350919844</v>
      </c>
      <c r="K10" s="218"/>
    </row>
    <row r="11" spans="1:11" ht="26.25" customHeight="1">
      <c r="A11" s="254"/>
      <c r="B11" s="21" t="s">
        <v>304</v>
      </c>
      <c r="C11" s="33">
        <v>415</v>
      </c>
      <c r="D11" s="243">
        <f>D10*10%</f>
        <v>406771743.40000004</v>
      </c>
      <c r="E11" s="218"/>
      <c r="G11" s="254"/>
      <c r="H11" s="21" t="s">
        <v>304</v>
      </c>
      <c r="I11" s="33">
        <v>415</v>
      </c>
      <c r="J11" s="243">
        <f>J10*10%</f>
        <v>135091984.4</v>
      </c>
      <c r="K11" s="218"/>
    </row>
    <row r="12" spans="1:11" ht="26.25" customHeight="1">
      <c r="A12" s="254">
        <v>5</v>
      </c>
      <c r="B12" s="24" t="s">
        <v>307</v>
      </c>
      <c r="C12" s="33"/>
      <c r="D12" s="226">
        <f>D10-D11</f>
        <v>3660945690.6</v>
      </c>
      <c r="E12" s="218"/>
      <c r="G12" s="254">
        <v>5</v>
      </c>
      <c r="H12" s="24" t="s">
        <v>307</v>
      </c>
      <c r="I12" s="33"/>
      <c r="J12" s="226">
        <f>J10-J11</f>
        <v>1215827859.6</v>
      </c>
      <c r="K12" s="218"/>
    </row>
    <row r="13" spans="1:11" ht="26.25" customHeight="1">
      <c r="A13" s="254">
        <v>6</v>
      </c>
      <c r="B13" s="24" t="s">
        <v>340</v>
      </c>
      <c r="C13" s="33"/>
      <c r="D13" s="226"/>
      <c r="E13" s="218"/>
      <c r="G13" s="254">
        <v>6</v>
      </c>
      <c r="H13" s="24" t="s">
        <v>340</v>
      </c>
      <c r="I13" s="33"/>
      <c r="J13" s="226"/>
      <c r="K13" s="218"/>
    </row>
    <row r="14" spans="1:11" s="236" customFormat="1" ht="26.25" customHeight="1">
      <c r="A14" s="219" t="s">
        <v>341</v>
      </c>
      <c r="B14" s="21" t="s">
        <v>298</v>
      </c>
      <c r="C14" s="32"/>
      <c r="D14" s="243">
        <v>55241846658</v>
      </c>
      <c r="E14" s="220"/>
      <c r="F14" s="265"/>
      <c r="G14" s="219" t="s">
        <v>341</v>
      </c>
      <c r="H14" s="21" t="s">
        <v>298</v>
      </c>
      <c r="I14" s="32"/>
      <c r="J14" s="243">
        <f>(51297001649+52879315285+3837970009+2496127757)/2</f>
        <v>55255207350</v>
      </c>
      <c r="K14" s="220"/>
    </row>
    <row r="15" spans="1:11" ht="26.25" customHeight="1">
      <c r="A15" s="238" t="s">
        <v>342</v>
      </c>
      <c r="B15" s="21" t="s">
        <v>299</v>
      </c>
      <c r="C15" s="33"/>
      <c r="D15" s="226">
        <v>9400000000</v>
      </c>
      <c r="E15" s="218"/>
      <c r="G15" s="238" t="s">
        <v>342</v>
      </c>
      <c r="H15" s="21" t="s">
        <v>299</v>
      </c>
      <c r="I15" s="33"/>
      <c r="J15" s="226">
        <v>6050000000</v>
      </c>
      <c r="K15" s="218"/>
    </row>
    <row r="16" spans="1:11" ht="26.25" customHeight="1">
      <c r="A16" s="254"/>
      <c r="B16" s="258" t="s">
        <v>300</v>
      </c>
      <c r="C16" s="33"/>
      <c r="D16" s="361">
        <f>D14/(D14+D15)</f>
        <v>0.8545833622338717</v>
      </c>
      <c r="E16" s="218"/>
      <c r="G16" s="254"/>
      <c r="H16" s="258" t="s">
        <v>300</v>
      </c>
      <c r="I16" s="33"/>
      <c r="J16" s="255">
        <f>J14/(J14+J15)</f>
        <v>0.9013134403826464</v>
      </c>
      <c r="K16" s="218"/>
    </row>
    <row r="17" spans="1:11" ht="26.25" customHeight="1">
      <c r="A17" s="254"/>
      <c r="B17" s="258" t="s">
        <v>301</v>
      </c>
      <c r="C17" s="33"/>
      <c r="D17" s="361">
        <f>D15/(D15+D14)</f>
        <v>0.14541663776612834</v>
      </c>
      <c r="E17" s="218"/>
      <c r="G17" s="254"/>
      <c r="H17" s="258" t="s">
        <v>301</v>
      </c>
      <c r="I17" s="33"/>
      <c r="J17" s="255">
        <f>J15/(J15+J14)</f>
        <v>0.09868655961735362</v>
      </c>
      <c r="K17" s="218"/>
    </row>
    <row r="18" spans="1:11" ht="26.25" customHeight="1">
      <c r="A18" s="254">
        <v>7</v>
      </c>
      <c r="B18" s="24" t="s">
        <v>343</v>
      </c>
      <c r="C18" s="33"/>
      <c r="D18" s="255"/>
      <c r="E18" s="218"/>
      <c r="G18" s="254">
        <v>7</v>
      </c>
      <c r="H18" s="24" t="s">
        <v>343</v>
      </c>
      <c r="I18" s="33"/>
      <c r="J18" s="255"/>
      <c r="K18" s="218"/>
    </row>
    <row r="19" spans="1:11" ht="26.25" customHeight="1">
      <c r="A19" s="254" t="s">
        <v>341</v>
      </c>
      <c r="B19" s="21" t="s">
        <v>302</v>
      </c>
      <c r="C19" s="33"/>
      <c r="D19" s="226">
        <f>D12*D16-1</f>
        <v>3128583276.2285514</v>
      </c>
      <c r="E19" s="218"/>
      <c r="G19" s="254" t="s">
        <v>341</v>
      </c>
      <c r="H19" s="21" t="s">
        <v>302</v>
      </c>
      <c r="I19" s="33"/>
      <c r="J19" s="226">
        <f>J12*J16</f>
        <v>1095841991.049145</v>
      </c>
      <c r="K19" s="218"/>
    </row>
    <row r="20" spans="1:11" ht="26.25" customHeight="1">
      <c r="A20" s="254" t="s">
        <v>342</v>
      </c>
      <c r="B20" s="21" t="s">
        <v>303</v>
      </c>
      <c r="C20" s="33"/>
      <c r="D20" s="226">
        <f>D12-D19-1</f>
        <v>532362413.3714485</v>
      </c>
      <c r="E20" s="218"/>
      <c r="G20" s="254" t="s">
        <v>342</v>
      </c>
      <c r="H20" s="21" t="s">
        <v>303</v>
      </c>
      <c r="I20" s="33"/>
      <c r="J20" s="226">
        <f>J12-J19</f>
        <v>119985868.55085492</v>
      </c>
      <c r="K20" s="218"/>
    </row>
    <row r="21" spans="1:11" ht="26.25" customHeight="1">
      <c r="A21" s="254" t="s">
        <v>196</v>
      </c>
      <c r="B21" s="21" t="s">
        <v>456</v>
      </c>
      <c r="C21" s="33"/>
      <c r="D21" s="243"/>
      <c r="E21" s="218"/>
      <c r="G21" s="254" t="s">
        <v>196</v>
      </c>
      <c r="H21" s="21" t="s">
        <v>349</v>
      </c>
      <c r="I21" s="33">
        <v>414</v>
      </c>
      <c r="J21" s="243">
        <f>J20*30%</f>
        <v>35995760.56525648</v>
      </c>
      <c r="K21" s="218"/>
    </row>
    <row r="22" spans="1:11" ht="26.25" customHeight="1">
      <c r="A22" s="217" t="s">
        <v>196</v>
      </c>
      <c r="B22" s="21" t="s">
        <v>350</v>
      </c>
      <c r="C22" s="33">
        <v>353</v>
      </c>
      <c r="D22" s="243">
        <f>D20*5%</f>
        <v>26618120.668572426</v>
      </c>
      <c r="E22" s="218"/>
      <c r="G22" s="217" t="s">
        <v>196</v>
      </c>
      <c r="H22" s="21" t="s">
        <v>350</v>
      </c>
      <c r="I22" s="33">
        <v>353</v>
      </c>
      <c r="J22" s="243">
        <f>J20*5%</f>
        <v>5999293.427542746</v>
      </c>
      <c r="K22" s="218"/>
    </row>
    <row r="23" spans="1:11" ht="26.25" customHeight="1">
      <c r="A23" s="254"/>
      <c r="B23" s="21" t="s">
        <v>336</v>
      </c>
      <c r="C23" s="33"/>
      <c r="D23" s="226">
        <v>9942109603</v>
      </c>
      <c r="E23" s="218"/>
      <c r="G23" s="254"/>
      <c r="H23" s="21" t="s">
        <v>336</v>
      </c>
      <c r="I23" s="33"/>
      <c r="J23" s="226">
        <v>14281084949</v>
      </c>
      <c r="K23" s="218"/>
    </row>
    <row r="24" spans="1:11" ht="33.75" customHeight="1">
      <c r="A24" s="254"/>
      <c r="B24" s="266" t="s">
        <v>337</v>
      </c>
      <c r="C24" s="33"/>
      <c r="D24" s="226">
        <f>D23/4</f>
        <v>2485527400.75</v>
      </c>
      <c r="E24" s="218"/>
      <c r="G24" s="254"/>
      <c r="H24" s="266" t="s">
        <v>337</v>
      </c>
      <c r="I24" s="33"/>
      <c r="J24" s="226"/>
      <c r="K24" s="218"/>
    </row>
    <row r="25" spans="1:11" ht="26.25" customHeight="1">
      <c r="A25" s="238" t="s">
        <v>196</v>
      </c>
      <c r="B25" s="21" t="s">
        <v>308</v>
      </c>
      <c r="C25" s="33">
        <v>353</v>
      </c>
      <c r="D25" s="243">
        <f>D26+D27</f>
        <v>2070035931.3171518</v>
      </c>
      <c r="E25" s="218"/>
      <c r="G25" s="238" t="s">
        <v>196</v>
      </c>
      <c r="H25" s="21" t="s">
        <v>308</v>
      </c>
      <c r="I25" s="33">
        <v>353</v>
      </c>
      <c r="J25" s="243">
        <f>J26+J27+1</f>
        <v>625911810.0826283</v>
      </c>
      <c r="K25" s="218"/>
    </row>
    <row r="26" spans="1:11" ht="26.25" customHeight="1">
      <c r="A26" s="254"/>
      <c r="B26" s="6" t="s">
        <v>339</v>
      </c>
      <c r="C26" s="33"/>
      <c r="D26" s="226">
        <f>D20-D22-D21+0.5</f>
        <v>505744293.2028761</v>
      </c>
      <c r="E26" s="218"/>
      <c r="G26" s="254"/>
      <c r="H26" s="6" t="s">
        <v>339</v>
      </c>
      <c r="I26" s="33"/>
      <c r="J26" s="226">
        <f>J20-J22-J21</f>
        <v>77990814.5580557</v>
      </c>
      <c r="K26" s="218"/>
    </row>
    <row r="27" spans="1:11" ht="33" customHeight="1">
      <c r="A27" s="254"/>
      <c r="B27" s="266" t="s">
        <v>344</v>
      </c>
      <c r="C27" s="33"/>
      <c r="D27" s="226">
        <f>D19/2</f>
        <v>1564291638.1142757</v>
      </c>
      <c r="E27" s="218"/>
      <c r="G27" s="254"/>
      <c r="H27" s="266" t="s">
        <v>344</v>
      </c>
      <c r="I27" s="33"/>
      <c r="J27" s="226">
        <f>J19/2-1</f>
        <v>547920994.5245725</v>
      </c>
      <c r="K27" s="218"/>
    </row>
    <row r="28" spans="1:11" ht="30.75" customHeight="1">
      <c r="A28" s="254" t="s">
        <v>196</v>
      </c>
      <c r="B28" s="266" t="s">
        <v>442</v>
      </c>
      <c r="C28" s="33">
        <v>411</v>
      </c>
      <c r="D28" s="243">
        <f>D27</f>
        <v>1564291638.1142757</v>
      </c>
      <c r="E28" s="218"/>
      <c r="G28" s="254" t="s">
        <v>196</v>
      </c>
      <c r="H28" s="266" t="s">
        <v>442</v>
      </c>
      <c r="I28" s="33">
        <v>411</v>
      </c>
      <c r="J28" s="243">
        <v>547920996</v>
      </c>
      <c r="K28" s="218"/>
    </row>
    <row r="29" spans="1:11" ht="26.25" customHeight="1">
      <c r="A29" s="330"/>
      <c r="B29" s="331"/>
      <c r="C29" s="330"/>
      <c r="D29" s="332"/>
      <c r="E29" s="222"/>
      <c r="G29" s="330"/>
      <c r="H29" s="331"/>
      <c r="I29" s="330"/>
      <c r="J29" s="332"/>
      <c r="K29" s="222"/>
    </row>
    <row r="31" spans="4:10" ht="26.25" customHeight="1">
      <c r="D31" s="14">
        <f>D25+D22</f>
        <v>2096654051.9857242</v>
      </c>
      <c r="J31" s="223">
        <v>547920996</v>
      </c>
    </row>
    <row r="32" ht="26.25" customHeight="1">
      <c r="J32" s="223">
        <f>625911810+5999293</f>
        <v>631911103</v>
      </c>
    </row>
    <row r="33" ht="26.25" customHeight="1">
      <c r="J33" s="223">
        <v>35995761</v>
      </c>
    </row>
    <row r="34" ht="26.25" customHeight="1">
      <c r="J34" s="223">
        <v>135091984</v>
      </c>
    </row>
    <row r="35" ht="26.25" customHeight="1">
      <c r="J35" s="251">
        <f>6800000</f>
        <v>6800000</v>
      </c>
    </row>
    <row r="36" ht="26.25" customHeight="1">
      <c r="J36" s="251">
        <f>30987181+901239482+549438718</f>
        <v>1481665381</v>
      </c>
    </row>
    <row r="37" ht="26.25" customHeight="1">
      <c r="J37" s="251">
        <v>122205006</v>
      </c>
    </row>
    <row r="38" ht="26.25" customHeight="1">
      <c r="J38" s="223">
        <v>110371931</v>
      </c>
    </row>
    <row r="39" ht="26.25" customHeight="1">
      <c r="J39" s="223">
        <v>1043706170</v>
      </c>
    </row>
    <row r="40" ht="26.25" customHeight="1">
      <c r="J40" s="223">
        <v>7926351</v>
      </c>
    </row>
    <row r="41" ht="26.25" customHeight="1">
      <c r="J41" s="223">
        <v>51230000</v>
      </c>
    </row>
    <row r="42" ht="26.25" customHeight="1">
      <c r="J42" s="358">
        <f>SUM(J31:J41)</f>
        <v>4174824683</v>
      </c>
    </row>
  </sheetData>
  <mergeCells count="2">
    <mergeCell ref="A1:E1"/>
    <mergeCell ref="G1:K1"/>
  </mergeCells>
  <printOptions/>
  <pageMargins left="0.17" right="0.21" top="0.55" bottom="0.4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7"/>
  <sheetViews>
    <sheetView workbookViewId="0" topLeftCell="A1">
      <selection activeCell="A42" sqref="A42"/>
    </sheetView>
  </sheetViews>
  <sheetFormatPr defaultColWidth="9.00390625" defaultRowHeight="12.75"/>
  <cols>
    <col min="1" max="1" width="34.00390625" style="72" customWidth="1"/>
    <col min="2" max="2" width="19.875" style="75" bestFit="1" customWidth="1"/>
    <col min="3" max="3" width="44.875" style="75" customWidth="1"/>
    <col min="4" max="4" width="15.125" style="72" customWidth="1"/>
    <col min="5" max="5" width="15.625" style="72" bestFit="1" customWidth="1"/>
    <col min="6" max="6" width="14.25390625" style="72" bestFit="1" customWidth="1"/>
    <col min="7" max="7" width="10.125" style="72" bestFit="1" customWidth="1"/>
    <col min="8" max="16384" width="9.125" style="72" customWidth="1"/>
  </cols>
  <sheetData>
    <row r="1" spans="1:3" s="18" customFormat="1" ht="18.75">
      <c r="A1" s="384" t="s">
        <v>266</v>
      </c>
      <c r="B1" s="384"/>
      <c r="C1" s="384"/>
    </row>
    <row r="2" spans="1:3" s="18" customFormat="1" ht="15.75">
      <c r="A2" s="28"/>
      <c r="B2" s="28"/>
      <c r="C2" s="14"/>
    </row>
    <row r="3" spans="1:3" s="181" customFormat="1" ht="15.75">
      <c r="A3" s="181" t="s">
        <v>231</v>
      </c>
      <c r="B3" s="183"/>
      <c r="C3" s="183"/>
    </row>
    <row r="4" spans="2:3" s="18" customFormat="1" ht="15">
      <c r="B4" s="14"/>
      <c r="C4" s="14"/>
    </row>
    <row r="5" spans="2:3" s="18" customFormat="1" ht="15">
      <c r="B5" s="14"/>
      <c r="C5" s="14"/>
    </row>
    <row r="6" spans="2:3" s="18" customFormat="1" ht="15">
      <c r="B6" s="14"/>
      <c r="C6" s="14"/>
    </row>
    <row r="7" spans="2:3" s="18" customFormat="1" ht="15">
      <c r="B7" s="14"/>
      <c r="C7" s="14"/>
    </row>
    <row r="8" spans="2:3" s="18" customFormat="1" ht="15">
      <c r="B8" s="14"/>
      <c r="C8" s="14"/>
    </row>
    <row r="9" spans="1:3" s="181" customFormat="1" ht="15.75">
      <c r="A9" s="181" t="s">
        <v>262</v>
      </c>
      <c r="B9" s="183"/>
      <c r="C9" s="183"/>
    </row>
    <row r="10" spans="2:3" s="18" customFormat="1" ht="15">
      <c r="B10" s="14"/>
      <c r="C10" s="14"/>
    </row>
    <row r="11" spans="2:3" s="18" customFormat="1" ht="15">
      <c r="B11" s="14"/>
      <c r="C11" s="14"/>
    </row>
    <row r="12" spans="2:3" s="18" customFormat="1" ht="15">
      <c r="B12" s="14"/>
      <c r="C12" s="14"/>
    </row>
    <row r="13" spans="2:3" s="18" customFormat="1" ht="15">
      <c r="B13" s="143"/>
      <c r="C13" s="14"/>
    </row>
    <row r="14" spans="2:3" s="18" customFormat="1" ht="15">
      <c r="B14" s="143"/>
      <c r="C14" s="187"/>
    </row>
    <row r="15" spans="2:3" s="18" customFormat="1" ht="15">
      <c r="B15" s="143"/>
      <c r="C15" s="14"/>
    </row>
    <row r="16" spans="2:3" s="18" customFormat="1" ht="15">
      <c r="B16" s="143"/>
      <c r="C16" s="14"/>
    </row>
    <row r="17" spans="2:3" s="18" customFormat="1" ht="15">
      <c r="B17" s="143"/>
      <c r="C17" s="14"/>
    </row>
    <row r="18" spans="2:3" s="18" customFormat="1" ht="15">
      <c r="B18" s="143"/>
      <c r="C18" s="14"/>
    </row>
    <row r="19" spans="2:3" s="18" customFormat="1" ht="15">
      <c r="B19" s="14"/>
      <c r="C19" s="14"/>
    </row>
    <row r="20" spans="1:3" s="181" customFormat="1" ht="15.75">
      <c r="A20" s="181" t="s">
        <v>263</v>
      </c>
      <c r="B20" s="183">
        <f>SUM(B21:B29)</f>
        <v>0</v>
      </c>
      <c r="C20" s="183"/>
    </row>
    <row r="21" spans="1:3" s="182" customFormat="1" ht="15">
      <c r="A21" s="18"/>
      <c r="B21" s="14"/>
      <c r="C21" s="184"/>
    </row>
    <row r="22" spans="1:3" s="182" customFormat="1" ht="15">
      <c r="A22" s="18"/>
      <c r="B22" s="14"/>
      <c r="C22" s="184"/>
    </row>
    <row r="23" spans="1:3" s="182" customFormat="1" ht="15">
      <c r="A23" s="18"/>
      <c r="B23" s="14"/>
      <c r="C23" s="184"/>
    </row>
    <row r="24" spans="1:3" s="182" customFormat="1" ht="15">
      <c r="A24" s="18"/>
      <c r="B24" s="14"/>
      <c r="C24" s="184"/>
    </row>
    <row r="25" spans="1:3" s="182" customFormat="1" ht="15">
      <c r="A25" s="18"/>
      <c r="B25" s="14"/>
      <c r="C25" s="184"/>
    </row>
    <row r="26" spans="1:3" s="182" customFormat="1" ht="15">
      <c r="A26" s="18"/>
      <c r="B26" s="14"/>
      <c r="C26" s="184"/>
    </row>
    <row r="27" spans="1:3" s="182" customFormat="1" ht="15">
      <c r="A27" s="18"/>
      <c r="B27" s="14"/>
      <c r="C27" s="184"/>
    </row>
    <row r="28" spans="2:3" s="18" customFormat="1" ht="15">
      <c r="B28" s="14"/>
      <c r="C28" s="14"/>
    </row>
    <row r="29" spans="2:3" s="18" customFormat="1" ht="15">
      <c r="B29" s="14"/>
      <c r="C29" s="14"/>
    </row>
    <row r="30" spans="2:3" s="18" customFormat="1" ht="15">
      <c r="B30" s="14"/>
      <c r="C30" s="14"/>
    </row>
    <row r="31" spans="2:3" s="18" customFormat="1" ht="15">
      <c r="B31" s="14"/>
      <c r="C31" s="14"/>
    </row>
    <row r="32" spans="1:3" s="181" customFormat="1" ht="15.75">
      <c r="A32" s="181" t="s">
        <v>261</v>
      </c>
      <c r="B32" s="183">
        <f>B3+B9-B20</f>
        <v>0</v>
      </c>
      <c r="C32" s="183"/>
    </row>
    <row r="33" spans="2:3" s="18" customFormat="1" ht="15">
      <c r="B33" s="14"/>
      <c r="C33" s="14"/>
    </row>
    <row r="34" spans="2:3" s="18" customFormat="1" ht="15">
      <c r="B34" s="14"/>
      <c r="C34" s="14"/>
    </row>
    <row r="35" spans="1:3" s="18" customFormat="1" ht="15">
      <c r="A35" s="185"/>
      <c r="B35" s="186"/>
      <c r="C35" s="186"/>
    </row>
    <row r="36" spans="2:3" s="181" customFormat="1" ht="15.75">
      <c r="B36" s="183"/>
      <c r="C36" s="183"/>
    </row>
    <row r="37" spans="1:3" s="181" customFormat="1" ht="15.75">
      <c r="A37" s="181" t="s">
        <v>265</v>
      </c>
      <c r="B37" s="183"/>
      <c r="C37" s="183"/>
    </row>
    <row r="38" spans="1:3" s="181" customFormat="1" ht="15.75">
      <c r="A38" s="181" t="s">
        <v>210</v>
      </c>
      <c r="B38" s="183">
        <f>SUM(B39:B46)</f>
        <v>0</v>
      </c>
      <c r="C38" s="183"/>
    </row>
    <row r="39" spans="2:3" s="18" customFormat="1" ht="15">
      <c r="B39" s="14"/>
      <c r="C39" s="14"/>
    </row>
    <row r="40" spans="2:3" s="18" customFormat="1" ht="15">
      <c r="B40" s="14"/>
      <c r="C40" s="14"/>
    </row>
    <row r="41" spans="2:3" s="18" customFormat="1" ht="15">
      <c r="B41" s="14"/>
      <c r="C41" s="14"/>
    </row>
    <row r="42" spans="2:3" s="18" customFormat="1" ht="15">
      <c r="B42" s="14"/>
      <c r="C42" s="14"/>
    </row>
    <row r="43" spans="2:3" s="18" customFormat="1" ht="15">
      <c r="B43" s="14"/>
      <c r="C43" s="14"/>
    </row>
    <row r="44" spans="2:3" s="18" customFormat="1" ht="15">
      <c r="B44" s="14"/>
      <c r="C44" s="14"/>
    </row>
    <row r="45" spans="2:3" s="18" customFormat="1" ht="15">
      <c r="B45" s="14"/>
      <c r="C45" s="14"/>
    </row>
    <row r="46" spans="2:3" s="18" customFormat="1" ht="15">
      <c r="B46" s="14"/>
      <c r="C46" s="14"/>
    </row>
    <row r="47" spans="2:3" s="18" customFormat="1" ht="15">
      <c r="B47" s="14"/>
      <c r="C47" s="14"/>
    </row>
    <row r="48" spans="1:3" s="181" customFormat="1" ht="15.75">
      <c r="A48" s="181" t="s">
        <v>209</v>
      </c>
      <c r="B48" s="183"/>
      <c r="C48" s="183"/>
    </row>
    <row r="49" spans="2:3" s="18" customFormat="1" ht="15">
      <c r="B49" s="14"/>
      <c r="C49" s="14"/>
    </row>
    <row r="50" spans="1:3" s="181" customFormat="1" ht="15.75">
      <c r="A50" s="190"/>
      <c r="B50" s="191"/>
      <c r="C50" s="191"/>
    </row>
    <row r="51" spans="1:3" s="18" customFormat="1" ht="15">
      <c r="A51" s="73"/>
      <c r="B51" s="14"/>
      <c r="C51" s="14"/>
    </row>
    <row r="52" spans="1:3" s="25" customFormat="1" ht="15.75">
      <c r="A52" s="25" t="s">
        <v>264</v>
      </c>
      <c r="B52" s="74"/>
      <c r="C52" s="74"/>
    </row>
    <row r="53" spans="1:3" s="181" customFormat="1" ht="15.75">
      <c r="A53" s="181" t="s">
        <v>210</v>
      </c>
      <c r="B53" s="183">
        <f>SUM(B54:B59)</f>
        <v>0</v>
      </c>
      <c r="C53" s="183"/>
    </row>
    <row r="54" spans="2:3" s="18" customFormat="1" ht="15">
      <c r="B54" s="14"/>
      <c r="C54" s="14"/>
    </row>
    <row r="55" spans="2:3" s="18" customFormat="1" ht="15">
      <c r="B55" s="14"/>
      <c r="C55" s="14"/>
    </row>
    <row r="56" spans="2:3" s="18" customFormat="1" ht="15">
      <c r="B56" s="14"/>
      <c r="C56" s="14"/>
    </row>
    <row r="57" spans="2:3" s="18" customFormat="1" ht="15">
      <c r="B57" s="14"/>
      <c r="C57" s="14"/>
    </row>
    <row r="58" spans="2:3" s="18" customFormat="1" ht="15">
      <c r="B58" s="14"/>
      <c r="C58" s="14"/>
    </row>
    <row r="59" spans="1:3" s="18" customFormat="1" ht="15">
      <c r="A59" s="73"/>
      <c r="B59" s="14"/>
      <c r="C59" s="14"/>
    </row>
    <row r="60" spans="1:3" s="181" customFormat="1" ht="15.75">
      <c r="A60" s="181" t="s">
        <v>209</v>
      </c>
      <c r="B60" s="183">
        <f>SUM(B61:B64)</f>
        <v>0</v>
      </c>
      <c r="C60" s="183"/>
    </row>
    <row r="61" spans="2:3" s="18" customFormat="1" ht="15">
      <c r="B61" s="14"/>
      <c r="C61" s="14"/>
    </row>
    <row r="62" spans="2:3" s="18" customFormat="1" ht="15">
      <c r="B62" s="14"/>
      <c r="C62" s="14"/>
    </row>
    <row r="63" spans="2:3" s="18" customFormat="1" ht="15">
      <c r="B63" s="14"/>
      <c r="C63" s="14"/>
    </row>
    <row r="64" spans="1:3" s="18" customFormat="1" ht="15">
      <c r="A64" s="188"/>
      <c r="B64" s="189"/>
      <c r="C64" s="189"/>
    </row>
    <row r="65" spans="1:3" s="18" customFormat="1" ht="15">
      <c r="A65" s="73"/>
      <c r="B65" s="14"/>
      <c r="C65" s="14"/>
    </row>
    <row r="66" spans="1:3" s="25" customFormat="1" ht="15.75">
      <c r="A66" s="25" t="s">
        <v>260</v>
      </c>
      <c r="B66" s="74"/>
      <c r="C66" s="74"/>
    </row>
    <row r="67" spans="1:3" s="18" customFormat="1" ht="15">
      <c r="A67" s="73"/>
      <c r="B67" s="14"/>
      <c r="C67" s="14"/>
    </row>
    <row r="68" spans="1:3" s="18" customFormat="1" ht="15">
      <c r="A68" s="73"/>
      <c r="B68" s="14"/>
      <c r="C68" s="14"/>
    </row>
    <row r="69" spans="1:3" s="18" customFormat="1" ht="15.75">
      <c r="A69" s="25"/>
      <c r="B69" s="74"/>
      <c r="C69" s="14"/>
    </row>
    <row r="70" spans="1:3" s="18" customFormat="1" ht="15">
      <c r="A70" s="73"/>
      <c r="B70" s="14"/>
      <c r="C70" s="14"/>
    </row>
    <row r="71" spans="1:3" s="18" customFormat="1" ht="15">
      <c r="A71" s="192"/>
      <c r="B71" s="186"/>
      <c r="C71" s="186"/>
    </row>
    <row r="72" spans="1:3" s="18" customFormat="1" ht="15">
      <c r="A72" s="73"/>
      <c r="B72" s="14"/>
      <c r="C72" s="14"/>
    </row>
    <row r="73" spans="1:3" s="181" customFormat="1" ht="15.75">
      <c r="A73" s="181" t="s">
        <v>207</v>
      </c>
      <c r="B73" s="183"/>
      <c r="C73" s="183"/>
    </row>
    <row r="74" spans="1:3" s="181" customFormat="1" ht="15.75">
      <c r="A74" s="181" t="s">
        <v>208</v>
      </c>
      <c r="B74" s="183"/>
      <c r="C74" s="183"/>
    </row>
    <row r="75" spans="1:3" s="181" customFormat="1" ht="15.75">
      <c r="A75" s="181" t="s">
        <v>210</v>
      </c>
      <c r="B75" s="183">
        <f>SUM(B76:B81)</f>
        <v>0</v>
      </c>
      <c r="C75" s="183"/>
    </row>
    <row r="76" spans="2:3" s="18" customFormat="1" ht="15">
      <c r="B76" s="14"/>
      <c r="C76" s="14"/>
    </row>
    <row r="77" spans="2:3" s="18" customFormat="1" ht="15">
      <c r="B77" s="14"/>
      <c r="C77" s="14"/>
    </row>
    <row r="78" spans="2:3" s="18" customFormat="1" ht="15">
      <c r="B78" s="14"/>
      <c r="C78" s="14"/>
    </row>
    <row r="79" spans="2:3" s="18" customFormat="1" ht="15">
      <c r="B79" s="14"/>
      <c r="C79" s="14"/>
    </row>
    <row r="80" spans="2:3" s="18" customFormat="1" ht="15">
      <c r="B80" s="14"/>
      <c r="C80" s="14"/>
    </row>
    <row r="81" spans="1:3" s="18" customFormat="1" ht="15">
      <c r="A81" s="73"/>
      <c r="B81" s="14"/>
      <c r="C81" s="14"/>
    </row>
    <row r="82" spans="1:3" s="181" customFormat="1" ht="15.75">
      <c r="A82" s="181" t="s">
        <v>209</v>
      </c>
      <c r="B82" s="183">
        <f>SUM(B83:B86)</f>
        <v>0</v>
      </c>
      <c r="C82" s="183"/>
    </row>
    <row r="83" spans="2:3" s="18" customFormat="1" ht="15">
      <c r="B83" s="14"/>
      <c r="C83" s="14"/>
    </row>
    <row r="84" spans="2:3" s="18" customFormat="1" ht="15">
      <c r="B84" s="14"/>
      <c r="C84" s="14"/>
    </row>
    <row r="85" spans="2:3" s="18" customFormat="1" ht="15">
      <c r="B85" s="14"/>
      <c r="C85" s="14"/>
    </row>
    <row r="86" spans="1:3" s="18" customFormat="1" ht="15">
      <c r="A86" s="73"/>
      <c r="B86" s="14"/>
      <c r="C86" s="14"/>
    </row>
    <row r="87" spans="1:3" s="181" customFormat="1" ht="15.75">
      <c r="A87" s="181" t="s">
        <v>261</v>
      </c>
      <c r="B87" s="183">
        <f>B74+B75-B82</f>
        <v>0</v>
      </c>
      <c r="C87" s="183"/>
    </row>
    <row r="88" spans="1:3" s="18" customFormat="1" ht="15">
      <c r="A88" s="73"/>
      <c r="B88" s="14"/>
      <c r="C88" s="14"/>
    </row>
    <row r="89" spans="1:3" s="18" customFormat="1" ht="15">
      <c r="A89" s="188"/>
      <c r="B89" s="189"/>
      <c r="C89" s="189"/>
    </row>
    <row r="90" spans="1:3" s="18" customFormat="1" ht="15">
      <c r="A90" s="73"/>
      <c r="B90" s="14"/>
      <c r="C90" s="14"/>
    </row>
    <row r="91" spans="1:3" s="181" customFormat="1" ht="15.75">
      <c r="A91" s="181" t="s">
        <v>204</v>
      </c>
      <c r="B91" s="183"/>
      <c r="C91" s="183"/>
    </row>
    <row r="92" spans="1:3" s="25" customFormat="1" ht="15.75">
      <c r="A92" s="78" t="s">
        <v>205</v>
      </c>
      <c r="B92" s="74">
        <f>SUM(B93:B98)</f>
        <v>0</v>
      </c>
      <c r="C92" s="74"/>
    </row>
    <row r="93" spans="1:3" s="18" customFormat="1" ht="15">
      <c r="A93" s="77"/>
      <c r="B93" s="14"/>
      <c r="C93" s="14"/>
    </row>
    <row r="94" spans="1:3" s="18" customFormat="1" ht="15">
      <c r="A94" s="77"/>
      <c r="B94" s="14"/>
      <c r="C94" s="14"/>
    </row>
    <row r="95" spans="2:3" s="18" customFormat="1" ht="15">
      <c r="B95" s="14"/>
      <c r="C95" s="14"/>
    </row>
    <row r="96" spans="2:3" s="18" customFormat="1" ht="15">
      <c r="B96" s="14"/>
      <c r="C96" s="14"/>
    </row>
    <row r="97" spans="2:3" s="18" customFormat="1" ht="15">
      <c r="B97" s="14"/>
      <c r="C97" s="14"/>
    </row>
    <row r="98" spans="2:3" s="18" customFormat="1" ht="15">
      <c r="B98" s="14"/>
      <c r="C98" s="14"/>
    </row>
    <row r="99" spans="1:3" s="18" customFormat="1" ht="15">
      <c r="A99" s="73"/>
      <c r="B99" s="14"/>
      <c r="C99" s="14"/>
    </row>
    <row r="100" spans="1:3" s="25" customFormat="1" ht="15.75">
      <c r="A100" s="78" t="s">
        <v>206</v>
      </c>
      <c r="B100" s="74">
        <f>SUM(B101:B106)</f>
        <v>0</v>
      </c>
      <c r="C100" s="74"/>
    </row>
    <row r="101" spans="1:3" s="18" customFormat="1" ht="15">
      <c r="A101" s="77"/>
      <c r="B101" s="14"/>
      <c r="C101" s="14"/>
    </row>
    <row r="102" spans="1:3" s="18" customFormat="1" ht="15">
      <c r="A102" s="73"/>
      <c r="B102" s="14"/>
      <c r="C102" s="14"/>
    </row>
    <row r="103" spans="1:3" s="18" customFormat="1" ht="15">
      <c r="A103" s="73"/>
      <c r="B103" s="14"/>
      <c r="C103" s="14"/>
    </row>
    <row r="104" spans="2:3" s="18" customFormat="1" ht="15">
      <c r="B104" s="14"/>
      <c r="C104" s="14"/>
    </row>
    <row r="105" spans="2:3" s="18" customFormat="1" ht="15">
      <c r="B105" s="14"/>
      <c r="C105" s="14"/>
    </row>
    <row r="106" spans="1:3" s="18" customFormat="1" ht="15">
      <c r="A106" s="73"/>
      <c r="B106" s="14"/>
      <c r="C106" s="14"/>
    </row>
    <row r="107" spans="1:3" s="25" customFormat="1" ht="15.75">
      <c r="A107" s="25" t="s">
        <v>211</v>
      </c>
      <c r="B107" s="74">
        <f>B92-B100</f>
        <v>0</v>
      </c>
      <c r="C107" s="74"/>
    </row>
    <row r="108" spans="2:3" s="18" customFormat="1" ht="15">
      <c r="B108" s="14"/>
      <c r="C108" s="14"/>
    </row>
    <row r="109" spans="2:3" s="18" customFormat="1" ht="15">
      <c r="B109" s="14"/>
      <c r="C109" s="14"/>
    </row>
    <row r="110" spans="2:3" s="18" customFormat="1" ht="15">
      <c r="B110" s="14"/>
      <c r="C110" s="14"/>
    </row>
    <row r="111" spans="2:3" s="18" customFormat="1" ht="15">
      <c r="B111" s="14"/>
      <c r="C111" s="14"/>
    </row>
    <row r="112" spans="2:3" s="18" customFormat="1" ht="15">
      <c r="B112" s="14"/>
      <c r="C112" s="14"/>
    </row>
    <row r="113" spans="2:3" s="18" customFormat="1" ht="15">
      <c r="B113" s="14"/>
      <c r="C113" s="14"/>
    </row>
    <row r="114" spans="2:3" s="18" customFormat="1" ht="15">
      <c r="B114" s="14"/>
      <c r="C114" s="14"/>
    </row>
    <row r="115" spans="2:3" s="18" customFormat="1" ht="15">
      <c r="B115" s="14"/>
      <c r="C115" s="14"/>
    </row>
    <row r="116" spans="2:3" s="18" customFormat="1" ht="15">
      <c r="B116" s="14"/>
      <c r="C116" s="14"/>
    </row>
    <row r="117" spans="2:3" s="18" customFormat="1" ht="15">
      <c r="B117" s="14"/>
      <c r="C117" s="14"/>
    </row>
    <row r="118" spans="2:3" s="18" customFormat="1" ht="15">
      <c r="B118" s="14"/>
      <c r="C118" s="14"/>
    </row>
    <row r="119" spans="2:3" s="18" customFormat="1" ht="15">
      <c r="B119" s="14"/>
      <c r="C119" s="14"/>
    </row>
    <row r="120" spans="2:3" s="18" customFormat="1" ht="15">
      <c r="B120" s="14"/>
      <c r="C120" s="14"/>
    </row>
    <row r="121" spans="2:3" s="18" customFormat="1" ht="15">
      <c r="B121" s="14"/>
      <c r="C121" s="14"/>
    </row>
    <row r="122" spans="2:3" s="18" customFormat="1" ht="15">
      <c r="B122" s="14"/>
      <c r="C122" s="14"/>
    </row>
    <row r="123" spans="2:3" s="18" customFormat="1" ht="15">
      <c r="B123" s="14"/>
      <c r="C123" s="14"/>
    </row>
    <row r="124" spans="2:3" s="18" customFormat="1" ht="15">
      <c r="B124" s="14"/>
      <c r="C124" s="14"/>
    </row>
    <row r="125" spans="2:3" s="18" customFormat="1" ht="15">
      <c r="B125" s="14"/>
      <c r="C125" s="14"/>
    </row>
    <row r="126" spans="2:3" s="18" customFormat="1" ht="15">
      <c r="B126" s="14"/>
      <c r="C126" s="14"/>
    </row>
    <row r="127" spans="2:3" s="18" customFormat="1" ht="15">
      <c r="B127" s="14"/>
      <c r="C127" s="14"/>
    </row>
    <row r="128" spans="2:3" s="18" customFormat="1" ht="15">
      <c r="B128" s="14"/>
      <c r="C128" s="14"/>
    </row>
    <row r="129" spans="2:3" s="18" customFormat="1" ht="15">
      <c r="B129" s="14"/>
      <c r="C129" s="14"/>
    </row>
    <row r="130" spans="2:3" s="18" customFormat="1" ht="15">
      <c r="B130" s="14"/>
      <c r="C130" s="14"/>
    </row>
    <row r="131" spans="2:3" s="18" customFormat="1" ht="15">
      <c r="B131" s="14"/>
      <c r="C131" s="14"/>
    </row>
    <row r="132" spans="2:3" s="18" customFormat="1" ht="15">
      <c r="B132" s="14"/>
      <c r="C132" s="14"/>
    </row>
    <row r="133" spans="2:3" s="18" customFormat="1" ht="15">
      <c r="B133" s="14"/>
      <c r="C133" s="14"/>
    </row>
    <row r="134" spans="2:3" s="18" customFormat="1" ht="15">
      <c r="B134" s="14"/>
      <c r="C134" s="14"/>
    </row>
    <row r="135" spans="2:3" s="18" customFormat="1" ht="15">
      <c r="B135" s="14"/>
      <c r="C135" s="14"/>
    </row>
    <row r="136" spans="2:3" s="18" customFormat="1" ht="15">
      <c r="B136" s="14"/>
      <c r="C136" s="14"/>
    </row>
    <row r="137" spans="2:3" s="18" customFormat="1" ht="15">
      <c r="B137" s="14"/>
      <c r="C137" s="14"/>
    </row>
    <row r="138" spans="2:3" s="18" customFormat="1" ht="15">
      <c r="B138" s="14"/>
      <c r="C138" s="14"/>
    </row>
    <row r="139" spans="2:3" s="18" customFormat="1" ht="15">
      <c r="B139" s="14"/>
      <c r="C139" s="14"/>
    </row>
    <row r="140" spans="2:3" s="18" customFormat="1" ht="15">
      <c r="B140" s="14"/>
      <c r="C140" s="14"/>
    </row>
    <row r="141" spans="2:3" s="18" customFormat="1" ht="15">
      <c r="B141" s="14"/>
      <c r="C141" s="14"/>
    </row>
    <row r="142" spans="2:3" s="18" customFormat="1" ht="15">
      <c r="B142" s="14"/>
      <c r="C142" s="14"/>
    </row>
    <row r="143" spans="2:3" s="18" customFormat="1" ht="15">
      <c r="B143" s="14"/>
      <c r="C143" s="14"/>
    </row>
    <row r="144" spans="2:3" s="18" customFormat="1" ht="15">
      <c r="B144" s="14"/>
      <c r="C144" s="14"/>
    </row>
    <row r="145" spans="2:3" s="18" customFormat="1" ht="15">
      <c r="B145" s="14"/>
      <c r="C145" s="14"/>
    </row>
    <row r="146" spans="2:3" s="18" customFormat="1" ht="15">
      <c r="B146" s="14"/>
      <c r="C146" s="14"/>
    </row>
    <row r="147" spans="2:3" s="18" customFormat="1" ht="15">
      <c r="B147" s="14"/>
      <c r="C147" s="14"/>
    </row>
    <row r="148" spans="2:3" s="18" customFormat="1" ht="15">
      <c r="B148" s="14"/>
      <c r="C148" s="14"/>
    </row>
    <row r="149" spans="2:3" s="18" customFormat="1" ht="15">
      <c r="B149" s="14"/>
      <c r="C149" s="14"/>
    </row>
    <row r="150" spans="2:3" s="18" customFormat="1" ht="15">
      <c r="B150" s="14"/>
      <c r="C150" s="14"/>
    </row>
    <row r="151" spans="2:3" s="18" customFormat="1" ht="15">
      <c r="B151" s="14"/>
      <c r="C151" s="14"/>
    </row>
    <row r="152" spans="2:3" s="18" customFormat="1" ht="15">
      <c r="B152" s="14"/>
      <c r="C152" s="14"/>
    </row>
    <row r="153" spans="2:3" s="18" customFormat="1" ht="15">
      <c r="B153" s="14"/>
      <c r="C153" s="14"/>
    </row>
    <row r="154" spans="2:3" s="18" customFormat="1" ht="15">
      <c r="B154" s="14"/>
      <c r="C154" s="14"/>
    </row>
    <row r="155" spans="2:3" s="18" customFormat="1" ht="15">
      <c r="B155" s="14"/>
      <c r="C155" s="14"/>
    </row>
    <row r="156" spans="2:3" s="18" customFormat="1" ht="15">
      <c r="B156" s="14"/>
      <c r="C156" s="14"/>
    </row>
    <row r="157" spans="2:3" s="18" customFormat="1" ht="15">
      <c r="B157" s="14"/>
      <c r="C157" s="14"/>
    </row>
    <row r="158" spans="2:3" s="18" customFormat="1" ht="15">
      <c r="B158" s="14"/>
      <c r="C158" s="14"/>
    </row>
    <row r="159" spans="2:3" s="18" customFormat="1" ht="15">
      <c r="B159" s="14"/>
      <c r="C159" s="14"/>
    </row>
    <row r="160" spans="2:3" s="18" customFormat="1" ht="15">
      <c r="B160" s="14"/>
      <c r="C160" s="14"/>
    </row>
    <row r="161" spans="2:3" s="18" customFormat="1" ht="15">
      <c r="B161" s="14"/>
      <c r="C161" s="14"/>
    </row>
    <row r="162" spans="2:3" s="18" customFormat="1" ht="15">
      <c r="B162" s="14"/>
      <c r="C162" s="14"/>
    </row>
    <row r="163" spans="2:3" s="18" customFormat="1" ht="15">
      <c r="B163" s="14"/>
      <c r="C163" s="14"/>
    </row>
    <row r="164" spans="2:3" s="18" customFormat="1" ht="15">
      <c r="B164" s="14"/>
      <c r="C164" s="14"/>
    </row>
    <row r="165" spans="2:3" s="18" customFormat="1" ht="15">
      <c r="B165" s="14"/>
      <c r="C165" s="14"/>
    </row>
    <row r="166" spans="2:3" s="18" customFormat="1" ht="15">
      <c r="B166" s="14"/>
      <c r="C166" s="14"/>
    </row>
    <row r="167" spans="2:3" s="18" customFormat="1" ht="15">
      <c r="B167" s="14"/>
      <c r="C167" s="14"/>
    </row>
    <row r="168" spans="2:3" s="18" customFormat="1" ht="15">
      <c r="B168" s="14"/>
      <c r="C168" s="14"/>
    </row>
    <row r="169" spans="2:3" s="18" customFormat="1" ht="15">
      <c r="B169" s="14"/>
      <c r="C169" s="14"/>
    </row>
    <row r="170" spans="2:3" s="18" customFormat="1" ht="15">
      <c r="B170" s="14"/>
      <c r="C170" s="14"/>
    </row>
    <row r="171" spans="2:3" s="18" customFormat="1" ht="15">
      <c r="B171" s="14"/>
      <c r="C171" s="14"/>
    </row>
    <row r="172" spans="2:3" s="18" customFormat="1" ht="15">
      <c r="B172" s="14"/>
      <c r="C172" s="14"/>
    </row>
    <row r="173" spans="2:3" s="18" customFormat="1" ht="15">
      <c r="B173" s="14"/>
      <c r="C173" s="14"/>
    </row>
    <row r="174" spans="2:3" s="18" customFormat="1" ht="15">
      <c r="B174" s="14"/>
      <c r="C174" s="14"/>
    </row>
    <row r="175" spans="2:3" s="18" customFormat="1" ht="15">
      <c r="B175" s="14"/>
      <c r="C175" s="14"/>
    </row>
    <row r="176" spans="2:3" s="18" customFormat="1" ht="15">
      <c r="B176" s="14"/>
      <c r="C176" s="14"/>
    </row>
    <row r="177" spans="2:3" s="18" customFormat="1" ht="15">
      <c r="B177" s="14"/>
      <c r="C177" s="14"/>
    </row>
    <row r="178" spans="2:3" s="18" customFormat="1" ht="15">
      <c r="B178" s="14"/>
      <c r="C178" s="14"/>
    </row>
    <row r="179" spans="2:3" s="18" customFormat="1" ht="15">
      <c r="B179" s="14"/>
      <c r="C179" s="14"/>
    </row>
    <row r="180" spans="2:3" s="18" customFormat="1" ht="15">
      <c r="B180" s="14"/>
      <c r="C180" s="14"/>
    </row>
    <row r="181" spans="2:3" s="18" customFormat="1" ht="15">
      <c r="B181" s="14"/>
      <c r="C181" s="14"/>
    </row>
    <row r="182" spans="2:3" s="18" customFormat="1" ht="15">
      <c r="B182" s="14"/>
      <c r="C182" s="14"/>
    </row>
    <row r="183" spans="2:3" s="18" customFormat="1" ht="15">
      <c r="B183" s="14"/>
      <c r="C183" s="14"/>
    </row>
    <row r="184" spans="2:3" s="18" customFormat="1" ht="15">
      <c r="B184" s="14"/>
      <c r="C184" s="14"/>
    </row>
    <row r="185" spans="2:3" s="18" customFormat="1" ht="15">
      <c r="B185" s="14"/>
      <c r="C185" s="14"/>
    </row>
    <row r="186" spans="2:3" s="18" customFormat="1" ht="15">
      <c r="B186" s="14"/>
      <c r="C186" s="14"/>
    </row>
    <row r="187" spans="2:3" s="18" customFormat="1" ht="15">
      <c r="B187" s="14"/>
      <c r="C187" s="14"/>
    </row>
    <row r="188" spans="2:3" s="18" customFormat="1" ht="15">
      <c r="B188" s="14"/>
      <c r="C188" s="14"/>
    </row>
    <row r="189" spans="2:3" s="18" customFormat="1" ht="15">
      <c r="B189" s="14"/>
      <c r="C189" s="14"/>
    </row>
    <row r="190" spans="2:3" s="18" customFormat="1" ht="15">
      <c r="B190" s="14"/>
      <c r="C190" s="14"/>
    </row>
    <row r="191" spans="2:3" s="18" customFormat="1" ht="15">
      <c r="B191" s="14"/>
      <c r="C191" s="14"/>
    </row>
    <row r="192" spans="2:3" s="18" customFormat="1" ht="15">
      <c r="B192" s="14"/>
      <c r="C192" s="14"/>
    </row>
    <row r="193" spans="2:3" s="18" customFormat="1" ht="15">
      <c r="B193" s="14"/>
      <c r="C193" s="14"/>
    </row>
    <row r="194" spans="2:3" s="18" customFormat="1" ht="15">
      <c r="B194" s="14"/>
      <c r="C194" s="14"/>
    </row>
    <row r="195" spans="2:3" s="18" customFormat="1" ht="15">
      <c r="B195" s="14"/>
      <c r="C195" s="14"/>
    </row>
    <row r="196" spans="2:3" s="18" customFormat="1" ht="15">
      <c r="B196" s="14"/>
      <c r="C196" s="14"/>
    </row>
    <row r="197" spans="2:3" s="18" customFormat="1" ht="15">
      <c r="B197" s="14"/>
      <c r="C197" s="14"/>
    </row>
    <row r="198" spans="2:3" s="18" customFormat="1" ht="15">
      <c r="B198" s="14"/>
      <c r="C198" s="14"/>
    </row>
    <row r="199" spans="2:3" s="18" customFormat="1" ht="15">
      <c r="B199" s="14"/>
      <c r="C199" s="14"/>
    </row>
    <row r="200" spans="2:3" s="18" customFormat="1" ht="15">
      <c r="B200" s="14"/>
      <c r="C200" s="14"/>
    </row>
    <row r="201" spans="2:3" s="18" customFormat="1" ht="15">
      <c r="B201" s="14"/>
      <c r="C201" s="14"/>
    </row>
    <row r="202" spans="2:3" s="18" customFormat="1" ht="15">
      <c r="B202" s="14"/>
      <c r="C202" s="14"/>
    </row>
    <row r="203" spans="2:3" s="18" customFormat="1" ht="15">
      <c r="B203" s="14"/>
      <c r="C203" s="14"/>
    </row>
    <row r="204" spans="2:3" s="18" customFormat="1" ht="15">
      <c r="B204" s="14"/>
      <c r="C204" s="14"/>
    </row>
    <row r="205" spans="2:3" s="18" customFormat="1" ht="15">
      <c r="B205" s="14"/>
      <c r="C205" s="14"/>
    </row>
    <row r="206" spans="2:3" s="18" customFormat="1" ht="15">
      <c r="B206" s="14"/>
      <c r="C206" s="14"/>
    </row>
    <row r="207" spans="2:3" s="18" customFormat="1" ht="15">
      <c r="B207" s="14"/>
      <c r="C207" s="14"/>
    </row>
    <row r="208" spans="2:3" s="18" customFormat="1" ht="15">
      <c r="B208" s="14"/>
      <c r="C208" s="14"/>
    </row>
    <row r="209" spans="2:3" s="18" customFormat="1" ht="15">
      <c r="B209" s="14"/>
      <c r="C209" s="14"/>
    </row>
    <row r="210" spans="2:3" s="18" customFormat="1" ht="15">
      <c r="B210" s="14"/>
      <c r="C210" s="14"/>
    </row>
    <row r="211" spans="2:3" s="18" customFormat="1" ht="15">
      <c r="B211" s="14"/>
      <c r="C211" s="14"/>
    </row>
    <row r="212" spans="2:3" s="18" customFormat="1" ht="15">
      <c r="B212" s="14"/>
      <c r="C212" s="14"/>
    </row>
    <row r="213" spans="2:3" s="18" customFormat="1" ht="15">
      <c r="B213" s="14"/>
      <c r="C213" s="14"/>
    </row>
    <row r="214" spans="2:3" s="18" customFormat="1" ht="15">
      <c r="B214" s="14"/>
      <c r="C214" s="14"/>
    </row>
    <row r="215" spans="2:3" s="18" customFormat="1" ht="15">
      <c r="B215" s="14"/>
      <c r="C215" s="14"/>
    </row>
    <row r="216" spans="2:3" s="18" customFormat="1" ht="15">
      <c r="B216" s="14"/>
      <c r="C216" s="14"/>
    </row>
    <row r="217" spans="2:3" s="18" customFormat="1" ht="15">
      <c r="B217" s="14"/>
      <c r="C217" s="14"/>
    </row>
    <row r="218" spans="2:3" s="18" customFormat="1" ht="15">
      <c r="B218" s="14"/>
      <c r="C218" s="14"/>
    </row>
    <row r="219" spans="2:3" s="18" customFormat="1" ht="15">
      <c r="B219" s="14"/>
      <c r="C219" s="14"/>
    </row>
    <row r="220" spans="2:3" s="18" customFormat="1" ht="15">
      <c r="B220" s="14"/>
      <c r="C220" s="14"/>
    </row>
    <row r="221" spans="2:3" s="18" customFormat="1" ht="15">
      <c r="B221" s="14"/>
      <c r="C221" s="14"/>
    </row>
    <row r="222" spans="2:3" s="18" customFormat="1" ht="15">
      <c r="B222" s="14"/>
      <c r="C222" s="14"/>
    </row>
    <row r="223" spans="2:3" s="18" customFormat="1" ht="15">
      <c r="B223" s="14"/>
      <c r="C223" s="14"/>
    </row>
    <row r="224" spans="2:3" s="18" customFormat="1" ht="15">
      <c r="B224" s="14"/>
      <c r="C224" s="14"/>
    </row>
    <row r="225" spans="2:3" s="18" customFormat="1" ht="15">
      <c r="B225" s="14"/>
      <c r="C225" s="14"/>
    </row>
    <row r="226" spans="2:3" s="18" customFormat="1" ht="15">
      <c r="B226" s="14"/>
      <c r="C226" s="14"/>
    </row>
    <row r="227" spans="2:3" s="18" customFormat="1" ht="15">
      <c r="B227" s="14"/>
      <c r="C227" s="14"/>
    </row>
    <row r="228" spans="2:3" s="18" customFormat="1" ht="15">
      <c r="B228" s="14"/>
      <c r="C228" s="14"/>
    </row>
    <row r="229" spans="2:3" s="18" customFormat="1" ht="15">
      <c r="B229" s="14"/>
      <c r="C229" s="14"/>
    </row>
    <row r="230" spans="2:3" s="18" customFormat="1" ht="15">
      <c r="B230" s="14"/>
      <c r="C230" s="14"/>
    </row>
    <row r="231" spans="2:3" s="18" customFormat="1" ht="15">
      <c r="B231" s="14"/>
      <c r="C231" s="14"/>
    </row>
    <row r="232" spans="2:3" s="18" customFormat="1" ht="15">
      <c r="B232" s="14"/>
      <c r="C232" s="14"/>
    </row>
    <row r="233" spans="2:3" s="18" customFormat="1" ht="15">
      <c r="B233" s="14"/>
      <c r="C233" s="14"/>
    </row>
    <row r="234" spans="2:3" s="18" customFormat="1" ht="15">
      <c r="B234" s="14"/>
      <c r="C234" s="14"/>
    </row>
    <row r="235" spans="2:3" s="18" customFormat="1" ht="15">
      <c r="B235" s="14"/>
      <c r="C235" s="14"/>
    </row>
    <row r="236" spans="2:3" s="18" customFormat="1" ht="15">
      <c r="B236" s="14"/>
      <c r="C236" s="14"/>
    </row>
    <row r="237" spans="2:3" s="18" customFormat="1" ht="15">
      <c r="B237" s="14"/>
      <c r="C237" s="14"/>
    </row>
    <row r="238" spans="2:3" s="18" customFormat="1" ht="15">
      <c r="B238" s="14"/>
      <c r="C238" s="14"/>
    </row>
    <row r="239" spans="2:3" s="18" customFormat="1" ht="15">
      <c r="B239" s="14"/>
      <c r="C239" s="14"/>
    </row>
    <row r="240" spans="2:3" s="18" customFormat="1" ht="15">
      <c r="B240" s="14"/>
      <c r="C240" s="14"/>
    </row>
    <row r="241" spans="2:3" s="18" customFormat="1" ht="15">
      <c r="B241" s="14"/>
      <c r="C241" s="14"/>
    </row>
    <row r="242" spans="2:3" s="18" customFormat="1" ht="15">
      <c r="B242" s="14"/>
      <c r="C242" s="14"/>
    </row>
    <row r="243" spans="2:3" s="18" customFormat="1" ht="15">
      <c r="B243" s="14"/>
      <c r="C243" s="14"/>
    </row>
    <row r="244" spans="2:3" s="18" customFormat="1" ht="15">
      <c r="B244" s="14"/>
      <c r="C244" s="14"/>
    </row>
    <row r="245" spans="2:3" s="18" customFormat="1" ht="15">
      <c r="B245" s="14"/>
      <c r="C245" s="14"/>
    </row>
    <row r="246" spans="2:3" s="18" customFormat="1" ht="15">
      <c r="B246" s="14"/>
      <c r="C246" s="14"/>
    </row>
    <row r="247" spans="2:3" s="18" customFormat="1" ht="15">
      <c r="B247" s="14"/>
      <c r="C247" s="14"/>
    </row>
    <row r="248" spans="2:3" s="18" customFormat="1" ht="15">
      <c r="B248" s="14"/>
      <c r="C248" s="14"/>
    </row>
    <row r="249" spans="2:3" s="18" customFormat="1" ht="15">
      <c r="B249" s="14"/>
      <c r="C249" s="14"/>
    </row>
    <row r="250" spans="2:3" s="18" customFormat="1" ht="15">
      <c r="B250" s="14"/>
      <c r="C250" s="14"/>
    </row>
    <row r="251" spans="2:3" s="18" customFormat="1" ht="15">
      <c r="B251" s="14"/>
      <c r="C251" s="14"/>
    </row>
    <row r="252" spans="2:3" s="18" customFormat="1" ht="15">
      <c r="B252" s="14"/>
      <c r="C252" s="14"/>
    </row>
    <row r="253" spans="2:3" s="18" customFormat="1" ht="15">
      <c r="B253" s="14"/>
      <c r="C253" s="14"/>
    </row>
    <row r="254" spans="2:3" s="18" customFormat="1" ht="15">
      <c r="B254" s="14"/>
      <c r="C254" s="14"/>
    </row>
    <row r="255" spans="2:3" s="18" customFormat="1" ht="15">
      <c r="B255" s="14"/>
      <c r="C255" s="14"/>
    </row>
    <row r="256" spans="2:3" s="18" customFormat="1" ht="15">
      <c r="B256" s="14"/>
      <c r="C256" s="14"/>
    </row>
    <row r="257" spans="2:3" s="18" customFormat="1" ht="15">
      <c r="B257" s="14"/>
      <c r="C257" s="14"/>
    </row>
    <row r="258" spans="2:3" s="18" customFormat="1" ht="15">
      <c r="B258" s="14"/>
      <c r="C258" s="14"/>
    </row>
    <row r="259" spans="2:3" s="18" customFormat="1" ht="15">
      <c r="B259" s="14"/>
      <c r="C259" s="14"/>
    </row>
    <row r="260" spans="2:3" s="18" customFormat="1" ht="15">
      <c r="B260" s="14"/>
      <c r="C260" s="14"/>
    </row>
    <row r="261" spans="2:3" s="18" customFormat="1" ht="15">
      <c r="B261" s="14"/>
      <c r="C261" s="14"/>
    </row>
    <row r="262" spans="2:3" s="18" customFormat="1" ht="15">
      <c r="B262" s="14"/>
      <c r="C262" s="14"/>
    </row>
    <row r="263" spans="2:3" s="18" customFormat="1" ht="15">
      <c r="B263" s="14"/>
      <c r="C263" s="14"/>
    </row>
    <row r="264" spans="2:3" s="18" customFormat="1" ht="15">
      <c r="B264" s="14"/>
      <c r="C264" s="14"/>
    </row>
    <row r="265" spans="2:3" s="18" customFormat="1" ht="15">
      <c r="B265" s="14"/>
      <c r="C265" s="14"/>
    </row>
    <row r="266" spans="2:3" s="18" customFormat="1" ht="15">
      <c r="B266" s="14"/>
      <c r="C266" s="14"/>
    </row>
    <row r="267" spans="2:3" s="18" customFormat="1" ht="15">
      <c r="B267" s="14"/>
      <c r="C267" s="14"/>
    </row>
    <row r="268" spans="2:3" s="18" customFormat="1" ht="15">
      <c r="B268" s="14"/>
      <c r="C268" s="14"/>
    </row>
    <row r="269" spans="2:3" s="18" customFormat="1" ht="15">
      <c r="B269" s="14"/>
      <c r="C269" s="14"/>
    </row>
    <row r="270" spans="2:3" s="18" customFormat="1" ht="15">
      <c r="B270" s="14"/>
      <c r="C270" s="14"/>
    </row>
    <row r="271" spans="2:3" s="18" customFormat="1" ht="15">
      <c r="B271" s="14"/>
      <c r="C271" s="14"/>
    </row>
    <row r="272" spans="2:3" s="18" customFormat="1" ht="15">
      <c r="B272" s="14"/>
      <c r="C272" s="14"/>
    </row>
    <row r="273" spans="2:3" s="18" customFormat="1" ht="15">
      <c r="B273" s="14"/>
      <c r="C273" s="14"/>
    </row>
    <row r="274" spans="2:3" s="18" customFormat="1" ht="15">
      <c r="B274" s="14"/>
      <c r="C274" s="14"/>
    </row>
    <row r="275" spans="2:3" s="18" customFormat="1" ht="15">
      <c r="B275" s="14"/>
      <c r="C275" s="14"/>
    </row>
    <row r="276" spans="2:3" s="18" customFormat="1" ht="15">
      <c r="B276" s="14"/>
      <c r="C276" s="14"/>
    </row>
    <row r="277" spans="2:3" s="18" customFormat="1" ht="15">
      <c r="B277" s="14"/>
      <c r="C277" s="14"/>
    </row>
    <row r="278" spans="2:3" s="18" customFormat="1" ht="15">
      <c r="B278" s="14"/>
      <c r="C278" s="14"/>
    </row>
    <row r="279" spans="2:3" s="18" customFormat="1" ht="15">
      <c r="B279" s="14"/>
      <c r="C279" s="14"/>
    </row>
    <row r="280" spans="2:3" s="18" customFormat="1" ht="15">
      <c r="B280" s="14"/>
      <c r="C280" s="14"/>
    </row>
    <row r="281" spans="2:3" s="18" customFormat="1" ht="15">
      <c r="B281" s="14"/>
      <c r="C281" s="14"/>
    </row>
    <row r="282" spans="2:3" s="18" customFormat="1" ht="15">
      <c r="B282" s="14"/>
      <c r="C282" s="14"/>
    </row>
    <row r="283" spans="2:3" s="18" customFormat="1" ht="15">
      <c r="B283" s="14"/>
      <c r="C283" s="14"/>
    </row>
    <row r="284" spans="2:3" s="18" customFormat="1" ht="15">
      <c r="B284" s="14"/>
      <c r="C284" s="14"/>
    </row>
    <row r="285" spans="2:3" s="18" customFormat="1" ht="15">
      <c r="B285" s="14"/>
      <c r="C285" s="14"/>
    </row>
    <row r="286" spans="2:3" s="18" customFormat="1" ht="15">
      <c r="B286" s="14"/>
      <c r="C286" s="14"/>
    </row>
    <row r="287" spans="2:3" s="18" customFormat="1" ht="15">
      <c r="B287" s="14"/>
      <c r="C287" s="14"/>
    </row>
    <row r="288" spans="2:3" s="18" customFormat="1" ht="15">
      <c r="B288" s="14"/>
      <c r="C288" s="14"/>
    </row>
    <row r="289" spans="2:3" s="18" customFormat="1" ht="15">
      <c r="B289" s="14"/>
      <c r="C289" s="14"/>
    </row>
    <row r="290" spans="2:3" s="18" customFormat="1" ht="15">
      <c r="B290" s="14"/>
      <c r="C290" s="14"/>
    </row>
    <row r="291" spans="2:3" s="18" customFormat="1" ht="15">
      <c r="B291" s="14"/>
      <c r="C291" s="14"/>
    </row>
    <row r="292" spans="2:3" s="18" customFormat="1" ht="15">
      <c r="B292" s="14"/>
      <c r="C292" s="14"/>
    </row>
    <row r="293" spans="2:3" s="18" customFormat="1" ht="15">
      <c r="B293" s="14"/>
      <c r="C293" s="14"/>
    </row>
    <row r="294" spans="2:3" s="18" customFormat="1" ht="15">
      <c r="B294" s="14"/>
      <c r="C294" s="14"/>
    </row>
    <row r="295" spans="2:3" s="18" customFormat="1" ht="15">
      <c r="B295" s="14"/>
      <c r="C295" s="14"/>
    </row>
    <row r="296" spans="2:3" s="18" customFormat="1" ht="15">
      <c r="B296" s="14"/>
      <c r="C296" s="14"/>
    </row>
    <row r="297" spans="2:3" s="18" customFormat="1" ht="15">
      <c r="B297" s="14"/>
      <c r="C297" s="14"/>
    </row>
    <row r="298" spans="2:3" s="18" customFormat="1" ht="15">
      <c r="B298" s="14"/>
      <c r="C298" s="14"/>
    </row>
    <row r="299" spans="2:3" s="18" customFormat="1" ht="15">
      <c r="B299" s="14"/>
      <c r="C299" s="14"/>
    </row>
    <row r="300" spans="2:3" s="18" customFormat="1" ht="15">
      <c r="B300" s="14"/>
      <c r="C300" s="14"/>
    </row>
    <row r="301" spans="2:3" s="18" customFormat="1" ht="15">
      <c r="B301" s="14"/>
      <c r="C301" s="14"/>
    </row>
    <row r="302" spans="2:3" s="18" customFormat="1" ht="15">
      <c r="B302" s="14"/>
      <c r="C302" s="14"/>
    </row>
    <row r="303" spans="2:3" s="18" customFormat="1" ht="15">
      <c r="B303" s="14"/>
      <c r="C303" s="14"/>
    </row>
    <row r="304" spans="2:3" s="18" customFormat="1" ht="15">
      <c r="B304" s="14"/>
      <c r="C304" s="14"/>
    </row>
    <row r="305" spans="2:3" s="18" customFormat="1" ht="15">
      <c r="B305" s="14"/>
      <c r="C305" s="14"/>
    </row>
    <row r="306" spans="2:3" s="18" customFormat="1" ht="15">
      <c r="B306" s="14"/>
      <c r="C306" s="14"/>
    </row>
    <row r="307" spans="2:3" s="18" customFormat="1" ht="15">
      <c r="B307" s="14"/>
      <c r="C307" s="14"/>
    </row>
    <row r="308" spans="2:3" s="18" customFormat="1" ht="15">
      <c r="B308" s="14"/>
      <c r="C308" s="14"/>
    </row>
    <row r="309" spans="2:3" s="18" customFormat="1" ht="15">
      <c r="B309" s="14"/>
      <c r="C309" s="14"/>
    </row>
    <row r="310" spans="2:3" s="18" customFormat="1" ht="15">
      <c r="B310" s="14"/>
      <c r="C310" s="14"/>
    </row>
    <row r="311" spans="2:3" s="18" customFormat="1" ht="15">
      <c r="B311" s="14"/>
      <c r="C311" s="14"/>
    </row>
    <row r="312" spans="2:3" s="18" customFormat="1" ht="15">
      <c r="B312" s="14"/>
      <c r="C312" s="14"/>
    </row>
    <row r="313" spans="2:3" s="18" customFormat="1" ht="15">
      <c r="B313" s="14"/>
      <c r="C313" s="14"/>
    </row>
    <row r="314" spans="2:3" s="18" customFormat="1" ht="15">
      <c r="B314" s="14"/>
      <c r="C314" s="14"/>
    </row>
    <row r="315" spans="2:3" s="18" customFormat="1" ht="15">
      <c r="B315" s="14"/>
      <c r="C315" s="14"/>
    </row>
    <row r="316" spans="2:3" s="18" customFormat="1" ht="15">
      <c r="B316" s="14"/>
      <c r="C316" s="14"/>
    </row>
    <row r="317" spans="2:3" s="18" customFormat="1" ht="15">
      <c r="B317" s="14"/>
      <c r="C317" s="14"/>
    </row>
    <row r="318" spans="2:3" s="18" customFormat="1" ht="15">
      <c r="B318" s="14"/>
      <c r="C318" s="14"/>
    </row>
    <row r="319" spans="2:3" s="18" customFormat="1" ht="15">
      <c r="B319" s="14"/>
      <c r="C319" s="14"/>
    </row>
    <row r="320" spans="2:3" s="18" customFormat="1" ht="15">
      <c r="B320" s="14"/>
      <c r="C320" s="14"/>
    </row>
    <row r="321" spans="2:3" s="18" customFormat="1" ht="15">
      <c r="B321" s="14"/>
      <c r="C321" s="14"/>
    </row>
    <row r="322" spans="2:3" s="18" customFormat="1" ht="15">
      <c r="B322" s="14"/>
      <c r="C322" s="14"/>
    </row>
    <row r="323" spans="2:3" s="18" customFormat="1" ht="15">
      <c r="B323" s="14"/>
      <c r="C323" s="14"/>
    </row>
    <row r="324" spans="2:3" s="18" customFormat="1" ht="15">
      <c r="B324" s="14"/>
      <c r="C324" s="14"/>
    </row>
    <row r="325" spans="2:3" s="18" customFormat="1" ht="15">
      <c r="B325" s="14"/>
      <c r="C325" s="14"/>
    </row>
    <row r="326" spans="2:3" s="18" customFormat="1" ht="15">
      <c r="B326" s="14"/>
      <c r="C326" s="14"/>
    </row>
    <row r="327" spans="2:3" s="18" customFormat="1" ht="15">
      <c r="B327" s="14"/>
      <c r="C327" s="14"/>
    </row>
    <row r="328" spans="2:3" s="18" customFormat="1" ht="15">
      <c r="B328" s="14"/>
      <c r="C328" s="14"/>
    </row>
    <row r="329" spans="2:3" s="18" customFormat="1" ht="15">
      <c r="B329" s="14"/>
      <c r="C329" s="14"/>
    </row>
    <row r="330" spans="2:3" s="18" customFormat="1" ht="15">
      <c r="B330" s="14"/>
      <c r="C330" s="14"/>
    </row>
    <row r="331" spans="2:3" s="18" customFormat="1" ht="15">
      <c r="B331" s="14"/>
      <c r="C331" s="14"/>
    </row>
    <row r="332" spans="2:3" s="18" customFormat="1" ht="15">
      <c r="B332" s="14"/>
      <c r="C332" s="14"/>
    </row>
    <row r="333" spans="2:3" s="18" customFormat="1" ht="15">
      <c r="B333" s="14"/>
      <c r="C333" s="14"/>
    </row>
    <row r="334" spans="2:3" s="18" customFormat="1" ht="15">
      <c r="B334" s="14"/>
      <c r="C334" s="14"/>
    </row>
    <row r="335" spans="2:3" s="18" customFormat="1" ht="15">
      <c r="B335" s="14"/>
      <c r="C335" s="14"/>
    </row>
    <row r="336" spans="2:3" s="18" customFormat="1" ht="15">
      <c r="B336" s="14"/>
      <c r="C336" s="14"/>
    </row>
    <row r="337" spans="2:3" s="18" customFormat="1" ht="15">
      <c r="B337" s="14"/>
      <c r="C337" s="14"/>
    </row>
    <row r="338" spans="2:3" s="18" customFormat="1" ht="15">
      <c r="B338" s="14"/>
      <c r="C338" s="14"/>
    </row>
    <row r="339" spans="2:3" s="18" customFormat="1" ht="15">
      <c r="B339" s="14"/>
      <c r="C339" s="14"/>
    </row>
    <row r="340" spans="2:3" s="18" customFormat="1" ht="15">
      <c r="B340" s="14"/>
      <c r="C340" s="14"/>
    </row>
    <row r="341" spans="2:3" s="18" customFormat="1" ht="15">
      <c r="B341" s="14"/>
      <c r="C341" s="14"/>
    </row>
    <row r="342" spans="2:3" s="18" customFormat="1" ht="15">
      <c r="B342" s="14"/>
      <c r="C342" s="14"/>
    </row>
    <row r="343" spans="2:3" s="18" customFormat="1" ht="15">
      <c r="B343" s="14"/>
      <c r="C343" s="14"/>
    </row>
    <row r="344" spans="2:3" s="18" customFormat="1" ht="15">
      <c r="B344" s="14"/>
      <c r="C344" s="14"/>
    </row>
    <row r="345" spans="2:3" s="18" customFormat="1" ht="15">
      <c r="B345" s="14"/>
      <c r="C345" s="14"/>
    </row>
    <row r="346" spans="2:3" s="18" customFormat="1" ht="15">
      <c r="B346" s="14"/>
      <c r="C346" s="14"/>
    </row>
    <row r="347" spans="2:3" s="18" customFormat="1" ht="15">
      <c r="B347" s="14"/>
      <c r="C347" s="14"/>
    </row>
    <row r="348" spans="2:3" s="18" customFormat="1" ht="15">
      <c r="B348" s="14"/>
      <c r="C348" s="14"/>
    </row>
    <row r="349" spans="2:3" s="18" customFormat="1" ht="15">
      <c r="B349" s="14"/>
      <c r="C349" s="14"/>
    </row>
    <row r="350" spans="2:3" s="18" customFormat="1" ht="15">
      <c r="B350" s="14"/>
      <c r="C350" s="14"/>
    </row>
    <row r="351" spans="2:3" s="18" customFormat="1" ht="15">
      <c r="B351" s="14"/>
      <c r="C351" s="14"/>
    </row>
    <row r="352" spans="2:3" s="18" customFormat="1" ht="15">
      <c r="B352" s="14"/>
      <c r="C352" s="14"/>
    </row>
    <row r="353" spans="2:3" s="18" customFormat="1" ht="15">
      <c r="B353" s="14"/>
      <c r="C353" s="14"/>
    </row>
    <row r="354" spans="2:3" s="18" customFormat="1" ht="15">
      <c r="B354" s="14"/>
      <c r="C354" s="14"/>
    </row>
    <row r="355" spans="2:3" s="18" customFormat="1" ht="15">
      <c r="B355" s="14"/>
      <c r="C355" s="14"/>
    </row>
    <row r="356" spans="2:3" s="18" customFormat="1" ht="15">
      <c r="B356" s="14"/>
      <c r="C356" s="14"/>
    </row>
    <row r="357" spans="2:3" s="18" customFormat="1" ht="15">
      <c r="B357" s="14"/>
      <c r="C357" s="14"/>
    </row>
    <row r="358" spans="2:3" s="18" customFormat="1" ht="15">
      <c r="B358" s="14"/>
      <c r="C358" s="14"/>
    </row>
    <row r="359" spans="2:3" s="18" customFormat="1" ht="15">
      <c r="B359" s="14"/>
      <c r="C359" s="14"/>
    </row>
    <row r="360" spans="2:3" s="18" customFormat="1" ht="15">
      <c r="B360" s="14"/>
      <c r="C360" s="14"/>
    </row>
    <row r="361" spans="2:3" s="18" customFormat="1" ht="15">
      <c r="B361" s="14"/>
      <c r="C361" s="14"/>
    </row>
    <row r="362" spans="2:3" s="18" customFormat="1" ht="15">
      <c r="B362" s="14"/>
      <c r="C362" s="14"/>
    </row>
    <row r="363" spans="2:3" s="18" customFormat="1" ht="15">
      <c r="B363" s="14"/>
      <c r="C363" s="14"/>
    </row>
    <row r="364" spans="2:3" s="18" customFormat="1" ht="15">
      <c r="B364" s="14"/>
      <c r="C364" s="14"/>
    </row>
    <row r="365" spans="2:3" s="18" customFormat="1" ht="15">
      <c r="B365" s="14"/>
      <c r="C365" s="14"/>
    </row>
    <row r="366" spans="2:3" s="18" customFormat="1" ht="15">
      <c r="B366" s="14"/>
      <c r="C366" s="14"/>
    </row>
    <row r="367" spans="2:3" s="18" customFormat="1" ht="15">
      <c r="B367" s="14"/>
      <c r="C367" s="14"/>
    </row>
    <row r="368" spans="2:3" s="18" customFormat="1" ht="15">
      <c r="B368" s="14"/>
      <c r="C368" s="14"/>
    </row>
    <row r="369" spans="2:3" s="18" customFormat="1" ht="15">
      <c r="B369" s="14"/>
      <c r="C369" s="14"/>
    </row>
    <row r="370" spans="2:3" s="18" customFormat="1" ht="15">
      <c r="B370" s="14"/>
      <c r="C370" s="14"/>
    </row>
    <row r="371" spans="2:3" s="18" customFormat="1" ht="15">
      <c r="B371" s="14"/>
      <c r="C371" s="14"/>
    </row>
    <row r="372" spans="2:3" s="18" customFormat="1" ht="15">
      <c r="B372" s="14"/>
      <c r="C372" s="14"/>
    </row>
    <row r="373" spans="2:3" s="18" customFormat="1" ht="15">
      <c r="B373" s="14"/>
      <c r="C373" s="14"/>
    </row>
    <row r="374" spans="2:3" s="18" customFormat="1" ht="15">
      <c r="B374" s="14"/>
      <c r="C374" s="14"/>
    </row>
    <row r="375" spans="2:3" s="18" customFormat="1" ht="15">
      <c r="B375" s="14"/>
      <c r="C375" s="14"/>
    </row>
    <row r="376" spans="2:3" s="18" customFormat="1" ht="15">
      <c r="B376" s="14"/>
      <c r="C376" s="14"/>
    </row>
    <row r="377" spans="2:3" s="18" customFormat="1" ht="15">
      <c r="B377" s="14"/>
      <c r="C377" s="14"/>
    </row>
    <row r="378" spans="2:3" s="18" customFormat="1" ht="15">
      <c r="B378" s="14"/>
      <c r="C378" s="14"/>
    </row>
    <row r="379" spans="2:3" s="18" customFormat="1" ht="15">
      <c r="B379" s="14"/>
      <c r="C379" s="14"/>
    </row>
    <row r="380" spans="2:3" s="18" customFormat="1" ht="15">
      <c r="B380" s="14"/>
      <c r="C380" s="14"/>
    </row>
    <row r="381" spans="2:3" s="18" customFormat="1" ht="15">
      <c r="B381" s="14"/>
      <c r="C381" s="14"/>
    </row>
    <row r="382" spans="2:3" s="18" customFormat="1" ht="15">
      <c r="B382" s="14"/>
      <c r="C382" s="14"/>
    </row>
    <row r="383" spans="2:3" s="18" customFormat="1" ht="15">
      <c r="B383" s="14"/>
      <c r="C383" s="14"/>
    </row>
    <row r="384" spans="2:3" s="18" customFormat="1" ht="15">
      <c r="B384" s="14"/>
      <c r="C384" s="14"/>
    </row>
    <row r="385" spans="2:3" s="18" customFormat="1" ht="15">
      <c r="B385" s="14"/>
      <c r="C385" s="14"/>
    </row>
    <row r="386" spans="2:3" s="18" customFormat="1" ht="15">
      <c r="B386" s="14"/>
      <c r="C386" s="14"/>
    </row>
    <row r="387" spans="2:3" s="18" customFormat="1" ht="15">
      <c r="B387" s="14"/>
      <c r="C387" s="14"/>
    </row>
    <row r="388" spans="2:3" s="18" customFormat="1" ht="15">
      <c r="B388" s="14"/>
      <c r="C388" s="14"/>
    </row>
    <row r="389" spans="2:3" s="18" customFormat="1" ht="15">
      <c r="B389" s="14"/>
      <c r="C389" s="14"/>
    </row>
    <row r="390" spans="2:3" s="18" customFormat="1" ht="15">
      <c r="B390" s="14"/>
      <c r="C390" s="14"/>
    </row>
    <row r="391" spans="2:3" s="18" customFormat="1" ht="15">
      <c r="B391" s="14"/>
      <c r="C391" s="14"/>
    </row>
    <row r="392" spans="2:3" s="18" customFormat="1" ht="15">
      <c r="B392" s="14"/>
      <c r="C392" s="14"/>
    </row>
    <row r="393" spans="2:3" s="18" customFormat="1" ht="15">
      <c r="B393" s="14"/>
      <c r="C393" s="14"/>
    </row>
    <row r="394" spans="2:3" s="18" customFormat="1" ht="15">
      <c r="B394" s="14"/>
      <c r="C394" s="14"/>
    </row>
    <row r="395" spans="2:3" s="18" customFormat="1" ht="15">
      <c r="B395" s="14"/>
      <c r="C395" s="14"/>
    </row>
    <row r="396" spans="2:3" s="18" customFormat="1" ht="15">
      <c r="B396" s="14"/>
      <c r="C396" s="14"/>
    </row>
    <row r="397" spans="2:3" s="18" customFormat="1" ht="15">
      <c r="B397" s="14"/>
      <c r="C397" s="14"/>
    </row>
    <row r="398" spans="2:3" s="18" customFormat="1" ht="15">
      <c r="B398" s="14"/>
      <c r="C398" s="14"/>
    </row>
    <row r="399" spans="2:3" s="18" customFormat="1" ht="15">
      <c r="B399" s="14"/>
      <c r="C399" s="14"/>
    </row>
    <row r="400" spans="2:3" s="18" customFormat="1" ht="15">
      <c r="B400" s="14"/>
      <c r="C400" s="14"/>
    </row>
    <row r="401" spans="2:3" s="18" customFormat="1" ht="15">
      <c r="B401" s="14"/>
      <c r="C401" s="14"/>
    </row>
    <row r="402" spans="2:3" s="18" customFormat="1" ht="15">
      <c r="B402" s="14"/>
      <c r="C402" s="14"/>
    </row>
    <row r="403" spans="2:3" s="18" customFormat="1" ht="15">
      <c r="B403" s="14"/>
      <c r="C403" s="14"/>
    </row>
    <row r="404" spans="2:3" s="18" customFormat="1" ht="15">
      <c r="B404" s="14"/>
      <c r="C404" s="14"/>
    </row>
    <row r="405" spans="2:3" s="18" customFormat="1" ht="15">
      <c r="B405" s="14"/>
      <c r="C405" s="14"/>
    </row>
    <row r="406" spans="2:3" s="18" customFormat="1" ht="15">
      <c r="B406" s="14"/>
      <c r="C406" s="14"/>
    </row>
    <row r="407" spans="2:3" s="18" customFormat="1" ht="15">
      <c r="B407" s="14"/>
      <c r="C407" s="14"/>
    </row>
    <row r="408" spans="2:3" s="18" customFormat="1" ht="15">
      <c r="B408" s="14"/>
      <c r="C408" s="14"/>
    </row>
    <row r="409" spans="2:3" s="18" customFormat="1" ht="15">
      <c r="B409" s="14"/>
      <c r="C409" s="14"/>
    </row>
    <row r="410" spans="2:3" s="18" customFormat="1" ht="15">
      <c r="B410" s="14"/>
      <c r="C410" s="14"/>
    </row>
    <row r="411" spans="2:3" s="18" customFormat="1" ht="15">
      <c r="B411" s="14"/>
      <c r="C411" s="14"/>
    </row>
    <row r="412" spans="2:3" s="18" customFormat="1" ht="15">
      <c r="B412" s="14"/>
      <c r="C412" s="14"/>
    </row>
    <row r="413" spans="2:3" s="18" customFormat="1" ht="15">
      <c r="B413" s="14"/>
      <c r="C413" s="14"/>
    </row>
    <row r="414" spans="2:3" s="18" customFormat="1" ht="15">
      <c r="B414" s="14"/>
      <c r="C414" s="14"/>
    </row>
    <row r="415" spans="2:3" s="18" customFormat="1" ht="15">
      <c r="B415" s="14"/>
      <c r="C415" s="14"/>
    </row>
    <row r="416" spans="2:3" s="18" customFormat="1" ht="15">
      <c r="B416" s="14"/>
      <c r="C416" s="14"/>
    </row>
    <row r="417" spans="2:3" s="18" customFormat="1" ht="15">
      <c r="B417" s="14"/>
      <c r="C417" s="14"/>
    </row>
    <row r="418" spans="2:3" s="18" customFormat="1" ht="15">
      <c r="B418" s="14"/>
      <c r="C418" s="14"/>
    </row>
    <row r="419" spans="2:3" s="18" customFormat="1" ht="15">
      <c r="B419" s="14"/>
      <c r="C419" s="14"/>
    </row>
    <row r="420" spans="2:3" s="18" customFormat="1" ht="15">
      <c r="B420" s="14"/>
      <c r="C420" s="14"/>
    </row>
    <row r="421" spans="2:3" s="18" customFormat="1" ht="15">
      <c r="B421" s="14"/>
      <c r="C421" s="14"/>
    </row>
    <row r="422" spans="2:3" s="18" customFormat="1" ht="15">
      <c r="B422" s="14"/>
      <c r="C422" s="14"/>
    </row>
    <row r="423" spans="2:3" s="18" customFormat="1" ht="15">
      <c r="B423" s="14"/>
      <c r="C423" s="14"/>
    </row>
    <row r="424" spans="2:3" s="18" customFormat="1" ht="15">
      <c r="B424" s="14"/>
      <c r="C424" s="14"/>
    </row>
    <row r="425" spans="2:3" s="18" customFormat="1" ht="15">
      <c r="B425" s="14"/>
      <c r="C425" s="14"/>
    </row>
    <row r="426" spans="2:3" s="18" customFormat="1" ht="15">
      <c r="B426" s="14"/>
      <c r="C426" s="14"/>
    </row>
    <row r="427" spans="2:3" s="18" customFormat="1" ht="15">
      <c r="B427" s="14"/>
      <c r="C427" s="14"/>
    </row>
    <row r="428" spans="2:3" s="18" customFormat="1" ht="15">
      <c r="B428" s="14"/>
      <c r="C428" s="14"/>
    </row>
    <row r="429" spans="2:3" s="18" customFormat="1" ht="15">
      <c r="B429" s="14"/>
      <c r="C429" s="14"/>
    </row>
    <row r="430" spans="2:3" s="18" customFormat="1" ht="15">
      <c r="B430" s="14"/>
      <c r="C430" s="14"/>
    </row>
    <row r="431" spans="2:3" s="18" customFormat="1" ht="15">
      <c r="B431" s="14"/>
      <c r="C431" s="14"/>
    </row>
    <row r="432" spans="2:3" s="18" customFormat="1" ht="15">
      <c r="B432" s="14"/>
      <c r="C432" s="14"/>
    </row>
    <row r="433" spans="2:3" s="18" customFormat="1" ht="15">
      <c r="B433" s="14"/>
      <c r="C433" s="14"/>
    </row>
    <row r="434" spans="2:3" s="18" customFormat="1" ht="15">
      <c r="B434" s="14"/>
      <c r="C434" s="14"/>
    </row>
    <row r="435" spans="2:3" s="18" customFormat="1" ht="15">
      <c r="B435" s="14"/>
      <c r="C435" s="14"/>
    </row>
    <row r="436" spans="2:3" s="18" customFormat="1" ht="15">
      <c r="B436" s="14"/>
      <c r="C436" s="14"/>
    </row>
    <row r="437" spans="2:3" s="18" customFormat="1" ht="15">
      <c r="B437" s="14"/>
      <c r="C437" s="14"/>
    </row>
    <row r="438" spans="2:3" s="18" customFormat="1" ht="15">
      <c r="B438" s="14"/>
      <c r="C438" s="14"/>
    </row>
    <row r="439" spans="2:3" s="18" customFormat="1" ht="15">
      <c r="B439" s="14"/>
      <c r="C439" s="14"/>
    </row>
    <row r="440" spans="2:3" s="18" customFormat="1" ht="15">
      <c r="B440" s="14"/>
      <c r="C440" s="14"/>
    </row>
    <row r="441" spans="2:3" s="18" customFormat="1" ht="15">
      <c r="B441" s="14"/>
      <c r="C441" s="14"/>
    </row>
    <row r="442" spans="2:3" s="18" customFormat="1" ht="15">
      <c r="B442" s="14"/>
      <c r="C442" s="14"/>
    </row>
    <row r="443" spans="2:3" s="18" customFormat="1" ht="15">
      <c r="B443" s="14"/>
      <c r="C443" s="14"/>
    </row>
    <row r="444" spans="2:3" s="18" customFormat="1" ht="15">
      <c r="B444" s="14"/>
      <c r="C444" s="14"/>
    </row>
    <row r="445" spans="2:3" s="18" customFormat="1" ht="15">
      <c r="B445" s="14"/>
      <c r="C445" s="14"/>
    </row>
    <row r="446" spans="2:3" s="18" customFormat="1" ht="15">
      <c r="B446" s="14"/>
      <c r="C446" s="14"/>
    </row>
    <row r="447" spans="2:3" s="18" customFormat="1" ht="15">
      <c r="B447" s="14"/>
      <c r="C447" s="14"/>
    </row>
    <row r="448" spans="2:3" s="18" customFormat="1" ht="15">
      <c r="B448" s="14"/>
      <c r="C448" s="14"/>
    </row>
    <row r="449" spans="2:3" s="18" customFormat="1" ht="15">
      <c r="B449" s="14"/>
      <c r="C449" s="14"/>
    </row>
    <row r="450" spans="2:3" s="18" customFormat="1" ht="15">
      <c r="B450" s="14"/>
      <c r="C450" s="14"/>
    </row>
    <row r="451" spans="2:3" s="18" customFormat="1" ht="15">
      <c r="B451" s="14"/>
      <c r="C451" s="14"/>
    </row>
    <row r="452" spans="2:3" s="18" customFormat="1" ht="15">
      <c r="B452" s="14"/>
      <c r="C452" s="14"/>
    </row>
    <row r="453" spans="2:3" s="18" customFormat="1" ht="15">
      <c r="B453" s="14"/>
      <c r="C453" s="14"/>
    </row>
    <row r="454" spans="2:3" s="18" customFormat="1" ht="15">
      <c r="B454" s="14"/>
      <c r="C454" s="14"/>
    </row>
    <row r="455" spans="2:3" s="18" customFormat="1" ht="15">
      <c r="B455" s="14"/>
      <c r="C455" s="14"/>
    </row>
    <row r="456" spans="2:3" s="18" customFormat="1" ht="15">
      <c r="B456" s="14"/>
      <c r="C456" s="14"/>
    </row>
    <row r="457" spans="2:3" s="18" customFormat="1" ht="15">
      <c r="B457" s="14"/>
      <c r="C457" s="14"/>
    </row>
    <row r="458" spans="2:3" s="18" customFormat="1" ht="15">
      <c r="B458" s="14"/>
      <c r="C458" s="14"/>
    </row>
    <row r="459" spans="2:3" s="18" customFormat="1" ht="15">
      <c r="B459" s="14"/>
      <c r="C459" s="14"/>
    </row>
    <row r="460" spans="2:3" s="18" customFormat="1" ht="15">
      <c r="B460" s="14"/>
      <c r="C460" s="14"/>
    </row>
    <row r="461" spans="2:3" s="18" customFormat="1" ht="15">
      <c r="B461" s="14"/>
      <c r="C461" s="14"/>
    </row>
    <row r="462" spans="2:3" s="18" customFormat="1" ht="15">
      <c r="B462" s="14"/>
      <c r="C462" s="14"/>
    </row>
    <row r="463" spans="2:3" s="18" customFormat="1" ht="15">
      <c r="B463" s="14"/>
      <c r="C463" s="14"/>
    </row>
    <row r="464" spans="2:3" s="18" customFormat="1" ht="15">
      <c r="B464" s="14"/>
      <c r="C464" s="14"/>
    </row>
    <row r="465" spans="2:3" s="18" customFormat="1" ht="15">
      <c r="B465" s="14"/>
      <c r="C465" s="14"/>
    </row>
    <row r="466" spans="2:3" s="18" customFormat="1" ht="15">
      <c r="B466" s="14"/>
      <c r="C466" s="14"/>
    </row>
    <row r="467" spans="2:3" s="18" customFormat="1" ht="15">
      <c r="B467" s="14"/>
      <c r="C467" s="14"/>
    </row>
    <row r="468" spans="2:3" s="18" customFormat="1" ht="15">
      <c r="B468" s="14"/>
      <c r="C468" s="14"/>
    </row>
    <row r="469" spans="2:3" s="18" customFormat="1" ht="15">
      <c r="B469" s="14"/>
      <c r="C469" s="14"/>
    </row>
    <row r="470" spans="2:3" s="18" customFormat="1" ht="15">
      <c r="B470" s="14"/>
      <c r="C470" s="14"/>
    </row>
    <row r="471" spans="2:3" s="18" customFormat="1" ht="15">
      <c r="B471" s="14"/>
      <c r="C471" s="14"/>
    </row>
    <row r="472" spans="2:3" s="18" customFormat="1" ht="15">
      <c r="B472" s="14"/>
      <c r="C472" s="14"/>
    </row>
    <row r="473" spans="2:3" s="18" customFormat="1" ht="15">
      <c r="B473" s="14"/>
      <c r="C473" s="14"/>
    </row>
    <row r="474" spans="2:3" s="18" customFormat="1" ht="15">
      <c r="B474" s="14"/>
      <c r="C474" s="14"/>
    </row>
    <row r="475" spans="2:3" s="18" customFormat="1" ht="15">
      <c r="B475" s="14"/>
      <c r="C475" s="14"/>
    </row>
    <row r="476" spans="2:3" s="18" customFormat="1" ht="15">
      <c r="B476" s="14"/>
      <c r="C476" s="14"/>
    </row>
    <row r="477" spans="2:3" s="18" customFormat="1" ht="15">
      <c r="B477" s="14"/>
      <c r="C477" s="14"/>
    </row>
    <row r="478" spans="2:3" s="18" customFormat="1" ht="15">
      <c r="B478" s="14"/>
      <c r="C478" s="14"/>
    </row>
    <row r="479" spans="2:3" s="18" customFormat="1" ht="15">
      <c r="B479" s="14"/>
      <c r="C479" s="14"/>
    </row>
    <row r="480" spans="2:3" s="18" customFormat="1" ht="15">
      <c r="B480" s="14"/>
      <c r="C480" s="14"/>
    </row>
    <row r="481" spans="2:3" s="18" customFormat="1" ht="15">
      <c r="B481" s="14"/>
      <c r="C481" s="14"/>
    </row>
    <row r="482" spans="2:3" s="18" customFormat="1" ht="15">
      <c r="B482" s="14"/>
      <c r="C482" s="14"/>
    </row>
    <row r="483" spans="2:3" s="18" customFormat="1" ht="15">
      <c r="B483" s="14"/>
      <c r="C483" s="14"/>
    </row>
    <row r="484" spans="2:3" s="18" customFormat="1" ht="15">
      <c r="B484" s="14"/>
      <c r="C484" s="14"/>
    </row>
    <row r="485" spans="2:3" s="18" customFormat="1" ht="15">
      <c r="B485" s="14"/>
      <c r="C485" s="14"/>
    </row>
    <row r="486" spans="2:3" s="18" customFormat="1" ht="15">
      <c r="B486" s="14"/>
      <c r="C486" s="14"/>
    </row>
    <row r="487" spans="2:3" s="18" customFormat="1" ht="15">
      <c r="B487" s="14"/>
      <c r="C487" s="14"/>
    </row>
    <row r="488" spans="2:3" s="18" customFormat="1" ht="15">
      <c r="B488" s="14"/>
      <c r="C488" s="14"/>
    </row>
    <row r="489" spans="2:3" s="18" customFormat="1" ht="15">
      <c r="B489" s="14"/>
      <c r="C489" s="14"/>
    </row>
    <row r="490" spans="2:3" s="18" customFormat="1" ht="15">
      <c r="B490" s="14"/>
      <c r="C490" s="14"/>
    </row>
    <row r="491" spans="2:3" s="18" customFormat="1" ht="15">
      <c r="B491" s="14"/>
      <c r="C491" s="14"/>
    </row>
    <row r="492" spans="2:3" s="18" customFormat="1" ht="15">
      <c r="B492" s="14"/>
      <c r="C492" s="14"/>
    </row>
    <row r="493" spans="2:3" s="18" customFormat="1" ht="15">
      <c r="B493" s="14"/>
      <c r="C493" s="14"/>
    </row>
    <row r="494" spans="2:3" s="18" customFormat="1" ht="15">
      <c r="B494" s="14"/>
      <c r="C494" s="14"/>
    </row>
    <row r="495" spans="2:3" s="18" customFormat="1" ht="15">
      <c r="B495" s="14"/>
      <c r="C495" s="14"/>
    </row>
    <row r="496" spans="2:3" s="18" customFormat="1" ht="15">
      <c r="B496" s="14"/>
      <c r="C496" s="14"/>
    </row>
    <row r="497" spans="2:3" s="18" customFormat="1" ht="15">
      <c r="B497" s="14"/>
      <c r="C497" s="14"/>
    </row>
    <row r="498" spans="2:3" s="18" customFormat="1" ht="15">
      <c r="B498" s="14"/>
      <c r="C498" s="14"/>
    </row>
    <row r="499" spans="2:3" s="18" customFormat="1" ht="15">
      <c r="B499" s="14"/>
      <c r="C499" s="14"/>
    </row>
    <row r="500" spans="2:3" s="18" customFormat="1" ht="15">
      <c r="B500" s="14"/>
      <c r="C500" s="14"/>
    </row>
    <row r="501" spans="2:3" s="18" customFormat="1" ht="15">
      <c r="B501" s="14"/>
      <c r="C501" s="14"/>
    </row>
    <row r="502" spans="2:3" s="18" customFormat="1" ht="15">
      <c r="B502" s="14"/>
      <c r="C502" s="14"/>
    </row>
    <row r="503" spans="2:3" s="18" customFormat="1" ht="15">
      <c r="B503" s="14"/>
      <c r="C503" s="14"/>
    </row>
    <row r="504" spans="2:3" s="18" customFormat="1" ht="15">
      <c r="B504" s="14"/>
      <c r="C504" s="14"/>
    </row>
    <row r="505" spans="2:3" s="18" customFormat="1" ht="15">
      <c r="B505" s="14"/>
      <c r="C505" s="14"/>
    </row>
    <row r="506" spans="2:3" s="18" customFormat="1" ht="15">
      <c r="B506" s="14"/>
      <c r="C506" s="14"/>
    </row>
    <row r="507" spans="2:3" s="18" customFormat="1" ht="15">
      <c r="B507" s="14"/>
      <c r="C507" s="14"/>
    </row>
    <row r="508" spans="2:3" s="18" customFormat="1" ht="15">
      <c r="B508" s="14"/>
      <c r="C508" s="14"/>
    </row>
    <row r="509" spans="2:3" s="18" customFormat="1" ht="15">
      <c r="B509" s="14"/>
      <c r="C509" s="14"/>
    </row>
    <row r="510" spans="2:3" s="18" customFormat="1" ht="15">
      <c r="B510" s="14"/>
      <c r="C510" s="14"/>
    </row>
    <row r="511" spans="2:3" s="18" customFormat="1" ht="15">
      <c r="B511" s="14"/>
      <c r="C511" s="14"/>
    </row>
    <row r="512" spans="2:3" s="18" customFormat="1" ht="15">
      <c r="B512" s="14"/>
      <c r="C512" s="14"/>
    </row>
    <row r="513" spans="2:3" s="18" customFormat="1" ht="15">
      <c r="B513" s="14"/>
      <c r="C513" s="14"/>
    </row>
    <row r="514" spans="2:3" s="18" customFormat="1" ht="15">
      <c r="B514" s="14"/>
      <c r="C514" s="14"/>
    </row>
    <row r="515" spans="2:3" s="18" customFormat="1" ht="15">
      <c r="B515" s="14"/>
      <c r="C515" s="14"/>
    </row>
    <row r="516" spans="2:3" s="18" customFormat="1" ht="15">
      <c r="B516" s="14"/>
      <c r="C516" s="14"/>
    </row>
    <row r="517" spans="2:3" s="18" customFormat="1" ht="15">
      <c r="B517" s="14"/>
      <c r="C517" s="14"/>
    </row>
  </sheetData>
  <mergeCells count="1">
    <mergeCell ref="A1:C1"/>
  </mergeCells>
  <printOptions/>
  <pageMargins left="0.46" right="0.36" top="0.33" bottom="0.28" header="0.26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C21" sqref="C21"/>
    </sheetView>
  </sheetViews>
  <sheetFormatPr defaultColWidth="9.00390625" defaultRowHeight="12.75"/>
  <cols>
    <col min="1" max="1" width="8.625" style="47" customWidth="1"/>
    <col min="2" max="2" width="36.00390625" style="82" customWidth="1"/>
    <col min="3" max="3" width="16.625" style="82" customWidth="1"/>
    <col min="4" max="4" width="15.75390625" style="82" customWidth="1"/>
    <col min="5" max="5" width="17.125" style="82" customWidth="1"/>
    <col min="6" max="6" width="18.125" style="82" customWidth="1"/>
    <col min="7" max="7" width="15.00390625" style="82" customWidth="1"/>
    <col min="8" max="8" width="22.625" style="47" customWidth="1"/>
    <col min="9" max="16384" width="9.125" style="47" customWidth="1"/>
  </cols>
  <sheetData>
    <row r="1" spans="1:5" ht="21.75" customHeight="1">
      <c r="A1" s="385" t="s">
        <v>314</v>
      </c>
      <c r="B1" s="385"/>
      <c r="C1" s="385"/>
      <c r="D1" s="385"/>
      <c r="E1" s="385"/>
    </row>
    <row r="2" spans="1:5" ht="21.75" customHeight="1">
      <c r="A2" s="50" t="s">
        <v>195</v>
      </c>
      <c r="D2" s="108" t="s">
        <v>218</v>
      </c>
      <c r="E2" s="108"/>
    </row>
    <row r="3" spans="1:7" s="49" customFormat="1" ht="21.75" customHeight="1">
      <c r="A3" s="102" t="s">
        <v>192</v>
      </c>
      <c r="B3" s="102" t="s">
        <v>193</v>
      </c>
      <c r="C3" s="102" t="s">
        <v>213</v>
      </c>
      <c r="D3" s="102" t="s">
        <v>214</v>
      </c>
      <c r="E3" s="102" t="s">
        <v>215</v>
      </c>
      <c r="F3" s="108"/>
      <c r="G3" s="108"/>
    </row>
    <row r="4" spans="1:7" s="49" customFormat="1" ht="21.75" customHeight="1">
      <c r="A4" s="102">
        <v>1</v>
      </c>
      <c r="B4" s="102" t="s">
        <v>315</v>
      </c>
      <c r="C4" s="102"/>
      <c r="D4" s="102"/>
      <c r="E4" s="102">
        <v>8060000000</v>
      </c>
      <c r="F4" s="108"/>
      <c r="G4" s="108"/>
    </row>
    <row r="5" spans="1:7" s="49" customFormat="1" ht="21.75" customHeight="1">
      <c r="A5" s="102">
        <v>2</v>
      </c>
      <c r="B5" s="102" t="s">
        <v>316</v>
      </c>
      <c r="C5" s="102"/>
      <c r="D5" s="102"/>
      <c r="E5" s="102">
        <v>10000000000</v>
      </c>
      <c r="F5" s="108"/>
      <c r="G5" s="108"/>
    </row>
    <row r="6" spans="1:7" s="53" customFormat="1" ht="21.75" customHeight="1">
      <c r="A6" s="51"/>
      <c r="B6" s="52" t="s">
        <v>7</v>
      </c>
      <c r="C6" s="48"/>
      <c r="D6" s="48"/>
      <c r="E6" s="48"/>
      <c r="F6" s="109"/>
      <c r="G6" s="109"/>
    </row>
    <row r="7" spans="1:7" s="53" customFormat="1" ht="21.75" customHeight="1">
      <c r="A7" s="50" t="s">
        <v>216</v>
      </c>
      <c r="B7" s="82"/>
      <c r="C7" s="82"/>
      <c r="D7" s="108" t="s">
        <v>218</v>
      </c>
      <c r="E7" s="108"/>
      <c r="F7" s="109"/>
      <c r="G7" s="109"/>
    </row>
    <row r="8" spans="1:7" s="53" customFormat="1" ht="21.75" customHeight="1">
      <c r="A8" s="48" t="s">
        <v>192</v>
      </c>
      <c r="B8" s="193" t="s">
        <v>193</v>
      </c>
      <c r="C8" s="48" t="s">
        <v>213</v>
      </c>
      <c r="D8" s="48" t="s">
        <v>217</v>
      </c>
      <c r="E8" s="48" t="s">
        <v>194</v>
      </c>
      <c r="F8" s="109"/>
      <c r="G8" s="109"/>
    </row>
    <row r="9" spans="1:7" s="53" customFormat="1" ht="21.75" customHeight="1">
      <c r="A9" s="262">
        <v>1</v>
      </c>
      <c r="B9" s="263" t="s">
        <v>317</v>
      </c>
      <c r="C9" s="262"/>
      <c r="D9" s="262"/>
      <c r="E9" s="262">
        <v>2000000000</v>
      </c>
      <c r="F9" s="109"/>
      <c r="G9" s="109"/>
    </row>
    <row r="10" spans="1:7" s="53" customFormat="1" ht="21.75" customHeight="1">
      <c r="A10" s="262">
        <v>2</v>
      </c>
      <c r="B10" s="263" t="s">
        <v>318</v>
      </c>
      <c r="C10" s="262"/>
      <c r="D10" s="262"/>
      <c r="E10" s="262">
        <v>1800000000</v>
      </c>
      <c r="F10" s="109"/>
      <c r="G10" s="109"/>
    </row>
    <row r="11" spans="1:7" s="53" customFormat="1" ht="21.75" customHeight="1">
      <c r="A11" s="51"/>
      <c r="B11" s="52" t="s">
        <v>7</v>
      </c>
      <c r="C11" s="52"/>
      <c r="D11" s="52"/>
      <c r="E11" s="52">
        <f>E9+E10</f>
        <v>3800000000</v>
      </c>
      <c r="F11" s="109"/>
      <c r="G11" s="109"/>
    </row>
    <row r="12" spans="1:7" s="53" customFormat="1" ht="21.75" customHeight="1">
      <c r="A12" s="79"/>
      <c r="B12" s="80"/>
      <c r="C12" s="80"/>
      <c r="D12" s="80"/>
      <c r="E12" s="80"/>
      <c r="F12" s="109"/>
      <c r="G12" s="109"/>
    </row>
    <row r="13" spans="1:7" s="53" customFormat="1" ht="21.75" customHeight="1">
      <c r="A13" s="79"/>
      <c r="B13" s="80"/>
      <c r="C13" s="80"/>
      <c r="D13" s="80"/>
      <c r="E13" s="80"/>
      <c r="F13" s="109"/>
      <c r="G13" s="109"/>
    </row>
    <row r="14" spans="1:7" s="53" customFormat="1" ht="21.75" customHeight="1">
      <c r="A14" s="79" t="s">
        <v>319</v>
      </c>
      <c r="B14" s="80" t="s">
        <v>333</v>
      </c>
      <c r="C14" s="80"/>
      <c r="D14" s="80" t="s">
        <v>215</v>
      </c>
      <c r="E14" s="80"/>
      <c r="F14" s="109"/>
      <c r="G14" s="109"/>
    </row>
    <row r="15" spans="1:7" s="53" customFormat="1" ht="21.75" customHeight="1">
      <c r="A15" s="79" t="s">
        <v>320</v>
      </c>
      <c r="B15" s="386" t="s">
        <v>321</v>
      </c>
      <c r="C15" s="386"/>
      <c r="D15" s="80"/>
      <c r="E15" s="80"/>
      <c r="F15" s="109"/>
      <c r="G15" s="109"/>
    </row>
    <row r="16" spans="1:7" s="53" customFormat="1" ht="21.75" customHeight="1">
      <c r="A16" s="79">
        <v>1</v>
      </c>
      <c r="B16" s="264" t="s">
        <v>322</v>
      </c>
      <c r="C16" s="264">
        <v>7221738</v>
      </c>
      <c r="D16" s="80"/>
      <c r="E16" s="80"/>
      <c r="F16" s="109"/>
      <c r="G16" s="109"/>
    </row>
    <row r="17" spans="1:7" s="53" customFormat="1" ht="21.75" customHeight="1">
      <c r="A17" s="79">
        <v>2</v>
      </c>
      <c r="B17" s="264" t="s">
        <v>323</v>
      </c>
      <c r="C17" s="264">
        <v>9216045</v>
      </c>
      <c r="D17" s="80"/>
      <c r="E17" s="80"/>
      <c r="F17" s="109"/>
      <c r="G17" s="109"/>
    </row>
    <row r="18" spans="1:7" s="53" customFormat="1" ht="21.75" customHeight="1">
      <c r="A18" s="79">
        <v>3</v>
      </c>
      <c r="B18" s="264" t="s">
        <v>324</v>
      </c>
      <c r="C18" s="264">
        <v>19578703</v>
      </c>
      <c r="D18" s="80"/>
      <c r="E18" s="80"/>
      <c r="F18" s="109"/>
      <c r="G18" s="109"/>
    </row>
    <row r="19" spans="1:7" s="53" customFormat="1" ht="21.75" customHeight="1">
      <c r="A19" s="79"/>
      <c r="B19" s="80"/>
      <c r="C19" s="80">
        <f>SUM(C16:C18)</f>
        <v>36016486</v>
      </c>
      <c r="D19" s="80"/>
      <c r="E19" s="80"/>
      <c r="F19" s="109"/>
      <c r="G19" s="109"/>
    </row>
    <row r="20" spans="1:7" s="53" customFormat="1" ht="21.75" customHeight="1">
      <c r="A20" s="79" t="s">
        <v>325</v>
      </c>
      <c r="B20" s="386" t="s">
        <v>326</v>
      </c>
      <c r="C20" s="386"/>
      <c r="D20" s="80"/>
      <c r="E20" s="80"/>
      <c r="F20" s="109"/>
      <c r="G20" s="109"/>
    </row>
    <row r="21" spans="1:7" s="53" customFormat="1" ht="21.75" customHeight="1">
      <c r="A21" s="79"/>
      <c r="B21" s="80"/>
      <c r="C21" s="80">
        <v>83168829</v>
      </c>
      <c r="D21" s="80"/>
      <c r="E21" s="80"/>
      <c r="F21" s="109"/>
      <c r="G21" s="109"/>
    </row>
    <row r="22" spans="1:7" s="53" customFormat="1" ht="21.75" customHeight="1">
      <c r="A22" s="79"/>
      <c r="B22" s="80" t="s">
        <v>327</v>
      </c>
      <c r="C22" s="80"/>
      <c r="D22" s="52">
        <f>C19+C21</f>
        <v>119185315</v>
      </c>
      <c r="E22" s="80"/>
      <c r="F22" s="109"/>
      <c r="G22" s="109"/>
    </row>
    <row r="23" spans="1:7" s="53" customFormat="1" ht="21.75" customHeight="1">
      <c r="A23" s="79"/>
      <c r="B23" s="80"/>
      <c r="C23" s="80"/>
      <c r="D23" s="80"/>
      <c r="E23" s="80"/>
      <c r="F23" s="109"/>
      <c r="G23" s="109"/>
    </row>
    <row r="24" spans="1:7" s="53" customFormat="1" ht="21.75" customHeight="1">
      <c r="A24" s="79" t="s">
        <v>328</v>
      </c>
      <c r="B24" s="80" t="s">
        <v>312</v>
      </c>
      <c r="C24" s="80"/>
      <c r="D24" s="80" t="s">
        <v>194</v>
      </c>
      <c r="E24" s="80"/>
      <c r="F24" s="109"/>
      <c r="G24" s="109"/>
    </row>
    <row r="25" spans="1:7" s="53" customFormat="1" ht="21.75" customHeight="1">
      <c r="A25" s="79">
        <v>1</v>
      </c>
      <c r="B25" s="264" t="s">
        <v>329</v>
      </c>
      <c r="C25" s="80"/>
      <c r="D25" s="264">
        <v>264605952</v>
      </c>
      <c r="E25" s="80"/>
      <c r="F25" s="109"/>
      <c r="G25" s="109"/>
    </row>
    <row r="26" spans="1:7" s="53" customFormat="1" ht="21.75" customHeight="1">
      <c r="A26" s="79">
        <v>2</v>
      </c>
      <c r="B26" s="264" t="s">
        <v>330</v>
      </c>
      <c r="C26" s="80"/>
      <c r="D26" s="264">
        <v>32040000</v>
      </c>
      <c r="E26" s="80"/>
      <c r="F26" s="109"/>
      <c r="G26" s="109"/>
    </row>
    <row r="27" spans="1:7" s="53" customFormat="1" ht="21.75" customHeight="1">
      <c r="A27" s="79"/>
      <c r="B27" s="80" t="s">
        <v>7</v>
      </c>
      <c r="C27" s="80"/>
      <c r="D27" s="52">
        <f>SUM(D25:D26)</f>
        <v>296645952</v>
      </c>
      <c r="E27" s="80"/>
      <c r="F27" s="109"/>
      <c r="G27" s="109"/>
    </row>
    <row r="28" spans="1:7" s="53" customFormat="1" ht="21.75" customHeight="1">
      <c r="A28" s="79" t="s">
        <v>331</v>
      </c>
      <c r="B28" s="80" t="s">
        <v>272</v>
      </c>
      <c r="C28" s="80"/>
      <c r="D28" s="80" t="s">
        <v>194</v>
      </c>
      <c r="E28" s="80"/>
      <c r="F28" s="109"/>
      <c r="G28" s="109"/>
    </row>
    <row r="29" spans="1:7" s="53" customFormat="1" ht="21.75" customHeight="1">
      <c r="A29" s="79"/>
      <c r="B29" s="264" t="s">
        <v>335</v>
      </c>
      <c r="C29" s="80"/>
      <c r="D29" s="52">
        <v>71115550</v>
      </c>
      <c r="E29" s="80"/>
      <c r="F29" s="109"/>
      <c r="G29" s="109"/>
    </row>
    <row r="30" spans="1:7" s="53" customFormat="1" ht="21.75" customHeight="1">
      <c r="A30" s="79"/>
      <c r="B30" s="80"/>
      <c r="C30" s="80"/>
      <c r="D30" s="80"/>
      <c r="E30" s="80"/>
      <c r="F30" s="109"/>
      <c r="G30" s="109"/>
    </row>
    <row r="31" spans="1:7" s="53" customFormat="1" ht="21.75" customHeight="1">
      <c r="A31" s="79" t="s">
        <v>332</v>
      </c>
      <c r="B31" s="80" t="s">
        <v>39</v>
      </c>
      <c r="C31" s="80"/>
      <c r="D31" s="80" t="s">
        <v>215</v>
      </c>
      <c r="E31" s="80"/>
      <c r="F31" s="109"/>
      <c r="G31" s="109"/>
    </row>
    <row r="32" spans="1:7" s="53" customFormat="1" ht="21.75" customHeight="1">
      <c r="A32" s="79"/>
      <c r="B32" s="387" t="s">
        <v>334</v>
      </c>
      <c r="C32" s="80"/>
      <c r="D32" s="52">
        <v>396233296</v>
      </c>
      <c r="E32" s="80"/>
      <c r="F32" s="109"/>
      <c r="G32" s="109"/>
    </row>
    <row r="33" spans="1:7" s="53" customFormat="1" ht="21.75" customHeight="1">
      <c r="A33" s="79"/>
      <c r="B33" s="387"/>
      <c r="C33" s="80"/>
      <c r="D33" s="80"/>
      <c r="E33" s="80"/>
      <c r="F33" s="109"/>
      <c r="G33" s="109"/>
    </row>
    <row r="34" spans="1:7" s="53" customFormat="1" ht="21.75" customHeight="1">
      <c r="A34" s="79"/>
      <c r="B34" s="80"/>
      <c r="C34" s="80"/>
      <c r="D34" s="80"/>
      <c r="E34" s="80"/>
      <c r="F34" s="109"/>
      <c r="G34" s="109"/>
    </row>
    <row r="35" spans="1:7" s="53" customFormat="1" ht="21.75" customHeight="1">
      <c r="A35" s="79"/>
      <c r="B35" s="80"/>
      <c r="C35" s="80"/>
      <c r="D35" s="80"/>
      <c r="E35" s="80"/>
      <c r="F35" s="109"/>
      <c r="G35" s="109"/>
    </row>
  </sheetData>
  <mergeCells count="4">
    <mergeCell ref="A1:E1"/>
    <mergeCell ref="B15:C15"/>
    <mergeCell ref="B20:C20"/>
    <mergeCell ref="B32:B33"/>
  </mergeCells>
  <printOptions/>
  <pageMargins left="0.39" right="0.35" top="0.31" bottom="0.26" header="0.37" footer="0.2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86"/>
  <sheetViews>
    <sheetView zoomScale="120" zoomScaleNormal="120" workbookViewId="0" topLeftCell="A1">
      <pane xSplit="2" ySplit="3" topLeftCell="AO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U50" sqref="AU50"/>
    </sheetView>
  </sheetViews>
  <sheetFormatPr defaultColWidth="9.00390625" defaultRowHeight="17.25" customHeight="1"/>
  <cols>
    <col min="1" max="1" width="10.875" style="213" customWidth="1"/>
    <col min="2" max="2" width="7.625" style="83" bestFit="1" customWidth="1"/>
    <col min="3" max="3" width="14.00390625" style="83" customWidth="1"/>
    <col min="4" max="5" width="16.875" style="83" customWidth="1"/>
    <col min="6" max="6" width="15.375" style="83" customWidth="1"/>
    <col min="7" max="7" width="16.625" style="83" customWidth="1"/>
    <col min="8" max="8" width="13.875" style="83" customWidth="1"/>
    <col min="9" max="11" width="14.125" style="83" customWidth="1"/>
    <col min="12" max="12" width="12.875" style="83" customWidth="1"/>
    <col min="13" max="13" width="12.00390625" style="83" bestFit="1" customWidth="1"/>
    <col min="14" max="14" width="14.375" style="83" bestFit="1" customWidth="1"/>
    <col min="15" max="15" width="12.00390625" style="83" bestFit="1" customWidth="1"/>
    <col min="16" max="16" width="17.375" style="83" customWidth="1"/>
    <col min="17" max="17" width="17.00390625" style="83" bestFit="1" customWidth="1"/>
    <col min="18" max="18" width="13.375" style="83" bestFit="1" customWidth="1"/>
    <col min="19" max="19" width="4.75390625" style="83" bestFit="1" customWidth="1"/>
    <col min="20" max="20" width="14.375" style="83" bestFit="1" customWidth="1"/>
    <col min="21" max="21" width="13.375" style="83" bestFit="1" customWidth="1"/>
    <col min="22" max="22" width="12.00390625" style="83" customWidth="1"/>
    <col min="23" max="23" width="16.00390625" style="83" customWidth="1"/>
    <col min="24" max="24" width="15.75390625" style="83" customWidth="1"/>
    <col min="25" max="25" width="13.375" style="83" bestFit="1" customWidth="1"/>
    <col min="26" max="26" width="14.00390625" style="83" customWidth="1"/>
    <col min="27" max="28" width="15.25390625" style="83" customWidth="1"/>
    <col min="29" max="29" width="14.25390625" style="83" customWidth="1"/>
    <col min="30" max="31" width="11.875" style="83" customWidth="1"/>
    <col min="32" max="32" width="16.25390625" style="83" customWidth="1"/>
    <col min="33" max="33" width="15.25390625" style="83" customWidth="1"/>
    <col min="34" max="34" width="13.75390625" style="83" customWidth="1"/>
    <col min="35" max="35" width="12.375" style="83" customWidth="1"/>
    <col min="36" max="36" width="15.625" style="83" customWidth="1"/>
    <col min="37" max="37" width="14.875" style="83" customWidth="1"/>
    <col min="38" max="38" width="13.125" style="83" customWidth="1"/>
    <col min="39" max="39" width="14.375" style="83" bestFit="1" customWidth="1"/>
    <col min="40" max="41" width="15.625" style="83" customWidth="1"/>
    <col min="42" max="42" width="12.875" style="83" customWidth="1"/>
    <col min="43" max="43" width="4.75390625" style="83" bestFit="1" customWidth="1"/>
    <col min="44" max="44" width="14.75390625" style="83" customWidth="1"/>
    <col min="45" max="45" width="13.25390625" style="83" customWidth="1"/>
    <col min="46" max="46" width="4.75390625" style="83" bestFit="1" customWidth="1"/>
    <col min="47" max="47" width="12.00390625" style="83" bestFit="1" customWidth="1"/>
    <col min="48" max="48" width="13.375" style="83" bestFit="1" customWidth="1"/>
    <col min="49" max="49" width="13.75390625" style="83" customWidth="1"/>
    <col min="50" max="50" width="4.75390625" style="83" bestFit="1" customWidth="1"/>
    <col min="51" max="51" width="15.375" style="83" bestFit="1" customWidth="1"/>
    <col min="52" max="52" width="15.25390625" style="83" customWidth="1"/>
    <col min="53" max="53" width="10.75390625" style="83" bestFit="1" customWidth="1"/>
    <col min="54" max="54" width="14.375" style="83" bestFit="1" customWidth="1"/>
    <col min="55" max="55" width="14.875" style="83" customWidth="1"/>
    <col min="56" max="56" width="14.375" style="83" bestFit="1" customWidth="1"/>
    <col min="57" max="57" width="15.125" style="83" customWidth="1"/>
    <col min="58" max="58" width="15.00390625" style="83" customWidth="1"/>
    <col min="59" max="59" width="14.125" style="83" customWidth="1"/>
    <col min="60" max="60" width="16.375" style="83" customWidth="1"/>
    <col min="61" max="61" width="17.75390625" style="83" customWidth="1"/>
    <col min="62" max="62" width="18.625" style="83" customWidth="1"/>
    <col min="63" max="64" width="15.375" style="83" customWidth="1"/>
    <col min="65" max="65" width="13.125" style="83" customWidth="1"/>
    <col min="66" max="66" width="14.75390625" style="83" customWidth="1"/>
    <col min="67" max="67" width="15.375" style="83" bestFit="1" customWidth="1"/>
    <col min="68" max="68" width="5.375" style="83" customWidth="1"/>
    <col min="69" max="69" width="17.25390625" style="84" customWidth="1"/>
    <col min="70" max="70" width="17.375" style="83" customWidth="1"/>
    <col min="71" max="71" width="17.00390625" style="83" customWidth="1"/>
    <col min="72" max="72" width="16.375" style="83" customWidth="1"/>
    <col min="73" max="73" width="14.625" style="83" customWidth="1"/>
    <col min="74" max="74" width="10.375" style="83" bestFit="1" customWidth="1"/>
    <col min="75" max="75" width="8.875" style="83" customWidth="1"/>
    <col min="76" max="76" width="13.625" style="83" customWidth="1"/>
    <col min="77" max="77" width="16.375" style="83" customWidth="1"/>
    <col min="78" max="78" width="15.25390625" style="83" customWidth="1"/>
    <col min="79" max="16384" width="8.875" style="83" customWidth="1"/>
  </cols>
  <sheetData>
    <row r="1" spans="1:15" ht="17.25" customHeight="1">
      <c r="A1" s="389" t="s">
        <v>294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ht="17.25" customHeight="1">
      <c r="P2" s="83" t="s">
        <v>196</v>
      </c>
    </row>
    <row r="3" spans="1:71" s="85" customFormat="1" ht="17.25" customHeight="1">
      <c r="A3" s="214"/>
      <c r="B3" s="86" t="s">
        <v>0</v>
      </c>
      <c r="C3" s="86">
        <v>111</v>
      </c>
      <c r="D3" s="110">
        <v>1121</v>
      </c>
      <c r="E3" s="110">
        <v>1122</v>
      </c>
      <c r="F3" s="86">
        <v>128</v>
      </c>
      <c r="G3" s="86">
        <v>131</v>
      </c>
      <c r="H3" s="86">
        <v>133</v>
      </c>
      <c r="I3" s="86">
        <v>1388</v>
      </c>
      <c r="J3" s="86">
        <v>139</v>
      </c>
      <c r="K3" s="86">
        <v>141</v>
      </c>
      <c r="L3" s="86">
        <v>142</v>
      </c>
      <c r="M3" s="86">
        <v>144</v>
      </c>
      <c r="N3" s="86">
        <v>152</v>
      </c>
      <c r="O3" s="86">
        <v>153</v>
      </c>
      <c r="P3" s="86">
        <v>154</v>
      </c>
      <c r="Q3" s="86">
        <v>155</v>
      </c>
      <c r="R3" s="86">
        <v>156</v>
      </c>
      <c r="S3" s="86">
        <v>159</v>
      </c>
      <c r="T3" s="86">
        <v>211</v>
      </c>
      <c r="U3" s="86">
        <v>214</v>
      </c>
      <c r="V3" s="86">
        <v>221</v>
      </c>
      <c r="W3" s="86">
        <v>222</v>
      </c>
      <c r="X3" s="86">
        <v>241</v>
      </c>
      <c r="Y3" s="86">
        <v>335</v>
      </c>
      <c r="Z3" s="86">
        <v>311</v>
      </c>
      <c r="AA3" s="86">
        <v>331</v>
      </c>
      <c r="AB3" s="86">
        <v>3331</v>
      </c>
      <c r="AC3" s="86">
        <v>3334</v>
      </c>
      <c r="AD3" s="86">
        <v>3335</v>
      </c>
      <c r="AE3" s="86">
        <v>3336</v>
      </c>
      <c r="AF3" s="86">
        <v>3337</v>
      </c>
      <c r="AG3" s="86">
        <v>334</v>
      </c>
      <c r="AH3" s="86">
        <v>344</v>
      </c>
      <c r="AI3" s="86">
        <v>3382</v>
      </c>
      <c r="AJ3" s="86">
        <v>3383</v>
      </c>
      <c r="AK3" s="86">
        <v>3384</v>
      </c>
      <c r="AL3" s="86">
        <v>3386</v>
      </c>
      <c r="AM3" s="86">
        <v>3387</v>
      </c>
      <c r="AN3" s="86">
        <v>3388</v>
      </c>
      <c r="AO3" s="86">
        <v>3389</v>
      </c>
      <c r="AP3" s="86">
        <v>351</v>
      </c>
      <c r="AQ3" s="86">
        <v>411</v>
      </c>
      <c r="AR3" s="86">
        <v>413</v>
      </c>
      <c r="AS3" s="86">
        <v>414</v>
      </c>
      <c r="AT3" s="86">
        <v>415</v>
      </c>
      <c r="AU3" s="86">
        <v>418</v>
      </c>
      <c r="AV3" s="86">
        <v>421</v>
      </c>
      <c r="AW3" s="86">
        <v>353</v>
      </c>
      <c r="AX3" s="86">
        <v>441</v>
      </c>
      <c r="AY3" s="86">
        <v>511</v>
      </c>
      <c r="AZ3" s="86">
        <v>531</v>
      </c>
      <c r="BA3" s="86">
        <v>532</v>
      </c>
      <c r="BB3" s="86">
        <v>515</v>
      </c>
      <c r="BC3" s="86">
        <v>621</v>
      </c>
      <c r="BD3" s="86">
        <v>622</v>
      </c>
      <c r="BE3" s="86" t="s">
        <v>268</v>
      </c>
      <c r="BF3" s="86" t="s">
        <v>1</v>
      </c>
      <c r="BG3" s="86" t="s">
        <v>203</v>
      </c>
      <c r="BH3" s="86" t="s">
        <v>3</v>
      </c>
      <c r="BI3" s="86">
        <v>641</v>
      </c>
      <c r="BJ3" s="86">
        <v>642</v>
      </c>
      <c r="BK3" s="86">
        <v>632</v>
      </c>
      <c r="BL3" s="86">
        <v>635</v>
      </c>
      <c r="BM3" s="86">
        <v>711</v>
      </c>
      <c r="BN3" s="86">
        <v>811</v>
      </c>
      <c r="BO3" s="86">
        <v>911</v>
      </c>
      <c r="BP3" s="86"/>
      <c r="BQ3" s="86" t="s">
        <v>4</v>
      </c>
      <c r="BR3" s="86" t="s">
        <v>5</v>
      </c>
      <c r="BS3" s="87" t="s">
        <v>6</v>
      </c>
    </row>
    <row r="4" spans="1:72" ht="17.25" customHeight="1">
      <c r="A4" s="111">
        <v>1111</v>
      </c>
      <c r="B4" s="207">
        <v>1111</v>
      </c>
      <c r="C4" s="112"/>
      <c r="D4" s="112">
        <v>6000000000</v>
      </c>
      <c r="E4" s="88"/>
      <c r="F4" s="88"/>
      <c r="G4" s="88">
        <f>1179323411+175318701</f>
        <v>1354642112</v>
      </c>
      <c r="H4" s="88">
        <f>135189826+13061723+4203836</f>
        <v>152455385</v>
      </c>
      <c r="I4" s="88">
        <v>980000000</v>
      </c>
      <c r="J4" s="88"/>
      <c r="K4" s="88">
        <v>1723152000</v>
      </c>
      <c r="L4" s="88"/>
      <c r="M4" s="88">
        <v>10100000</v>
      </c>
      <c r="N4" s="88"/>
      <c r="O4" s="88"/>
      <c r="P4" s="88"/>
      <c r="Q4" s="88"/>
      <c r="R4" s="88"/>
      <c r="S4" s="88"/>
      <c r="T4" s="88">
        <v>119542727</v>
      </c>
      <c r="U4" s="88"/>
      <c r="V4" s="88"/>
      <c r="W4" s="88"/>
      <c r="X4" s="88"/>
      <c r="Y4" s="88">
        <f>2197900000+605617236</f>
        <v>2803517236</v>
      </c>
      <c r="Z4" s="88"/>
      <c r="AA4" s="88">
        <f>25870168727+7160000</f>
        <v>25877328727</v>
      </c>
      <c r="AB4" s="88"/>
      <c r="AC4" s="88"/>
      <c r="AD4" s="88"/>
      <c r="AE4" s="88"/>
      <c r="AF4" s="88"/>
      <c r="AG4" s="88">
        <v>10479237790</v>
      </c>
      <c r="AH4" s="88"/>
      <c r="AI4" s="88">
        <v>208224276</v>
      </c>
      <c r="AJ4" s="88">
        <v>128265566</v>
      </c>
      <c r="AK4" s="88"/>
      <c r="AL4" s="88"/>
      <c r="AM4" s="88"/>
      <c r="AN4" s="88">
        <v>2016897471</v>
      </c>
      <c r="AO4" s="88"/>
      <c r="AP4" s="88"/>
      <c r="AQ4" s="88"/>
      <c r="AR4" s="88"/>
      <c r="AS4" s="88"/>
      <c r="AT4" s="88"/>
      <c r="AU4" s="88"/>
      <c r="AV4" s="88"/>
      <c r="AW4" s="88">
        <v>2011300000</v>
      </c>
      <c r="AX4" s="88"/>
      <c r="AY4" s="88"/>
      <c r="AZ4" s="88"/>
      <c r="BA4" s="88"/>
      <c r="BB4" s="88"/>
      <c r="BC4" s="88"/>
      <c r="BD4" s="88"/>
      <c r="BE4" s="88"/>
      <c r="BF4" s="88">
        <v>252396493</v>
      </c>
      <c r="BG4" s="88">
        <v>50504825</v>
      </c>
      <c r="BH4" s="88">
        <v>24006680</v>
      </c>
      <c r="BI4" s="88">
        <v>758943533</v>
      </c>
      <c r="BJ4" s="88">
        <f>5085547603-7160000</f>
        <v>5078387603</v>
      </c>
      <c r="BK4" s="88"/>
      <c r="BL4" s="88">
        <v>174600000</v>
      </c>
      <c r="BM4" s="88"/>
      <c r="BN4" s="88"/>
      <c r="BO4" s="88"/>
      <c r="BP4" s="88"/>
      <c r="BQ4" s="89">
        <f>SUM(C4:BP4)</f>
        <v>60203502424</v>
      </c>
      <c r="BR4" s="89">
        <f>C72</f>
        <v>59536325939</v>
      </c>
      <c r="BS4" s="112">
        <f>BQ4</f>
        <v>60203502424</v>
      </c>
      <c r="BT4" s="83">
        <f>BR4-BS4</f>
        <v>-667176485</v>
      </c>
    </row>
    <row r="5" spans="1:72" ht="17.25" customHeight="1">
      <c r="A5" s="90">
        <v>1121</v>
      </c>
      <c r="B5" s="208">
        <v>1121</v>
      </c>
      <c r="C5" s="113">
        <v>37000000000</v>
      </c>
      <c r="D5" s="91">
        <v>31319445370</v>
      </c>
      <c r="E5" s="91"/>
      <c r="F5" s="91">
        <v>261524000000</v>
      </c>
      <c r="G5" s="91">
        <v>182900000</v>
      </c>
      <c r="H5" s="91">
        <f>1864031781-61810909+7160000</f>
        <v>1809380872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>
        <v>868954545</v>
      </c>
      <c r="U5" s="91"/>
      <c r="V5" s="91"/>
      <c r="W5" s="91"/>
      <c r="X5" s="91"/>
      <c r="Y5" s="91">
        <v>1921674764</v>
      </c>
      <c r="Z5" s="91">
        <v>15000000000</v>
      </c>
      <c r="AA5" s="91">
        <f>58403989214+500000000-7160000</f>
        <v>58896829214</v>
      </c>
      <c r="AB5" s="354">
        <f>3224124429-138703090</f>
        <v>3085421339</v>
      </c>
      <c r="AC5" s="354">
        <f>332983358+138703090</f>
        <v>471686448</v>
      </c>
      <c r="AD5" s="91">
        <v>187744271</v>
      </c>
      <c r="AE5" s="91">
        <v>829864000</v>
      </c>
      <c r="AF5" s="91">
        <v>1538733034</v>
      </c>
      <c r="AG5" s="91">
        <v>3068926059</v>
      </c>
      <c r="AH5" s="91"/>
      <c r="AI5" s="91"/>
      <c r="AJ5" s="91">
        <v>1736081446</v>
      </c>
      <c r="AK5" s="91">
        <v>333961698</v>
      </c>
      <c r="AL5" s="91"/>
      <c r="AM5" s="91"/>
      <c r="AN5" s="91">
        <v>6867424465</v>
      </c>
      <c r="AO5" s="91">
        <v>143760062</v>
      </c>
      <c r="AP5" s="91"/>
      <c r="AQ5" s="91"/>
      <c r="AR5" s="91"/>
      <c r="AS5" s="91"/>
      <c r="AT5" s="91"/>
      <c r="AU5" s="91"/>
      <c r="AV5" s="91"/>
      <c r="AW5" s="91">
        <v>530580000</v>
      </c>
      <c r="AX5" s="91"/>
      <c r="AY5" s="91"/>
      <c r="AZ5" s="91"/>
      <c r="BA5" s="91"/>
      <c r="BB5" s="91"/>
      <c r="BC5" s="91"/>
      <c r="BD5" s="91"/>
      <c r="BE5" s="91"/>
      <c r="BF5" s="91">
        <v>254838099</v>
      </c>
      <c r="BG5" s="91">
        <v>70420312</v>
      </c>
      <c r="BH5" s="91">
        <v>29160998</v>
      </c>
      <c r="BI5" s="91">
        <v>85017273</v>
      </c>
      <c r="BJ5" s="91">
        <f>3253584512-229075+308500</f>
        <v>3253663937</v>
      </c>
      <c r="BK5" s="91">
        <v>5554529018</v>
      </c>
      <c r="BL5" s="91">
        <f>850000000</f>
        <v>850000000</v>
      </c>
      <c r="BM5" s="91"/>
      <c r="BN5" s="91">
        <f>122513506-308500</f>
        <v>122205006</v>
      </c>
      <c r="BO5" s="91"/>
      <c r="BP5" s="88"/>
      <c r="BQ5" s="89">
        <f aca="true" t="shared" si="0" ref="BQ5:BQ70">SUM(C5:BP5)</f>
        <v>437537202230</v>
      </c>
      <c r="BR5" s="92">
        <f>D72</f>
        <v>445377009577</v>
      </c>
      <c r="BS5" s="91">
        <f>BQ5</f>
        <v>437537202230</v>
      </c>
      <c r="BT5" s="83">
        <f aca="true" t="shared" si="1" ref="BT5:BT69">BR5-BS5</f>
        <v>7839807347</v>
      </c>
    </row>
    <row r="6" spans="1:71" ht="17.25" customHeight="1">
      <c r="A6" s="90">
        <v>1122</v>
      </c>
      <c r="B6" s="208">
        <v>1122</v>
      </c>
      <c r="C6" s="113"/>
      <c r="D6" s="114"/>
      <c r="E6" s="114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>
        <v>19572</v>
      </c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>
        <v>229075</v>
      </c>
      <c r="BK6" s="91"/>
      <c r="BL6" s="91"/>
      <c r="BM6" s="91"/>
      <c r="BN6" s="91"/>
      <c r="BO6" s="91"/>
      <c r="BP6" s="88"/>
      <c r="BQ6" s="89">
        <f t="shared" si="0"/>
        <v>248647</v>
      </c>
      <c r="BR6" s="92">
        <f>E72</f>
        <v>4583</v>
      </c>
      <c r="BS6" s="91">
        <f>BQ6</f>
        <v>248647</v>
      </c>
    </row>
    <row r="7" spans="1:72" ht="17.25" customHeight="1">
      <c r="A7" s="90">
        <v>128</v>
      </c>
      <c r="B7" s="208">
        <v>128</v>
      </c>
      <c r="C7" s="113"/>
      <c r="D7" s="114">
        <v>293844000000</v>
      </c>
      <c r="E7" s="114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122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88"/>
      <c r="BQ7" s="89">
        <f t="shared" si="0"/>
        <v>293844000000</v>
      </c>
      <c r="BR7" s="92">
        <f>F72</f>
        <v>261584000000</v>
      </c>
      <c r="BS7" s="91">
        <f aca="true" t="shared" si="2" ref="BS7:BS71">BQ7</f>
        <v>293844000000</v>
      </c>
      <c r="BT7" s="83">
        <f t="shared" si="1"/>
        <v>-32260000000</v>
      </c>
    </row>
    <row r="8" spans="1:72" ht="17.25" customHeight="1">
      <c r="A8" s="90">
        <v>131</v>
      </c>
      <c r="B8" s="208">
        <v>131</v>
      </c>
      <c r="C8" s="113">
        <f>13786370862+532201000</f>
        <v>14318571862</v>
      </c>
      <c r="D8" s="114">
        <f>97010504921-71115550</f>
        <v>96939389371</v>
      </c>
      <c r="E8" s="114"/>
      <c r="F8" s="91"/>
      <c r="G8" s="91"/>
      <c r="H8" s="91"/>
      <c r="I8" s="91"/>
      <c r="J8" s="251">
        <f>37998000</f>
        <v>37998000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>
        <v>1215060113</v>
      </c>
      <c r="AB8" s="346">
        <f>7868273+756840000+185567534+138703090</f>
        <v>1088978897</v>
      </c>
      <c r="AC8" s="91"/>
      <c r="AD8" s="91"/>
      <c r="AE8" s="91"/>
      <c r="AF8" s="91"/>
      <c r="AG8" s="91"/>
      <c r="AH8" s="91">
        <v>66654432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>
        <v>78682727</v>
      </c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>
        <v>129278666</v>
      </c>
      <c r="BO8" s="91"/>
      <c r="BP8" s="88"/>
      <c r="BQ8" s="89">
        <f t="shared" si="0"/>
        <v>113874614068</v>
      </c>
      <c r="BR8" s="92">
        <f>G72</f>
        <v>118143443491</v>
      </c>
      <c r="BS8" s="91">
        <f t="shared" si="2"/>
        <v>113874614068</v>
      </c>
      <c r="BT8" s="83">
        <f t="shared" si="1"/>
        <v>4268829423</v>
      </c>
    </row>
    <row r="9" spans="1:72" ht="17.25" customHeight="1">
      <c r="A9" s="90">
        <v>133</v>
      </c>
      <c r="B9" s="208">
        <v>133</v>
      </c>
      <c r="C9" s="113"/>
      <c r="D9" s="114"/>
      <c r="E9" s="114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261">
        <f>H72-70613356-7926351</f>
        <v>6721086366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261">
        <v>7926351</v>
      </c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88"/>
      <c r="BQ9" s="89">
        <f t="shared" si="0"/>
        <v>6729012717</v>
      </c>
      <c r="BR9" s="92">
        <f>H72</f>
        <v>6799626073</v>
      </c>
      <c r="BS9" s="91">
        <f t="shared" si="2"/>
        <v>6729012717</v>
      </c>
      <c r="BT9" s="83">
        <f t="shared" si="1"/>
        <v>70613356</v>
      </c>
    </row>
    <row r="10" spans="1:72" ht="17.25" customHeight="1">
      <c r="A10" s="90">
        <v>1388</v>
      </c>
      <c r="B10" s="208">
        <v>1388</v>
      </c>
      <c r="C10" s="113">
        <v>866900000</v>
      </c>
      <c r="D10" s="114"/>
      <c r="E10" s="114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26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88"/>
      <c r="BQ10" s="89">
        <f t="shared" si="0"/>
        <v>866900000</v>
      </c>
      <c r="BR10" s="92">
        <f>I72</f>
        <v>1119896206</v>
      </c>
      <c r="BS10" s="91">
        <f t="shared" si="2"/>
        <v>866900000</v>
      </c>
      <c r="BT10" s="83">
        <f t="shared" si="1"/>
        <v>252996206</v>
      </c>
    </row>
    <row r="11" spans="1:71" ht="17.25" customHeight="1">
      <c r="A11" s="90">
        <v>139</v>
      </c>
      <c r="B11" s="208">
        <v>139</v>
      </c>
      <c r="C11" s="113"/>
      <c r="D11" s="114"/>
      <c r="E11" s="114"/>
      <c r="F11" s="91"/>
      <c r="G11" s="261">
        <v>37998000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251">
        <v>37998000</v>
      </c>
      <c r="BK11" s="91"/>
      <c r="BL11" s="91"/>
      <c r="BM11" s="91"/>
      <c r="BN11" s="91"/>
      <c r="BO11" s="91"/>
      <c r="BP11" s="88"/>
      <c r="BQ11" s="89">
        <f t="shared" si="0"/>
        <v>75996000</v>
      </c>
      <c r="BR11" s="92">
        <f>J72</f>
        <v>75996000</v>
      </c>
      <c r="BS11" s="91">
        <f t="shared" si="2"/>
        <v>75996000</v>
      </c>
    </row>
    <row r="12" spans="1:72" ht="17.25" customHeight="1">
      <c r="A12" s="90">
        <v>141</v>
      </c>
      <c r="B12" s="208">
        <v>141</v>
      </c>
      <c r="C12" s="113">
        <v>1136152000</v>
      </c>
      <c r="D12" s="114"/>
      <c r="E12" s="11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251">
        <v>97000000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>
        <v>95000000</v>
      </c>
      <c r="BO12" s="91"/>
      <c r="BP12" s="88"/>
      <c r="BQ12" s="89">
        <f t="shared" si="0"/>
        <v>1328152000</v>
      </c>
      <c r="BR12" s="92">
        <f>K72</f>
        <v>1818152000</v>
      </c>
      <c r="BS12" s="91">
        <f t="shared" si="2"/>
        <v>1328152000</v>
      </c>
      <c r="BT12" s="83">
        <f t="shared" si="1"/>
        <v>490000000</v>
      </c>
    </row>
    <row r="13" spans="1:72" ht="17.25" customHeight="1">
      <c r="A13" s="90">
        <v>142</v>
      </c>
      <c r="B13" s="208">
        <v>142</v>
      </c>
      <c r="C13" s="113"/>
      <c r="D13" s="114"/>
      <c r="E13" s="11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88"/>
      <c r="BQ13" s="89">
        <f t="shared" si="0"/>
        <v>0</v>
      </c>
      <c r="BR13" s="92">
        <f>L72</f>
        <v>552464964</v>
      </c>
      <c r="BS13" s="91">
        <f t="shared" si="2"/>
        <v>0</v>
      </c>
      <c r="BT13" s="83">
        <f t="shared" si="1"/>
        <v>552464964</v>
      </c>
    </row>
    <row r="14" spans="1:72" ht="17.25" customHeight="1">
      <c r="A14" s="90">
        <v>144</v>
      </c>
      <c r="B14" s="208">
        <v>144</v>
      </c>
      <c r="C14" s="113">
        <v>15210000</v>
      </c>
      <c r="D14" s="114"/>
      <c r="E14" s="114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88"/>
      <c r="BQ14" s="89">
        <f t="shared" si="0"/>
        <v>15210000</v>
      </c>
      <c r="BR14" s="92">
        <f>M72</f>
        <v>10100000</v>
      </c>
      <c r="BS14" s="91">
        <f t="shared" si="2"/>
        <v>15210000</v>
      </c>
      <c r="BT14" s="83">
        <f t="shared" si="1"/>
        <v>-5110000</v>
      </c>
    </row>
    <row r="15" spans="1:72" ht="17.25" customHeight="1">
      <c r="A15" s="90">
        <v>152</v>
      </c>
      <c r="B15" s="208">
        <v>152</v>
      </c>
      <c r="C15" s="113"/>
      <c r="D15" s="114"/>
      <c r="E15" s="114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>
        <f>16181447052</f>
        <v>16181447052</v>
      </c>
      <c r="BG15" s="91">
        <v>751281345</v>
      </c>
      <c r="BH15" s="91">
        <v>1291112767</v>
      </c>
      <c r="BI15" s="91"/>
      <c r="BJ15" s="91"/>
      <c r="BK15" s="91"/>
      <c r="BL15" s="91"/>
      <c r="BM15" s="91"/>
      <c r="BN15" s="91"/>
      <c r="BO15" s="91"/>
      <c r="BP15" s="88"/>
      <c r="BQ15" s="89">
        <f t="shared" si="0"/>
        <v>18223841164</v>
      </c>
      <c r="BR15" s="92">
        <f>N72</f>
        <v>17682883524</v>
      </c>
      <c r="BS15" s="91">
        <f t="shared" si="2"/>
        <v>18223841164</v>
      </c>
      <c r="BT15" s="83">
        <f t="shared" si="1"/>
        <v>-540957640</v>
      </c>
    </row>
    <row r="16" spans="1:72" ht="17.25" customHeight="1">
      <c r="A16" s="90">
        <v>153</v>
      </c>
      <c r="B16" s="208">
        <v>153</v>
      </c>
      <c r="C16" s="113"/>
      <c r="D16" s="114"/>
      <c r="E16" s="114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>
        <v>74883908</v>
      </c>
      <c r="BG16" s="91">
        <v>26611695</v>
      </c>
      <c r="BH16" s="91">
        <v>4368636</v>
      </c>
      <c r="BI16" s="91">
        <v>79900688</v>
      </c>
      <c r="BJ16" s="91">
        <v>134714903</v>
      </c>
      <c r="BK16" s="91"/>
      <c r="BL16" s="91"/>
      <c r="BM16" s="91"/>
      <c r="BN16" s="91"/>
      <c r="BO16" s="91"/>
      <c r="BP16" s="88"/>
      <c r="BQ16" s="89">
        <f t="shared" si="0"/>
        <v>320479830</v>
      </c>
      <c r="BR16" s="92">
        <f>O72</f>
        <v>237748634</v>
      </c>
      <c r="BS16" s="91">
        <f t="shared" si="2"/>
        <v>320479830</v>
      </c>
      <c r="BT16" s="83">
        <f t="shared" si="1"/>
        <v>-82731196</v>
      </c>
    </row>
    <row r="17" spans="1:72" ht="17.25" customHeight="1">
      <c r="A17" s="90">
        <v>154</v>
      </c>
      <c r="B17" s="208">
        <v>154</v>
      </c>
      <c r="C17" s="113"/>
      <c r="D17" s="114"/>
      <c r="E17" s="114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>
        <f>25396539071</f>
        <v>25396539071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>
        <f>38199117139+5472259302+146212220+50175400+3409050</f>
        <v>43871173111</v>
      </c>
      <c r="BL17" s="91"/>
      <c r="BM17" s="91"/>
      <c r="BN17" s="91"/>
      <c r="BO17" s="91"/>
      <c r="BP17" s="88"/>
      <c r="BQ17" s="89">
        <f t="shared" si="0"/>
        <v>69267712182</v>
      </c>
      <c r="BR17" s="92">
        <f>P72</f>
        <v>25580648164</v>
      </c>
      <c r="BS17" s="91">
        <f>BQ17</f>
        <v>69267712182</v>
      </c>
      <c r="BT17" s="83">
        <f t="shared" si="1"/>
        <v>-43687064018</v>
      </c>
    </row>
    <row r="18" spans="1:72" ht="17.25" customHeight="1">
      <c r="A18" s="90">
        <v>155</v>
      </c>
      <c r="B18" s="208">
        <v>155</v>
      </c>
      <c r="C18" s="113"/>
      <c r="D18" s="114"/>
      <c r="E18" s="114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>
        <f>20984423554+1819181395+2741036301</f>
        <v>25544641250</v>
      </c>
      <c r="BL18" s="122"/>
      <c r="BM18" s="91"/>
      <c r="BN18" s="91"/>
      <c r="BO18" s="91"/>
      <c r="BP18" s="88"/>
      <c r="BQ18" s="89">
        <f t="shared" si="0"/>
        <v>25544641250</v>
      </c>
      <c r="BR18" s="92">
        <f>Q72</f>
        <v>25396539071</v>
      </c>
      <c r="BS18" s="91">
        <f t="shared" si="2"/>
        <v>25544641250</v>
      </c>
      <c r="BT18" s="83">
        <f t="shared" si="1"/>
        <v>-148102179</v>
      </c>
    </row>
    <row r="19" spans="1:72" ht="17.25" customHeight="1">
      <c r="A19" s="90">
        <v>156</v>
      </c>
      <c r="B19" s="208">
        <v>156</v>
      </c>
      <c r="C19" s="113"/>
      <c r="D19" s="114"/>
      <c r="E19" s="114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>
        <v>533656667</v>
      </c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251">
        <v>2337211706</v>
      </c>
      <c r="BL19" s="91"/>
      <c r="BM19" s="91"/>
      <c r="BN19" s="91"/>
      <c r="BO19" s="91"/>
      <c r="BP19" s="88"/>
      <c r="BQ19" s="89">
        <f t="shared" si="0"/>
        <v>2870868373</v>
      </c>
      <c r="BR19" s="92">
        <f>R72</f>
        <v>614770473</v>
      </c>
      <c r="BS19" s="91">
        <f t="shared" si="2"/>
        <v>2870868373</v>
      </c>
      <c r="BT19" s="83">
        <f t="shared" si="1"/>
        <v>-2256097900</v>
      </c>
    </row>
    <row r="20" spans="1:72" ht="17.25" customHeight="1">
      <c r="A20" s="90">
        <v>159</v>
      </c>
      <c r="B20" s="208">
        <v>159</v>
      </c>
      <c r="C20" s="113"/>
      <c r="D20" s="114"/>
      <c r="E20" s="114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88"/>
      <c r="BQ20" s="89">
        <f t="shared" si="0"/>
        <v>0</v>
      </c>
      <c r="BR20" s="92">
        <f>S72</f>
        <v>0</v>
      </c>
      <c r="BS20" s="91">
        <f t="shared" si="2"/>
        <v>0</v>
      </c>
      <c r="BT20" s="83">
        <f t="shared" si="1"/>
        <v>0</v>
      </c>
    </row>
    <row r="21" spans="1:72" ht="17.25" customHeight="1">
      <c r="A21" s="90">
        <v>211</v>
      </c>
      <c r="B21" s="208">
        <v>211</v>
      </c>
      <c r="C21" s="113"/>
      <c r="D21" s="114"/>
      <c r="E21" s="114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367">
        <f>281494322</f>
        <v>281494322</v>
      </c>
      <c r="V21" s="91"/>
      <c r="W21" s="91"/>
      <c r="X21" s="91"/>
      <c r="Y21" s="91"/>
      <c r="Z21" s="91"/>
      <c r="AA21" s="122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367">
        <v>6755863721</v>
      </c>
      <c r="BO21" s="91"/>
      <c r="BP21" s="88"/>
      <c r="BQ21" s="89">
        <f t="shared" si="0"/>
        <v>7037358043</v>
      </c>
      <c r="BR21" s="92">
        <f>T72</f>
        <v>2140263030</v>
      </c>
      <c r="BS21" s="91">
        <f t="shared" si="2"/>
        <v>7037358043</v>
      </c>
      <c r="BT21" s="83">
        <f t="shared" si="1"/>
        <v>-4897095013</v>
      </c>
    </row>
    <row r="22" spans="1:78" ht="17.25" customHeight="1">
      <c r="A22" s="90">
        <v>214</v>
      </c>
      <c r="B22" s="208">
        <v>214</v>
      </c>
      <c r="C22" s="113"/>
      <c r="D22" s="114"/>
      <c r="E22" s="114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360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>
        <v>264123418</v>
      </c>
      <c r="BG22" s="91">
        <v>24910163</v>
      </c>
      <c r="BH22" s="91">
        <v>40693789</v>
      </c>
      <c r="BI22" s="91">
        <v>899751933</v>
      </c>
      <c r="BJ22" s="261">
        <f>461727742+7347671-30987181</f>
        <v>438088232</v>
      </c>
      <c r="BK22" s="91"/>
      <c r="BL22" s="91"/>
      <c r="BM22" s="91"/>
      <c r="BN22" s="91"/>
      <c r="BO22" s="91"/>
      <c r="BP22" s="88"/>
      <c r="BQ22" s="89">
        <f t="shared" si="0"/>
        <v>1667567535</v>
      </c>
      <c r="BR22" s="92">
        <f>U72</f>
        <v>281494322</v>
      </c>
      <c r="BS22" s="91">
        <f t="shared" si="2"/>
        <v>1667567535</v>
      </c>
      <c r="BT22" s="83">
        <f t="shared" si="1"/>
        <v>-1386073213</v>
      </c>
      <c r="BZ22" s="83">
        <f>BX22+BY22</f>
        <v>0</v>
      </c>
    </row>
    <row r="23" spans="1:71" ht="17.25" customHeight="1">
      <c r="A23" s="90">
        <v>221</v>
      </c>
      <c r="B23" s="208">
        <v>221</v>
      </c>
      <c r="C23" s="113"/>
      <c r="D23" s="114">
        <v>3125000000</v>
      </c>
      <c r="E23" s="114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88"/>
      <c r="BQ23" s="89">
        <f t="shared" si="0"/>
        <v>3125000000</v>
      </c>
      <c r="BR23" s="92">
        <f>V72</f>
        <v>0</v>
      </c>
      <c r="BS23" s="91">
        <f>BQ23</f>
        <v>3125000000</v>
      </c>
    </row>
    <row r="24" spans="1:72" ht="17.25" customHeight="1">
      <c r="A24" s="90">
        <v>222</v>
      </c>
      <c r="B24" s="208">
        <v>222</v>
      </c>
      <c r="C24" s="113"/>
      <c r="D24" s="114"/>
      <c r="E24" s="114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88"/>
      <c r="BQ24" s="89">
        <f t="shared" si="0"/>
        <v>0</v>
      </c>
      <c r="BR24" s="92">
        <f>W72</f>
        <v>0</v>
      </c>
      <c r="BS24" s="91">
        <f t="shared" si="2"/>
        <v>0</v>
      </c>
      <c r="BT24" s="83">
        <f t="shared" si="1"/>
        <v>0</v>
      </c>
    </row>
    <row r="25" spans="1:72" ht="17.25" customHeight="1">
      <c r="A25" s="90">
        <v>241</v>
      </c>
      <c r="B25" s="208">
        <v>241</v>
      </c>
      <c r="C25" s="113"/>
      <c r="D25" s="114"/>
      <c r="E25" s="11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88"/>
      <c r="BQ25" s="89">
        <f t="shared" si="0"/>
        <v>0</v>
      </c>
      <c r="BR25" s="92">
        <f>X72</f>
        <v>0</v>
      </c>
      <c r="BS25" s="91">
        <f t="shared" si="2"/>
        <v>0</v>
      </c>
      <c r="BT25" s="83">
        <f t="shared" si="1"/>
        <v>0</v>
      </c>
    </row>
    <row r="26" spans="1:72" ht="17.25" customHeight="1">
      <c r="A26" s="90">
        <v>3352</v>
      </c>
      <c r="B26" s="208">
        <v>3352</v>
      </c>
      <c r="C26" s="113"/>
      <c r="D26" s="114"/>
      <c r="E26" s="114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122"/>
      <c r="BI26" s="91"/>
      <c r="BJ26" s="91"/>
      <c r="BK26" s="91"/>
      <c r="BL26" s="91"/>
      <c r="BM26" s="91"/>
      <c r="BN26" s="91"/>
      <c r="BO26" s="91"/>
      <c r="BP26" s="88"/>
      <c r="BQ26" s="89">
        <f t="shared" si="0"/>
        <v>0</v>
      </c>
      <c r="BR26" s="92">
        <f>Y72</f>
        <v>4725192000</v>
      </c>
      <c r="BS26" s="91">
        <f>BQ26</f>
        <v>0</v>
      </c>
      <c r="BT26" s="83">
        <f t="shared" si="1"/>
        <v>4725192000</v>
      </c>
    </row>
    <row r="27" spans="1:72" ht="17.25" customHeight="1">
      <c r="A27" s="90">
        <v>311</v>
      </c>
      <c r="B27" s="208">
        <v>311</v>
      </c>
      <c r="C27" s="113">
        <f>2000000000+1800000000</f>
        <v>3800000000</v>
      </c>
      <c r="D27" s="114"/>
      <c r="E27" s="114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88"/>
      <c r="BQ27" s="89">
        <f t="shared" si="0"/>
        <v>3800000000</v>
      </c>
      <c r="BR27" s="92">
        <f>Z72</f>
        <v>15000000000</v>
      </c>
      <c r="BS27" s="91">
        <f t="shared" si="2"/>
        <v>3800000000</v>
      </c>
      <c r="BT27" s="83">
        <f t="shared" si="1"/>
        <v>11200000000</v>
      </c>
    </row>
    <row r="28" spans="1:72" ht="17.25" customHeight="1">
      <c r="A28" s="90">
        <v>331</v>
      </c>
      <c r="B28" s="208">
        <v>331</v>
      </c>
      <c r="C28" s="113">
        <v>10000000</v>
      </c>
      <c r="D28" s="114">
        <v>1564929000</v>
      </c>
      <c r="E28" s="114"/>
      <c r="F28" s="91"/>
      <c r="G28" s="91"/>
      <c r="H28" s="261">
        <f>4837789816</f>
        <v>4837789816</v>
      </c>
      <c r="I28" s="91"/>
      <c r="J28" s="91"/>
      <c r="K28" s="91"/>
      <c r="L28" s="91"/>
      <c r="M28" s="91"/>
      <c r="N28" s="91">
        <f>17071420619+611462905</f>
        <v>17682883524</v>
      </c>
      <c r="O28" s="91">
        <v>237748634</v>
      </c>
      <c r="P28" s="91">
        <v>184109093</v>
      </c>
      <c r="Q28" s="91"/>
      <c r="R28" s="91">
        <f>614770473</f>
        <v>614770473</v>
      </c>
      <c r="S28" s="91"/>
      <c r="T28" s="91">
        <v>618109091</v>
      </c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>
        <v>50864095125</v>
      </c>
      <c r="BL28" s="91"/>
      <c r="BM28" s="91"/>
      <c r="BN28" s="91"/>
      <c r="BO28" s="91"/>
      <c r="BP28" s="88"/>
      <c r="BQ28" s="89">
        <f t="shared" si="0"/>
        <v>76614434756</v>
      </c>
      <c r="BR28" s="92">
        <f>AA72</f>
        <v>86004009054</v>
      </c>
      <c r="BS28" s="91">
        <f t="shared" si="2"/>
        <v>76614434756</v>
      </c>
      <c r="BT28" s="83">
        <f t="shared" si="1"/>
        <v>9389574298</v>
      </c>
    </row>
    <row r="29" spans="1:72" ht="17.25" customHeight="1">
      <c r="A29" s="90">
        <v>3331</v>
      </c>
      <c r="B29" s="208">
        <v>3331</v>
      </c>
      <c r="C29" s="113"/>
      <c r="D29" s="114"/>
      <c r="E29" s="114"/>
      <c r="F29" s="91"/>
      <c r="G29" s="91">
        <f>10581307003</f>
        <v>10581307003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26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261">
        <v>110371931</v>
      </c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88"/>
      <c r="BQ29" s="89">
        <f t="shared" si="0"/>
        <v>10691678934</v>
      </c>
      <c r="BR29" s="92">
        <f>AB72</f>
        <v>10895486602</v>
      </c>
      <c r="BS29" s="91">
        <f t="shared" si="2"/>
        <v>10691678934</v>
      </c>
      <c r="BT29" s="83">
        <f t="shared" si="1"/>
        <v>203807668</v>
      </c>
    </row>
    <row r="30" spans="1:72" ht="17.25" customHeight="1">
      <c r="A30" s="90">
        <v>3334</v>
      </c>
      <c r="B30" s="208">
        <v>3334</v>
      </c>
      <c r="C30" s="113"/>
      <c r="D30" s="114"/>
      <c r="E30" s="11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367">
        <f>238231406+59656582+143761342</f>
        <v>441649330</v>
      </c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88"/>
      <c r="BQ30" s="89">
        <f t="shared" si="0"/>
        <v>441649330</v>
      </c>
      <c r="BR30" s="92">
        <f>AC72</f>
        <v>471686448</v>
      </c>
      <c r="BS30" s="91">
        <f>BQ30</f>
        <v>441649330</v>
      </c>
      <c r="BT30" s="83">
        <f t="shared" si="1"/>
        <v>30037118</v>
      </c>
    </row>
    <row r="31" spans="1:72" ht="17.25" customHeight="1">
      <c r="A31" s="90">
        <v>3335</v>
      </c>
      <c r="B31" s="208">
        <v>3335</v>
      </c>
      <c r="C31" s="113">
        <f>31671400+142080422+128505</f>
        <v>173880327</v>
      </c>
      <c r="D31" s="114"/>
      <c r="E31" s="114"/>
      <c r="F31" s="91"/>
      <c r="G31" s="91"/>
      <c r="H31" s="91"/>
      <c r="I31" s="261">
        <f>20090950+51230000+7380256</f>
        <v>78701206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>
        <v>14791000</v>
      </c>
      <c r="AB31" s="91"/>
      <c r="AC31" s="91"/>
      <c r="AD31" s="91"/>
      <c r="AE31" s="91"/>
      <c r="AF31" s="91"/>
      <c r="AG31" s="91">
        <f>1751900+32200+8650000</f>
        <v>10434100</v>
      </c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88"/>
      <c r="BQ31" s="89">
        <f t="shared" si="0"/>
        <v>277806633</v>
      </c>
      <c r="BR31" s="92">
        <f>AD72</f>
        <v>187744271</v>
      </c>
      <c r="BS31" s="91">
        <f t="shared" si="2"/>
        <v>277806633</v>
      </c>
      <c r="BT31" s="83">
        <f t="shared" si="1"/>
        <v>-90062362</v>
      </c>
    </row>
    <row r="32" spans="1:71" ht="17.25" customHeight="1">
      <c r="A32" s="90">
        <v>3336</v>
      </c>
      <c r="B32" s="208">
        <v>3336</v>
      </c>
      <c r="C32" s="113"/>
      <c r="D32" s="114"/>
      <c r="E32" s="114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>
        <v>922732400</v>
      </c>
      <c r="BI32" s="91"/>
      <c r="BJ32" s="91"/>
      <c r="BK32" s="91"/>
      <c r="BL32" s="91"/>
      <c r="BM32" s="91"/>
      <c r="BN32" s="91"/>
      <c r="BO32" s="91"/>
      <c r="BP32" s="88"/>
      <c r="BQ32" s="89">
        <f t="shared" si="0"/>
        <v>922732400</v>
      </c>
      <c r="BR32" s="92">
        <f>AE72</f>
        <v>829864000</v>
      </c>
      <c r="BS32" s="91">
        <f t="shared" si="2"/>
        <v>922732400</v>
      </c>
    </row>
    <row r="33" spans="1:72" ht="17.25" customHeight="1">
      <c r="A33" s="90">
        <v>3337</v>
      </c>
      <c r="B33" s="208">
        <v>3337</v>
      </c>
      <c r="C33" s="113"/>
      <c r="D33" s="114">
        <v>6817842</v>
      </c>
      <c r="E33" s="114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>
        <v>759388600</v>
      </c>
      <c r="BJ33" s="91">
        <v>772526592</v>
      </c>
      <c r="BK33" s="91"/>
      <c r="BL33" s="91"/>
      <c r="BM33" s="91"/>
      <c r="BN33" s="91"/>
      <c r="BO33" s="91"/>
      <c r="BP33" s="88"/>
      <c r="BQ33" s="89">
        <f t="shared" si="0"/>
        <v>1538733034</v>
      </c>
      <c r="BR33" s="92">
        <f>AF72</f>
        <v>1538733034</v>
      </c>
      <c r="BS33" s="91">
        <f t="shared" si="2"/>
        <v>1538733034</v>
      </c>
      <c r="BT33" s="83">
        <f t="shared" si="1"/>
        <v>0</v>
      </c>
    </row>
    <row r="34" spans="1:72" ht="17.25" customHeight="1">
      <c r="A34" s="90">
        <v>334</v>
      </c>
      <c r="B34" s="208">
        <v>334</v>
      </c>
      <c r="C34" s="113">
        <v>500000</v>
      </c>
      <c r="D34" s="115"/>
      <c r="E34" s="114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>
        <v>3356673500</v>
      </c>
      <c r="BG34" s="91">
        <v>635920713</v>
      </c>
      <c r="BH34" s="91">
        <v>366087000</v>
      </c>
      <c r="BI34" s="251">
        <v>1026648000</v>
      </c>
      <c r="BJ34" s="251">
        <f>4985511636+3918460000-16898100+8682200</f>
        <v>8895755736</v>
      </c>
      <c r="BK34" s="91"/>
      <c r="BL34" s="91"/>
      <c r="BM34" s="91"/>
      <c r="BN34" s="91"/>
      <c r="BO34" s="91"/>
      <c r="BP34" s="88"/>
      <c r="BQ34" s="89">
        <f t="shared" si="0"/>
        <v>14281584949</v>
      </c>
      <c r="BR34" s="92">
        <f>AG72</f>
        <v>14281584949</v>
      </c>
      <c r="BS34" s="91">
        <f t="shared" si="2"/>
        <v>14281584949</v>
      </c>
      <c r="BT34" s="83">
        <f t="shared" si="1"/>
        <v>0</v>
      </c>
    </row>
    <row r="35" spans="1:71" ht="17.25" customHeight="1">
      <c r="A35" s="90">
        <v>344</v>
      </c>
      <c r="B35" s="208">
        <v>344</v>
      </c>
      <c r="C35" s="113"/>
      <c r="D35" s="259">
        <v>71115550</v>
      </c>
      <c r="E35" s="25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251"/>
      <c r="BJ35" s="251"/>
      <c r="BK35" s="91"/>
      <c r="BL35" s="91"/>
      <c r="BM35" s="91"/>
      <c r="BN35" s="91"/>
      <c r="BO35" s="91"/>
      <c r="BP35" s="88"/>
      <c r="BQ35" s="89">
        <f t="shared" si="0"/>
        <v>71115550</v>
      </c>
      <c r="BR35" s="92">
        <f>AH72</f>
        <v>363300384</v>
      </c>
      <c r="BS35" s="91">
        <f t="shared" si="2"/>
        <v>71115550</v>
      </c>
    </row>
    <row r="36" spans="1:72" ht="17.25" customHeight="1">
      <c r="A36" s="90">
        <v>3382</v>
      </c>
      <c r="B36" s="208">
        <v>3382</v>
      </c>
      <c r="C36" s="113"/>
      <c r="E36" s="8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>
        <v>64619476</v>
      </c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>
        <v>50520249</v>
      </c>
      <c r="BG36" s="91">
        <v>11616868</v>
      </c>
      <c r="BH36" s="91">
        <v>5198994</v>
      </c>
      <c r="BI36" s="91">
        <v>11216044</v>
      </c>
      <c r="BJ36" s="91">
        <f>62228533+2824112</f>
        <v>65052645</v>
      </c>
      <c r="BK36" s="91"/>
      <c r="BL36" s="91"/>
      <c r="BM36" s="91"/>
      <c r="BN36" s="91"/>
      <c r="BO36" s="91"/>
      <c r="BP36" s="88"/>
      <c r="BQ36" s="89">
        <f t="shared" si="0"/>
        <v>208224276</v>
      </c>
      <c r="BR36" s="92">
        <f>AI72</f>
        <v>208224276</v>
      </c>
      <c r="BS36" s="91">
        <f t="shared" si="2"/>
        <v>208224276</v>
      </c>
      <c r="BT36" s="83">
        <f t="shared" si="1"/>
        <v>0</v>
      </c>
    </row>
    <row r="37" spans="1:72" ht="17.25" customHeight="1">
      <c r="A37" s="90">
        <v>3383</v>
      </c>
      <c r="B37" s="208">
        <v>3383</v>
      </c>
      <c r="C37" s="113">
        <v>183555750</v>
      </c>
      <c r="D37" s="114">
        <v>57605024</v>
      </c>
      <c r="E37" s="114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>
        <v>417386334</v>
      </c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>
        <v>429422119</v>
      </c>
      <c r="BG37" s="91">
        <v>98743378</v>
      </c>
      <c r="BH37" s="91">
        <v>44191447</v>
      </c>
      <c r="BI37" s="91">
        <v>95336373</v>
      </c>
      <c r="BJ37" s="91">
        <v>581827940</v>
      </c>
      <c r="BK37" s="91"/>
      <c r="BL37" s="91"/>
      <c r="BM37" s="91"/>
      <c r="BN37" s="91"/>
      <c r="BO37" s="91"/>
      <c r="BP37" s="88"/>
      <c r="BQ37" s="89">
        <f t="shared" si="0"/>
        <v>1908068365</v>
      </c>
      <c r="BR37" s="92">
        <f>AJ72</f>
        <v>1864347012</v>
      </c>
      <c r="BS37" s="91">
        <f t="shared" si="2"/>
        <v>1908068365</v>
      </c>
      <c r="BT37" s="83">
        <f t="shared" si="1"/>
        <v>-43721353</v>
      </c>
    </row>
    <row r="38" spans="1:72" ht="17.25" customHeight="1">
      <c r="A38" s="90">
        <v>3384</v>
      </c>
      <c r="B38" s="208">
        <v>3384</v>
      </c>
      <c r="C38" s="113">
        <v>18884000</v>
      </c>
      <c r="D38" s="115"/>
      <c r="E38" s="115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>
        <v>85091714</v>
      </c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1">
        <v>75780374</v>
      </c>
      <c r="BG38" s="91">
        <v>17425302</v>
      </c>
      <c r="BH38" s="91">
        <v>7798491</v>
      </c>
      <c r="BI38" s="91">
        <v>16824066</v>
      </c>
      <c r="BJ38" s="91">
        <v>112157751</v>
      </c>
      <c r="BK38" s="91"/>
      <c r="BL38" s="93"/>
      <c r="BM38" s="93"/>
      <c r="BN38" s="93"/>
      <c r="BO38" s="93"/>
      <c r="BP38" s="94"/>
      <c r="BQ38" s="89">
        <f t="shared" si="0"/>
        <v>333961698</v>
      </c>
      <c r="BR38" s="92">
        <f>AK72</f>
        <v>333961698</v>
      </c>
      <c r="BS38" s="91">
        <f t="shared" si="2"/>
        <v>333961698</v>
      </c>
      <c r="BT38" s="83">
        <f t="shared" si="1"/>
        <v>0</v>
      </c>
    </row>
    <row r="39" spans="1:71" ht="17.25" customHeight="1">
      <c r="A39" s="90">
        <v>3386</v>
      </c>
      <c r="B39" s="208">
        <v>3386</v>
      </c>
      <c r="C39" s="113"/>
      <c r="D39" s="115"/>
      <c r="E39" s="115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>
        <v>296645952</v>
      </c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4"/>
      <c r="BQ39" s="89">
        <f t="shared" si="0"/>
        <v>296645952</v>
      </c>
      <c r="BR39" s="92">
        <f>AL72</f>
        <v>0</v>
      </c>
      <c r="BS39" s="91">
        <f t="shared" si="2"/>
        <v>296645952</v>
      </c>
    </row>
    <row r="40" spans="1:72" ht="17.25" customHeight="1">
      <c r="A40" s="90">
        <v>3387</v>
      </c>
      <c r="B40" s="208">
        <v>3387</v>
      </c>
      <c r="C40" s="113"/>
      <c r="D40" s="115"/>
      <c r="E40" s="115"/>
      <c r="F40" s="93"/>
      <c r="G40" s="93">
        <v>3869812007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4"/>
      <c r="BQ40" s="89">
        <f t="shared" si="0"/>
        <v>3869812007</v>
      </c>
      <c r="BR40" s="95">
        <f>AM72</f>
        <v>51651485916</v>
      </c>
      <c r="BS40" s="91">
        <f>BQ40</f>
        <v>3869812007</v>
      </c>
      <c r="BT40" s="83">
        <f t="shared" si="1"/>
        <v>47781673909</v>
      </c>
    </row>
    <row r="41" spans="1:71" ht="17.25" customHeight="1">
      <c r="A41" s="90">
        <v>3388</v>
      </c>
      <c r="B41" s="208">
        <v>3388</v>
      </c>
      <c r="C41" s="113">
        <v>2000000000</v>
      </c>
      <c r="D41" s="115">
        <v>5016897471</v>
      </c>
      <c r="E41" s="115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1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4"/>
      <c r="BQ41" s="89">
        <f t="shared" si="0"/>
        <v>7016897471</v>
      </c>
      <c r="BR41" s="95">
        <f>AN72</f>
        <v>9280555232</v>
      </c>
      <c r="BS41" s="91">
        <f t="shared" si="2"/>
        <v>7016897471</v>
      </c>
    </row>
    <row r="42" spans="1:72" ht="17.25" customHeight="1">
      <c r="A42" s="90">
        <v>3389</v>
      </c>
      <c r="B42" s="208">
        <v>3389</v>
      </c>
      <c r="C42" s="113">
        <v>12672000</v>
      </c>
      <c r="D42" s="114"/>
      <c r="E42" s="114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>
        <v>58889476</v>
      </c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>
        <v>25260125</v>
      </c>
      <c r="BG42" s="91">
        <v>5808434</v>
      </c>
      <c r="BH42" s="91">
        <v>2599497</v>
      </c>
      <c r="BI42" s="91">
        <v>5608022</v>
      </c>
      <c r="BJ42" s="91">
        <v>32922508</v>
      </c>
      <c r="BK42" s="91"/>
      <c r="BL42" s="91"/>
      <c r="BM42" s="91"/>
      <c r="BN42" s="91"/>
      <c r="BO42" s="91"/>
      <c r="BP42" s="88"/>
      <c r="BQ42" s="89">
        <f t="shared" si="0"/>
        <v>143760062</v>
      </c>
      <c r="BR42" s="92">
        <f>AO72</f>
        <v>143760062</v>
      </c>
      <c r="BS42" s="91">
        <f t="shared" si="2"/>
        <v>143760062</v>
      </c>
      <c r="BT42" s="83">
        <f t="shared" si="1"/>
        <v>0</v>
      </c>
    </row>
    <row r="43" spans="1:71" ht="17.25" customHeight="1">
      <c r="A43" s="90">
        <v>351</v>
      </c>
      <c r="B43" s="208">
        <v>351</v>
      </c>
      <c r="C43" s="113"/>
      <c r="D43" s="114"/>
      <c r="E43" s="114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88"/>
      <c r="BQ43" s="89">
        <f t="shared" si="0"/>
        <v>0</v>
      </c>
      <c r="BR43" s="92">
        <f>AP72</f>
        <v>500220125</v>
      </c>
      <c r="BS43" s="91">
        <f t="shared" si="2"/>
        <v>0</v>
      </c>
    </row>
    <row r="44" spans="1:72" ht="17.25" customHeight="1">
      <c r="A44" s="90">
        <v>411</v>
      </c>
      <c r="B44" s="208">
        <v>411</v>
      </c>
      <c r="C44" s="113"/>
      <c r="D44" s="114"/>
      <c r="E44" s="114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360">
        <f>618109091+750454545+771699394</f>
        <v>2140263030</v>
      </c>
      <c r="AT44" s="91"/>
      <c r="AU44" s="91"/>
      <c r="AV44" s="369">
        <f>1398435969+165855669</f>
        <v>1564291638</v>
      </c>
      <c r="AW44" s="91"/>
      <c r="AX44" s="91"/>
      <c r="AY44" s="91"/>
      <c r="AZ44" s="91"/>
      <c r="BA44" s="91"/>
      <c r="BB44" s="261">
        <v>213750000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88"/>
      <c r="BQ44" s="89">
        <f t="shared" si="0"/>
        <v>3918304668</v>
      </c>
      <c r="BR44" s="92">
        <f>AQ72</f>
        <v>0</v>
      </c>
      <c r="BS44" s="91">
        <f t="shared" si="2"/>
        <v>3918304668</v>
      </c>
      <c r="BT44" s="83">
        <f t="shared" si="1"/>
        <v>-3918304668</v>
      </c>
    </row>
    <row r="45" spans="1:72" ht="17.25" customHeight="1">
      <c r="A45" s="90">
        <v>413</v>
      </c>
      <c r="B45" s="208">
        <v>413</v>
      </c>
      <c r="C45" s="113"/>
      <c r="D45" s="114"/>
      <c r="E45" s="114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>
        <v>19572</v>
      </c>
      <c r="BO45" s="91"/>
      <c r="BP45" s="88"/>
      <c r="BQ45" s="89">
        <f t="shared" si="0"/>
        <v>19572</v>
      </c>
      <c r="BR45" s="92">
        <f>AR72</f>
        <v>19572</v>
      </c>
      <c r="BS45" s="91">
        <f t="shared" si="2"/>
        <v>19572</v>
      </c>
      <c r="BT45" s="83">
        <f t="shared" si="1"/>
        <v>0</v>
      </c>
    </row>
    <row r="46" spans="1:72" ht="17.25" customHeight="1">
      <c r="A46" s="90">
        <v>414</v>
      </c>
      <c r="B46" s="208">
        <v>414</v>
      </c>
      <c r="C46" s="113"/>
      <c r="D46" s="114"/>
      <c r="E46" s="11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367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88"/>
      <c r="BQ46" s="89">
        <f t="shared" si="0"/>
        <v>0</v>
      </c>
      <c r="BR46" s="92">
        <f>AS72</f>
        <v>2140263030</v>
      </c>
      <c r="BS46" s="91">
        <f t="shared" si="2"/>
        <v>0</v>
      </c>
      <c r="BT46" s="83">
        <f t="shared" si="1"/>
        <v>2140263030</v>
      </c>
    </row>
    <row r="47" spans="1:72" ht="17.25" customHeight="1">
      <c r="A47" s="90">
        <v>415</v>
      </c>
      <c r="B47" s="208">
        <v>415</v>
      </c>
      <c r="C47" s="113"/>
      <c r="D47" s="114"/>
      <c r="E47" s="114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367">
        <f>363643341+43128403</f>
        <v>406771744</v>
      </c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88"/>
      <c r="BQ47" s="89">
        <f t="shared" si="0"/>
        <v>406771744</v>
      </c>
      <c r="BR47" s="92">
        <f>AT72</f>
        <v>0</v>
      </c>
      <c r="BS47" s="91">
        <f>BQ47</f>
        <v>406771744</v>
      </c>
      <c r="BT47" s="83">
        <f t="shared" si="1"/>
        <v>-406771744</v>
      </c>
    </row>
    <row r="48" spans="1:72" ht="17.25" customHeight="1">
      <c r="A48" s="90">
        <v>418</v>
      </c>
      <c r="B48" s="208">
        <v>418</v>
      </c>
      <c r="C48" s="113"/>
      <c r="D48" s="114"/>
      <c r="E48" s="11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122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122"/>
      <c r="BK48" s="91"/>
      <c r="BL48" s="91"/>
      <c r="BM48" s="91"/>
      <c r="BN48" s="91"/>
      <c r="BO48" s="91"/>
      <c r="BP48" s="88"/>
      <c r="BQ48" s="89">
        <f t="shared" si="0"/>
        <v>0</v>
      </c>
      <c r="BR48" s="92">
        <f>AU72</f>
        <v>222856727</v>
      </c>
      <c r="BS48" s="91">
        <f t="shared" si="2"/>
        <v>0</v>
      </c>
      <c r="BT48" s="83">
        <f t="shared" si="1"/>
        <v>222856727</v>
      </c>
    </row>
    <row r="49" spans="1:72" ht="17.25" customHeight="1">
      <c r="A49" s="90">
        <v>421</v>
      </c>
      <c r="B49" s="208">
        <v>421</v>
      </c>
      <c r="C49" s="113"/>
      <c r="D49" s="114"/>
      <c r="E49" s="11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261">
        <f>1239117314+2935707369+575045369</f>
        <v>4749870052</v>
      </c>
      <c r="BP49" s="88"/>
      <c r="BQ49" s="89">
        <f t="shared" si="0"/>
        <v>4749870052</v>
      </c>
      <c r="BR49" s="92">
        <f>AV72</f>
        <v>4749870052</v>
      </c>
      <c r="BS49" s="91">
        <f t="shared" si="2"/>
        <v>4749870052</v>
      </c>
      <c r="BT49" s="83">
        <f t="shared" si="1"/>
        <v>0</v>
      </c>
    </row>
    <row r="50" spans="1:72" ht="17.25" customHeight="1">
      <c r="A50" s="90">
        <v>431</v>
      </c>
      <c r="B50" s="208">
        <v>353</v>
      </c>
      <c r="C50" s="113"/>
      <c r="D50" s="114"/>
      <c r="E50" s="114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>
        <v>222856727</v>
      </c>
      <c r="AV50" s="369">
        <f>1850558191+23795906+2822214+219477741</f>
        <v>2096654052</v>
      </c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88"/>
      <c r="BQ50" s="89">
        <f t="shared" si="0"/>
        <v>2319510779</v>
      </c>
      <c r="BR50" s="92">
        <f>AW72</f>
        <v>3999358200</v>
      </c>
      <c r="BS50" s="91">
        <f t="shared" si="2"/>
        <v>2319510779</v>
      </c>
      <c r="BT50" s="83">
        <f t="shared" si="1"/>
        <v>1679847421</v>
      </c>
    </row>
    <row r="51" spans="1:72" ht="17.25" customHeight="1">
      <c r="A51" s="90">
        <v>441</v>
      </c>
      <c r="B51" s="208">
        <v>441</v>
      </c>
      <c r="C51" s="113"/>
      <c r="D51" s="114"/>
      <c r="E51" s="114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88"/>
      <c r="BQ51" s="89">
        <f t="shared" si="0"/>
        <v>0</v>
      </c>
      <c r="BR51" s="92">
        <f>AX72</f>
        <v>0</v>
      </c>
      <c r="BS51" s="91">
        <f t="shared" si="2"/>
        <v>0</v>
      </c>
      <c r="BT51" s="83">
        <f t="shared" si="1"/>
        <v>0</v>
      </c>
    </row>
    <row r="52" spans="1:73" ht="17.25" customHeight="1">
      <c r="A52" s="90">
        <v>511</v>
      </c>
      <c r="B52" s="208">
        <v>5111</v>
      </c>
      <c r="C52" s="113"/>
      <c r="D52" s="114"/>
      <c r="E52" s="114"/>
      <c r="F52" s="91"/>
      <c r="G52" s="91">
        <v>3274204163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88"/>
      <c r="BQ52" s="89">
        <f t="shared" si="0"/>
        <v>3274204163</v>
      </c>
      <c r="BR52" s="92">
        <f>AX73</f>
        <v>0</v>
      </c>
      <c r="BS52" s="91"/>
      <c r="BT52" s="83">
        <f t="shared" si="1"/>
        <v>0</v>
      </c>
      <c r="BU52" s="83">
        <f>SUM(BQ52:BQ54)</f>
        <v>146308086464</v>
      </c>
    </row>
    <row r="53" spans="1:72" ht="17.25" customHeight="1">
      <c r="A53" s="90"/>
      <c r="B53" s="208">
        <v>5112</v>
      </c>
      <c r="C53" s="113"/>
      <c r="D53" s="114"/>
      <c r="E53" s="114"/>
      <c r="F53" s="91"/>
      <c r="G53" s="91">
        <f>2005551054+21362882336+2488705253+56475794113</f>
        <v>82332932756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>
        <f>18672727282+5454545454+18618181835</f>
        <v>42745454571</v>
      </c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88"/>
      <c r="BQ53" s="89">
        <f t="shared" si="0"/>
        <v>125078387327</v>
      </c>
      <c r="BR53" s="260">
        <f>AY72</f>
        <v>146308086464</v>
      </c>
      <c r="BS53" s="251">
        <f>BQ52+BQ53+BQ54</f>
        <v>146308086464</v>
      </c>
      <c r="BT53" s="83">
        <f t="shared" si="1"/>
        <v>0</v>
      </c>
    </row>
    <row r="54" spans="1:72" ht="17.25" customHeight="1">
      <c r="A54" s="90"/>
      <c r="B54" s="208">
        <v>5113</v>
      </c>
      <c r="C54" s="113"/>
      <c r="D54" s="91"/>
      <c r="E54" s="91"/>
      <c r="F54" s="91"/>
      <c r="G54" s="91">
        <v>16380372719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>
        <f>1422394982+152727273</f>
        <v>1575122255</v>
      </c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88"/>
      <c r="BQ54" s="89">
        <f t="shared" si="0"/>
        <v>17955494974</v>
      </c>
      <c r="BR54" s="92"/>
      <c r="BS54" s="91"/>
      <c r="BT54" s="83">
        <f t="shared" si="1"/>
        <v>0</v>
      </c>
    </row>
    <row r="55" spans="1:72" ht="17.25" customHeight="1">
      <c r="A55" s="90">
        <v>531</v>
      </c>
      <c r="B55" s="208">
        <v>531</v>
      </c>
      <c r="C55" s="113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>
        <f>AZ72</f>
        <v>78682727</v>
      </c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88"/>
      <c r="BQ55" s="89">
        <f t="shared" si="0"/>
        <v>78682727</v>
      </c>
      <c r="BR55" s="92">
        <f>AZ72</f>
        <v>78682727</v>
      </c>
      <c r="BS55" s="91">
        <f t="shared" si="2"/>
        <v>78682727</v>
      </c>
      <c r="BT55" s="83">
        <f t="shared" si="1"/>
        <v>0</v>
      </c>
    </row>
    <row r="56" spans="1:72" ht="17.25" customHeight="1">
      <c r="A56" s="90">
        <v>532</v>
      </c>
      <c r="B56" s="208">
        <v>532</v>
      </c>
      <c r="C56" s="113"/>
      <c r="D56" s="114"/>
      <c r="E56" s="114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88"/>
      <c r="BQ56" s="89">
        <f t="shared" si="0"/>
        <v>0</v>
      </c>
      <c r="BR56" s="92">
        <f>BA72</f>
        <v>0</v>
      </c>
      <c r="BS56" s="91">
        <f t="shared" si="2"/>
        <v>0</v>
      </c>
      <c r="BT56" s="83">
        <f t="shared" si="1"/>
        <v>0</v>
      </c>
    </row>
    <row r="57" spans="1:72" ht="17.25" customHeight="1">
      <c r="A57" s="90">
        <v>515</v>
      </c>
      <c r="B57" s="208">
        <v>515</v>
      </c>
      <c r="C57" s="113"/>
      <c r="D57" s="114">
        <f>7018574032-4583+343750000</f>
        <v>7362319449</v>
      </c>
      <c r="E57" s="114">
        <v>4583</v>
      </c>
      <c r="F57" s="122">
        <v>60000000</v>
      </c>
      <c r="G57" s="91"/>
      <c r="H57" s="91"/>
      <c r="I57" s="261">
        <v>61195000</v>
      </c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367">
        <v>7330909090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88"/>
      <c r="BQ57" s="89">
        <f t="shared" si="0"/>
        <v>14814428122</v>
      </c>
      <c r="BR57" s="92">
        <f>BB72</f>
        <v>14814428122</v>
      </c>
      <c r="BS57" s="91">
        <f t="shared" si="2"/>
        <v>14814428122</v>
      </c>
      <c r="BT57" s="83">
        <f t="shared" si="1"/>
        <v>0</v>
      </c>
    </row>
    <row r="58" spans="1:71" ht="17.25" customHeight="1">
      <c r="A58" s="90">
        <v>621</v>
      </c>
      <c r="B58" s="208">
        <v>621</v>
      </c>
      <c r="C58" s="113"/>
      <c r="D58" s="114"/>
      <c r="E58" s="114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88"/>
      <c r="BQ58" s="89">
        <f t="shared" si="0"/>
        <v>0</v>
      </c>
      <c r="BR58" s="92">
        <f>BC72</f>
        <v>0</v>
      </c>
      <c r="BS58" s="91">
        <f t="shared" si="2"/>
        <v>0</v>
      </c>
    </row>
    <row r="59" spans="1:71" ht="17.25" customHeight="1">
      <c r="A59" s="90">
        <v>622</v>
      </c>
      <c r="B59" s="208">
        <v>622</v>
      </c>
      <c r="C59" s="113"/>
      <c r="D59" s="114"/>
      <c r="E59" s="114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88"/>
      <c r="BQ59" s="89">
        <f t="shared" si="0"/>
        <v>0</v>
      </c>
      <c r="BR59" s="92">
        <f>BD72</f>
        <v>0</v>
      </c>
      <c r="BS59" s="91">
        <f t="shared" si="2"/>
        <v>0</v>
      </c>
    </row>
    <row r="60" spans="1:71" ht="17.25" customHeight="1">
      <c r="A60" s="90"/>
      <c r="B60" s="208" t="s">
        <v>269</v>
      </c>
      <c r="C60" s="113"/>
      <c r="D60" s="114"/>
      <c r="E60" s="114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88"/>
      <c r="BQ60" s="89">
        <f t="shared" si="0"/>
        <v>0</v>
      </c>
      <c r="BR60" s="92">
        <f>BE72</f>
        <v>0</v>
      </c>
      <c r="BS60" s="91">
        <f t="shared" si="2"/>
        <v>0</v>
      </c>
    </row>
    <row r="61" spans="1:72" ht="17.25" customHeight="1">
      <c r="A61" s="90">
        <v>627</v>
      </c>
      <c r="B61" s="208" t="s">
        <v>1</v>
      </c>
      <c r="C61" s="113"/>
      <c r="D61" s="114"/>
      <c r="E61" s="114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>
        <f>BF72</f>
        <v>20965345337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88"/>
      <c r="BQ61" s="89">
        <f t="shared" si="0"/>
        <v>20965345337</v>
      </c>
      <c r="BR61" s="92">
        <f>BF72</f>
        <v>20965345337</v>
      </c>
      <c r="BS61" s="91">
        <f>BQ61</f>
        <v>20965345337</v>
      </c>
      <c r="BT61" s="83">
        <f t="shared" si="1"/>
        <v>0</v>
      </c>
    </row>
    <row r="62" spans="1:72" ht="17.25" customHeight="1">
      <c r="A62" s="90"/>
      <c r="B62" s="208" t="s">
        <v>2</v>
      </c>
      <c r="C62" s="113"/>
      <c r="D62" s="114"/>
      <c r="E62" s="114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>
        <f>BG72</f>
        <v>1693243035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88"/>
      <c r="BQ62" s="89">
        <f t="shared" si="0"/>
        <v>1693243035</v>
      </c>
      <c r="BR62" s="92">
        <f>BG72</f>
        <v>1693243035</v>
      </c>
      <c r="BS62" s="91">
        <f t="shared" si="2"/>
        <v>1693243035</v>
      </c>
      <c r="BT62" s="83">
        <f t="shared" si="1"/>
        <v>0</v>
      </c>
    </row>
    <row r="63" spans="1:72" ht="17.25" customHeight="1">
      <c r="A63" s="90"/>
      <c r="B63" s="208" t="s">
        <v>3</v>
      </c>
      <c r="C63" s="113"/>
      <c r="D63" s="114"/>
      <c r="E63" s="114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>
        <f>BH72</f>
        <v>2737950699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88"/>
      <c r="BQ63" s="89">
        <f t="shared" si="0"/>
        <v>2737950699</v>
      </c>
      <c r="BR63" s="92">
        <f>BH72</f>
        <v>2737950699</v>
      </c>
      <c r="BS63" s="91">
        <f t="shared" si="2"/>
        <v>2737950699</v>
      </c>
      <c r="BT63" s="83">
        <f t="shared" si="1"/>
        <v>0</v>
      </c>
    </row>
    <row r="64" spans="1:72" ht="17.25" customHeight="1">
      <c r="A64" s="90">
        <v>641</v>
      </c>
      <c r="B64" s="208">
        <v>641</v>
      </c>
      <c r="C64" s="113"/>
      <c r="D64" s="114"/>
      <c r="E64" s="114"/>
      <c r="F64" s="91"/>
      <c r="G64" s="91"/>
      <c r="H64" s="91"/>
      <c r="I64" s="91"/>
      <c r="J64" s="91"/>
      <c r="K64" s="91"/>
      <c r="L64" s="261">
        <v>82412500</v>
      </c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261"/>
      <c r="AW64" s="360">
        <v>6800000</v>
      </c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334">
        <v>3649422032</v>
      </c>
      <c r="BP64" s="88"/>
      <c r="BQ64" s="89">
        <f t="shared" si="0"/>
        <v>3738634532</v>
      </c>
      <c r="BR64" s="92">
        <f>BI72</f>
        <v>3738634532</v>
      </c>
      <c r="BS64" s="91">
        <f t="shared" si="2"/>
        <v>3738634532</v>
      </c>
      <c r="BT64" s="83">
        <f t="shared" si="1"/>
        <v>0</v>
      </c>
    </row>
    <row r="65" spans="1:72" ht="17.25" customHeight="1">
      <c r="A65" s="90">
        <v>642</v>
      </c>
      <c r="B65" s="208">
        <v>642</v>
      </c>
      <c r="C65" s="113"/>
      <c r="D65" s="114">
        <v>67970500</v>
      </c>
      <c r="E65" s="114"/>
      <c r="F65" s="91"/>
      <c r="G65" s="91"/>
      <c r="H65" s="91"/>
      <c r="I65" s="91"/>
      <c r="J65" s="261">
        <v>37998000</v>
      </c>
      <c r="K65" s="91"/>
      <c r="L65" s="261">
        <v>470052464</v>
      </c>
      <c r="M65" s="91"/>
      <c r="N65" s="91"/>
      <c r="O65" s="91"/>
      <c r="P65" s="91"/>
      <c r="Q65" s="91"/>
      <c r="R65" s="91"/>
      <c r="S65" s="91"/>
      <c r="T65" s="91"/>
      <c r="U65" s="36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251">
        <v>396233296</v>
      </c>
      <c r="AO65" s="91"/>
      <c r="AP65" s="91"/>
      <c r="AQ65" s="91"/>
      <c r="AR65" s="91"/>
      <c r="AS65" s="91"/>
      <c r="AT65" s="91"/>
      <c r="AU65" s="91"/>
      <c r="AV65" s="261"/>
      <c r="AW65" s="360">
        <f>901239482+549438718</f>
        <v>1450678200</v>
      </c>
      <c r="AX65" s="91"/>
      <c r="AY65" s="91"/>
      <c r="AZ65" s="91"/>
      <c r="BA65" s="91"/>
      <c r="BB65" s="261">
        <v>130000000</v>
      </c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334">
        <f>16850392462</f>
        <v>16850392462</v>
      </c>
      <c r="BP65" s="88"/>
      <c r="BQ65" s="89">
        <f t="shared" si="0"/>
        <v>19403324922</v>
      </c>
      <c r="BR65" s="92">
        <f>BJ72</f>
        <v>19403324922</v>
      </c>
      <c r="BS65" s="91">
        <f t="shared" si="2"/>
        <v>19403324922</v>
      </c>
      <c r="BT65" s="83">
        <f t="shared" si="1"/>
        <v>0</v>
      </c>
    </row>
    <row r="66" spans="1:72" ht="17.25" customHeight="1">
      <c r="A66" s="90">
        <v>632</v>
      </c>
      <c r="B66" s="208">
        <v>632</v>
      </c>
      <c r="C66" s="113"/>
      <c r="D66" s="114"/>
      <c r="E66" s="114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>
        <v>289572830</v>
      </c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>
        <f>BK72-289572830</f>
        <v>127882077380</v>
      </c>
      <c r="BP66" s="88"/>
      <c r="BQ66" s="89">
        <f t="shared" si="0"/>
        <v>128171650210</v>
      </c>
      <c r="BR66" s="92">
        <f>BK72</f>
        <v>128171650210</v>
      </c>
      <c r="BS66" s="91">
        <f>BQ66</f>
        <v>128171650210</v>
      </c>
      <c r="BT66" s="83">
        <f t="shared" si="1"/>
        <v>0</v>
      </c>
    </row>
    <row r="67" spans="1:71" ht="17.25" customHeight="1">
      <c r="A67" s="90">
        <v>635</v>
      </c>
      <c r="B67" s="208">
        <v>635</v>
      </c>
      <c r="C67" s="113"/>
      <c r="D67" s="114"/>
      <c r="E67" s="114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>
        <f>BL72</f>
        <v>1024600000</v>
      </c>
      <c r="BP67" s="88"/>
      <c r="BQ67" s="89">
        <f t="shared" si="0"/>
        <v>1024600000</v>
      </c>
      <c r="BR67" s="92">
        <f>BL72</f>
        <v>1024600000</v>
      </c>
      <c r="BS67" s="91">
        <f>BQ67</f>
        <v>1024600000</v>
      </c>
    </row>
    <row r="68" spans="1:72" ht="17.25" customHeight="1">
      <c r="A68" s="90">
        <v>711</v>
      </c>
      <c r="B68" s="208">
        <v>711</v>
      </c>
      <c r="C68" s="113"/>
      <c r="D68" s="114">
        <v>1520000</v>
      </c>
      <c r="E68" s="114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261">
        <v>500220125</v>
      </c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88"/>
      <c r="BQ68" s="89">
        <f t="shared" si="0"/>
        <v>501740125</v>
      </c>
      <c r="BR68" s="92">
        <f>BM72</f>
        <v>501740125</v>
      </c>
      <c r="BS68" s="91">
        <f t="shared" si="2"/>
        <v>501740125</v>
      </c>
      <c r="BT68" s="83">
        <f t="shared" si="1"/>
        <v>0</v>
      </c>
    </row>
    <row r="69" spans="1:72" ht="17.25" customHeight="1">
      <c r="A69" s="90">
        <v>811</v>
      </c>
      <c r="B69" s="208">
        <v>811</v>
      </c>
      <c r="C69" s="113"/>
      <c r="D69" s="114"/>
      <c r="E69" s="114"/>
      <c r="F69" s="91"/>
      <c r="G69" s="261">
        <v>129274731</v>
      </c>
      <c r="H69" s="91"/>
      <c r="I69" s="91"/>
      <c r="J69" s="91"/>
      <c r="K69" s="261">
        <v>95000000</v>
      </c>
      <c r="L69" s="261"/>
      <c r="M69" s="91"/>
      <c r="N69" s="91"/>
      <c r="O69" s="91"/>
      <c r="P69" s="91"/>
      <c r="Q69" s="91"/>
      <c r="R69" s="91"/>
      <c r="S69" s="91"/>
      <c r="T69" s="360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261">
        <v>122205006</v>
      </c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367"/>
      <c r="BO69" s="261">
        <f>BN72-122205006-224274731</f>
        <v>6755887228</v>
      </c>
      <c r="BP69" s="88"/>
      <c r="BQ69" s="89">
        <f t="shared" si="0"/>
        <v>7102366965</v>
      </c>
      <c r="BR69" s="92">
        <f>BN72</f>
        <v>7102366965</v>
      </c>
      <c r="BS69" s="91">
        <f t="shared" si="2"/>
        <v>7102366965</v>
      </c>
      <c r="BT69" s="83">
        <f t="shared" si="1"/>
        <v>0</v>
      </c>
    </row>
    <row r="70" spans="1:72" ht="17.25" customHeight="1">
      <c r="A70" s="96">
        <v>911</v>
      </c>
      <c r="B70" s="208">
        <v>911</v>
      </c>
      <c r="C70" s="116"/>
      <c r="D70" s="114"/>
      <c r="E70" s="114"/>
      <c r="F70" s="114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>
        <f>BQ52+BQ53+BQ54-AY55-289572830</f>
        <v>145939830907</v>
      </c>
      <c r="AZ70" s="91"/>
      <c r="BA70" s="91"/>
      <c r="BB70" s="367">
        <f>7139769032+7330909090</f>
        <v>14470678122</v>
      </c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261">
        <f>BQ68</f>
        <v>501740125</v>
      </c>
      <c r="BN70" s="91"/>
      <c r="BO70" s="91"/>
      <c r="BP70" s="88"/>
      <c r="BQ70" s="89">
        <f t="shared" si="0"/>
        <v>160912249154</v>
      </c>
      <c r="BR70" s="95">
        <f>BO72</f>
        <v>160912249154</v>
      </c>
      <c r="BS70" s="91">
        <f t="shared" si="2"/>
        <v>160912249154</v>
      </c>
      <c r="BT70" s="83">
        <f>BR70-BS70</f>
        <v>0</v>
      </c>
    </row>
    <row r="71" spans="1:71" ht="17.25" customHeight="1">
      <c r="A71" s="97"/>
      <c r="B71" s="209"/>
      <c r="C71" s="113"/>
      <c r="D71" s="114"/>
      <c r="E71" s="114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88"/>
      <c r="BQ71" s="89">
        <f>SUM(C71:BP71)</f>
        <v>0</v>
      </c>
      <c r="BR71" s="92"/>
      <c r="BS71" s="91">
        <f t="shared" si="2"/>
        <v>0</v>
      </c>
    </row>
    <row r="72" spans="1:72" s="84" customFormat="1" ht="17.25" customHeight="1">
      <c r="A72" s="98" t="s">
        <v>7</v>
      </c>
      <c r="B72" s="99"/>
      <c r="C72" s="100">
        <f aca="true" t="shared" si="3" ref="C72:U72">SUM(C4:C71)</f>
        <v>59536325939</v>
      </c>
      <c r="D72" s="100">
        <f t="shared" si="3"/>
        <v>445377009577</v>
      </c>
      <c r="E72" s="100">
        <f t="shared" si="3"/>
        <v>4583</v>
      </c>
      <c r="F72" s="100">
        <f t="shared" si="3"/>
        <v>261584000000</v>
      </c>
      <c r="G72" s="100">
        <f t="shared" si="3"/>
        <v>118143443491</v>
      </c>
      <c r="H72" s="100">
        <f t="shared" si="3"/>
        <v>6799626073</v>
      </c>
      <c r="I72" s="100">
        <f t="shared" si="3"/>
        <v>1119896206</v>
      </c>
      <c r="J72" s="100">
        <f t="shared" si="3"/>
        <v>75996000</v>
      </c>
      <c r="K72" s="100">
        <f t="shared" si="3"/>
        <v>1818152000</v>
      </c>
      <c r="L72" s="100">
        <f t="shared" si="3"/>
        <v>552464964</v>
      </c>
      <c r="M72" s="100">
        <f t="shared" si="3"/>
        <v>10100000</v>
      </c>
      <c r="N72" s="100">
        <f t="shared" si="3"/>
        <v>17682883524</v>
      </c>
      <c r="O72" s="100">
        <f t="shared" si="3"/>
        <v>237748634</v>
      </c>
      <c r="P72" s="100">
        <f t="shared" si="3"/>
        <v>25580648164</v>
      </c>
      <c r="Q72" s="100">
        <f t="shared" si="3"/>
        <v>25396539071</v>
      </c>
      <c r="R72" s="100">
        <f t="shared" si="3"/>
        <v>614770473</v>
      </c>
      <c r="S72" s="100">
        <f t="shared" si="3"/>
        <v>0</v>
      </c>
      <c r="T72" s="100">
        <f t="shared" si="3"/>
        <v>2140263030</v>
      </c>
      <c r="U72" s="100">
        <f t="shared" si="3"/>
        <v>281494322</v>
      </c>
      <c r="V72" s="100">
        <f>SUM(V4:V71)</f>
        <v>0</v>
      </c>
      <c r="W72" s="100">
        <f>SUM(W4:W71)</f>
        <v>0</v>
      </c>
      <c r="X72" s="100">
        <f aca="true" t="shared" si="4" ref="X72:BS72">SUM(X4:X71)</f>
        <v>0</v>
      </c>
      <c r="Y72" s="100">
        <f t="shared" si="4"/>
        <v>4725192000</v>
      </c>
      <c r="Z72" s="100">
        <f t="shared" si="4"/>
        <v>15000000000</v>
      </c>
      <c r="AA72" s="100">
        <f t="shared" si="4"/>
        <v>86004009054</v>
      </c>
      <c r="AB72" s="100">
        <f t="shared" si="4"/>
        <v>10895486602</v>
      </c>
      <c r="AC72" s="100">
        <f t="shared" si="4"/>
        <v>471686448</v>
      </c>
      <c r="AD72" s="100">
        <f t="shared" si="4"/>
        <v>187744271</v>
      </c>
      <c r="AE72" s="100">
        <f t="shared" si="4"/>
        <v>829864000</v>
      </c>
      <c r="AF72" s="100">
        <f t="shared" si="4"/>
        <v>1538733034</v>
      </c>
      <c r="AG72" s="100">
        <f t="shared" si="4"/>
        <v>14281584949</v>
      </c>
      <c r="AH72" s="100">
        <f t="shared" si="4"/>
        <v>363300384</v>
      </c>
      <c r="AI72" s="100">
        <f t="shared" si="4"/>
        <v>208224276</v>
      </c>
      <c r="AJ72" s="100">
        <f t="shared" si="4"/>
        <v>1864347012</v>
      </c>
      <c r="AK72" s="100">
        <f t="shared" si="4"/>
        <v>333961698</v>
      </c>
      <c r="AL72" s="100">
        <f t="shared" si="4"/>
        <v>0</v>
      </c>
      <c r="AM72" s="100">
        <f t="shared" si="4"/>
        <v>51651485916</v>
      </c>
      <c r="AN72" s="100">
        <f t="shared" si="4"/>
        <v>9280555232</v>
      </c>
      <c r="AO72" s="100">
        <f t="shared" si="4"/>
        <v>143760062</v>
      </c>
      <c r="AP72" s="100">
        <f t="shared" si="4"/>
        <v>500220125</v>
      </c>
      <c r="AQ72" s="100">
        <f t="shared" si="4"/>
        <v>0</v>
      </c>
      <c r="AR72" s="100">
        <f t="shared" si="4"/>
        <v>19572</v>
      </c>
      <c r="AS72" s="100">
        <f t="shared" si="4"/>
        <v>2140263030</v>
      </c>
      <c r="AT72" s="100">
        <f t="shared" si="4"/>
        <v>0</v>
      </c>
      <c r="AU72" s="100">
        <f t="shared" si="4"/>
        <v>222856727</v>
      </c>
      <c r="AV72" s="100">
        <f t="shared" si="4"/>
        <v>4749870052</v>
      </c>
      <c r="AW72" s="100">
        <f t="shared" si="4"/>
        <v>3999358200</v>
      </c>
      <c r="AX72" s="100">
        <f t="shared" si="4"/>
        <v>0</v>
      </c>
      <c r="AY72" s="100">
        <f t="shared" si="4"/>
        <v>146308086464</v>
      </c>
      <c r="AZ72" s="100">
        <f t="shared" si="4"/>
        <v>78682727</v>
      </c>
      <c r="BA72" s="100">
        <f t="shared" si="4"/>
        <v>0</v>
      </c>
      <c r="BB72" s="100">
        <f t="shared" si="4"/>
        <v>14814428122</v>
      </c>
      <c r="BC72" s="100">
        <f>SUM(BC4:BC71)</f>
        <v>0</v>
      </c>
      <c r="BD72" s="100">
        <f>SUM(BD4:BD71)</f>
        <v>0</v>
      </c>
      <c r="BE72" s="100">
        <f>SUM(BE4:BE71)</f>
        <v>0</v>
      </c>
      <c r="BF72" s="249">
        <f t="shared" si="4"/>
        <v>20965345337</v>
      </c>
      <c r="BG72" s="249">
        <f t="shared" si="4"/>
        <v>1693243035</v>
      </c>
      <c r="BH72" s="249">
        <f t="shared" si="4"/>
        <v>2737950699</v>
      </c>
      <c r="BI72" s="100">
        <f t="shared" si="4"/>
        <v>3738634532</v>
      </c>
      <c r="BJ72" s="100">
        <f t="shared" si="4"/>
        <v>19403324922</v>
      </c>
      <c r="BK72" s="100">
        <f t="shared" si="4"/>
        <v>128171650210</v>
      </c>
      <c r="BL72" s="100">
        <f>SUM(BL4:BL71)</f>
        <v>1024600000</v>
      </c>
      <c r="BM72" s="100">
        <f>SUM(BM4:BM71)</f>
        <v>501740125</v>
      </c>
      <c r="BN72" s="100">
        <f t="shared" si="4"/>
        <v>7102366965</v>
      </c>
      <c r="BO72" s="100">
        <f t="shared" si="4"/>
        <v>160912249154</v>
      </c>
      <c r="BP72" s="100">
        <f t="shared" si="4"/>
        <v>0</v>
      </c>
      <c r="BQ72" s="100">
        <f t="shared" si="4"/>
        <v>1683796190987</v>
      </c>
      <c r="BR72" s="99">
        <f t="shared" si="4"/>
        <v>1683796190987</v>
      </c>
      <c r="BS72" s="99">
        <f t="shared" si="4"/>
        <v>1683796190987</v>
      </c>
      <c r="BT72" s="84">
        <f>BT71-BT70</f>
        <v>0</v>
      </c>
    </row>
    <row r="73" spans="1:69" ht="17.25" customHeight="1">
      <c r="A73" s="101"/>
      <c r="D73" s="83">
        <f>D72+E72</f>
        <v>445377014160</v>
      </c>
      <c r="AA73" s="83">
        <v>63626311384</v>
      </c>
      <c r="BE73" s="83">
        <f>BC72+BD72+BE72</f>
        <v>0</v>
      </c>
      <c r="BF73" s="388">
        <f>BF72+BG72+BH72</f>
        <v>25396539071</v>
      </c>
      <c r="BG73" s="388"/>
      <c r="BH73" s="388"/>
      <c r="BK73" s="83">
        <f>BO66-BK72</f>
        <v>-289572830</v>
      </c>
      <c r="BQ73" s="99">
        <f>SUM(BQ4:BQ71)</f>
        <v>1683796190987</v>
      </c>
    </row>
    <row r="74" spans="6:70" ht="17.25" customHeight="1">
      <c r="F74" s="103"/>
      <c r="G74" s="103"/>
      <c r="H74" s="103">
        <v>6729012717</v>
      </c>
      <c r="I74" s="103"/>
      <c r="J74" s="103"/>
      <c r="P74" s="83">
        <f>SUM(P61:P63)</f>
        <v>25396539071</v>
      </c>
      <c r="AA74" s="83">
        <f>AA72-AA73</f>
        <v>22377697670</v>
      </c>
      <c r="AF74" s="83" t="s">
        <v>295</v>
      </c>
      <c r="BQ74" s="84">
        <f>SUM(C72:BP72)</f>
        <v>1683796190987</v>
      </c>
      <c r="BR74" s="83">
        <f>BS72-BR72</f>
        <v>0</v>
      </c>
    </row>
    <row r="75" spans="6:71" ht="17.25" customHeight="1">
      <c r="F75" s="103"/>
      <c r="G75" s="103"/>
      <c r="H75" s="103">
        <f>H72-H74</f>
        <v>70613356</v>
      </c>
      <c r="I75" s="103"/>
      <c r="J75" s="103"/>
      <c r="BO75" s="83">
        <f>BR66-BO66</f>
        <v>289572830</v>
      </c>
      <c r="BS75" s="83">
        <f>BQ65-11692420706</f>
        <v>7710904216</v>
      </c>
    </row>
    <row r="76" spans="6:60" ht="17.25" customHeight="1">
      <c r="F76" s="103" t="s">
        <v>431</v>
      </c>
      <c r="G76" s="103">
        <v>10573434590</v>
      </c>
      <c r="H76" s="103"/>
      <c r="I76" s="103"/>
      <c r="J76" s="103"/>
      <c r="BF76" s="83">
        <v>4433891662</v>
      </c>
      <c r="BH76" s="83">
        <v>645063273</v>
      </c>
    </row>
    <row r="77" spans="6:60" ht="17.25" customHeight="1">
      <c r="F77" s="103" t="s">
        <v>432</v>
      </c>
      <c r="G77" s="103">
        <v>10581307003</v>
      </c>
      <c r="H77" s="103"/>
      <c r="I77" s="103"/>
      <c r="J77" s="103"/>
      <c r="BF77" s="83">
        <f>BF76-BF72</f>
        <v>-16531453675</v>
      </c>
      <c r="BH77" s="83">
        <f>BH76-BH72</f>
        <v>-2092887426</v>
      </c>
    </row>
    <row r="78" spans="6:62" ht="17.25" customHeight="1">
      <c r="F78" s="83" t="s">
        <v>433</v>
      </c>
      <c r="G78" s="83">
        <f>G77-G76</f>
        <v>7872413</v>
      </c>
      <c r="BF78" s="117"/>
      <c r="BG78" s="117"/>
      <c r="BH78" s="105"/>
      <c r="BI78" s="105"/>
      <c r="BJ78" s="104"/>
    </row>
    <row r="79" spans="6:62" ht="17.25" customHeight="1">
      <c r="F79" s="83" t="s">
        <v>435</v>
      </c>
      <c r="G79" s="83">
        <v>7868273</v>
      </c>
      <c r="BF79" s="117"/>
      <c r="BG79" s="117"/>
      <c r="BH79" s="105"/>
      <c r="BI79" s="105"/>
      <c r="BJ79" s="104"/>
    </row>
    <row r="80" spans="7:62" ht="17.25" customHeight="1">
      <c r="G80" s="83">
        <f>G78-G79</f>
        <v>4140</v>
      </c>
      <c r="BF80" s="117"/>
      <c r="BG80" s="117"/>
      <c r="BH80" s="105"/>
      <c r="BI80" s="105"/>
      <c r="BJ80" s="104"/>
    </row>
    <row r="81" spans="58:62" ht="17.25" customHeight="1">
      <c r="BF81" s="117"/>
      <c r="BG81" s="117"/>
      <c r="BH81" s="105"/>
      <c r="BI81" s="105"/>
      <c r="BJ81" s="104"/>
    </row>
    <row r="82" spans="58:62" ht="17.25" customHeight="1">
      <c r="BF82" s="117"/>
      <c r="BG82" s="117"/>
      <c r="BH82" s="105"/>
      <c r="BI82" s="105"/>
      <c r="BJ82" s="104"/>
    </row>
    <row r="83" spans="58:62" ht="17.25" customHeight="1">
      <c r="BF83" s="117"/>
      <c r="BG83" s="117"/>
      <c r="BH83" s="105"/>
      <c r="BI83" s="105"/>
      <c r="BJ83" s="104"/>
    </row>
    <row r="84" spans="58:62" ht="17.25" customHeight="1">
      <c r="BF84" s="117"/>
      <c r="BG84" s="118"/>
      <c r="BH84" s="105"/>
      <c r="BI84" s="105"/>
      <c r="BJ84" s="104"/>
    </row>
    <row r="85" spans="58:62" ht="17.25" customHeight="1">
      <c r="BF85" s="117"/>
      <c r="BG85" s="119"/>
      <c r="BH85" s="106"/>
      <c r="BI85" s="106"/>
      <c r="BJ85" s="107"/>
    </row>
    <row r="86" spans="58:62" ht="17.25" customHeight="1">
      <c r="BF86" s="103"/>
      <c r="BG86" s="103"/>
      <c r="BH86" s="103"/>
      <c r="BI86" s="103"/>
      <c r="BJ86" s="103"/>
    </row>
  </sheetData>
  <mergeCells count="2">
    <mergeCell ref="BF73:BH73"/>
    <mergeCell ref="A1:O1"/>
  </mergeCells>
  <printOptions/>
  <pageMargins left="0.73" right="0.2" top="0.29" bottom="0.24" header="0.29" footer="0.25"/>
  <pageSetup horizontalDpi="600" verticalDpi="600" orientation="landscape" paperSize="8" r:id="rId3"/>
  <ignoredErrors>
    <ignoredError sqref="K72:M72 O72 T72:U72 E72:I72 Z72 AM72:AU72 AW72:BA72 AC72:AD72 X72 AF72:AK7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.75390625" style="2" customWidth="1"/>
    <col min="2" max="2" width="26.375" style="2" customWidth="1"/>
    <col min="3" max="3" width="18.125" style="1" customWidth="1"/>
    <col min="4" max="4" width="17.625" style="1" customWidth="1"/>
    <col min="5" max="5" width="19.875" style="1" customWidth="1"/>
    <col min="6" max="6" width="19.375" style="1" customWidth="1"/>
    <col min="7" max="7" width="17.875" style="1" customWidth="1"/>
    <col min="8" max="8" width="17.625" style="1" customWidth="1"/>
    <col min="9" max="9" width="26.25390625" style="177" customWidth="1"/>
    <col min="10" max="10" width="21.00390625" style="1" customWidth="1"/>
    <col min="11" max="11" width="19.00390625" style="1" customWidth="1"/>
    <col min="12" max="12" width="19.75390625" style="2" customWidth="1"/>
    <col min="13" max="13" width="19.00390625" style="2" customWidth="1"/>
    <col min="14" max="14" width="17.875" style="2" customWidth="1"/>
    <col min="15" max="16384" width="8.875" style="2" customWidth="1"/>
  </cols>
  <sheetData>
    <row r="1" spans="1:11" s="18" customFormat="1" ht="23.25" customHeight="1">
      <c r="A1" s="393" t="s">
        <v>453</v>
      </c>
      <c r="B1" s="393"/>
      <c r="C1" s="393"/>
      <c r="D1" s="393"/>
      <c r="E1" s="393"/>
      <c r="F1" s="393"/>
      <c r="G1" s="393"/>
      <c r="H1" s="393"/>
      <c r="I1" s="191"/>
      <c r="J1" s="14"/>
      <c r="K1" s="14"/>
    </row>
    <row r="2" spans="1:11" s="16" customFormat="1" ht="16.5" customHeight="1">
      <c r="A2" s="391" t="s">
        <v>8</v>
      </c>
      <c r="B2" s="391" t="s">
        <v>9</v>
      </c>
      <c r="C2" s="394" t="s">
        <v>10</v>
      </c>
      <c r="D2" s="395"/>
      <c r="E2" s="394" t="s">
        <v>11</v>
      </c>
      <c r="F2" s="395"/>
      <c r="G2" s="394" t="s">
        <v>12</v>
      </c>
      <c r="H2" s="395"/>
      <c r="I2" s="210"/>
      <c r="J2" s="145"/>
      <c r="K2" s="145"/>
    </row>
    <row r="3" spans="1:11" s="16" customFormat="1" ht="14.25" customHeight="1">
      <c r="A3" s="392"/>
      <c r="B3" s="392"/>
      <c r="C3" s="15" t="s">
        <v>13</v>
      </c>
      <c r="D3" s="15" t="s">
        <v>14</v>
      </c>
      <c r="E3" s="17" t="s">
        <v>13</v>
      </c>
      <c r="F3" s="15" t="s">
        <v>14</v>
      </c>
      <c r="G3" s="15" t="s">
        <v>13</v>
      </c>
      <c r="H3" s="15" t="s">
        <v>14</v>
      </c>
      <c r="I3" s="210"/>
      <c r="J3" s="145"/>
      <c r="K3" s="145"/>
    </row>
    <row r="4" spans="1:8" ht="18.75" customHeight="1">
      <c r="A4" s="3">
        <v>1111</v>
      </c>
      <c r="B4" s="81" t="s">
        <v>15</v>
      </c>
      <c r="C4" s="7">
        <v>3377517129</v>
      </c>
      <c r="D4" s="7">
        <v>0</v>
      </c>
      <c r="E4" s="4">
        <f>'ban co  2012 thue'!BR4</f>
        <v>59536325939</v>
      </c>
      <c r="F4" s="4">
        <f>'ban co  2012 thue'!BS4</f>
        <v>60203502424</v>
      </c>
      <c r="G4" s="7">
        <f>IF((E4+C4)&gt;(F4+D4),(E4+C4)-(F4+D4),0)</f>
        <v>2710340644</v>
      </c>
      <c r="H4" s="7">
        <f aca="true" t="shared" si="0" ref="H4:H48">IF((F4+D4)&gt;(E4+C4),(F4+D4)-(E4+C4),0)</f>
        <v>0</v>
      </c>
    </row>
    <row r="5" spans="1:8" ht="18.75" customHeight="1">
      <c r="A5" s="5">
        <v>112</v>
      </c>
      <c r="B5" s="6" t="s">
        <v>16</v>
      </c>
      <c r="C5" s="7">
        <v>8298067318</v>
      </c>
      <c r="D5" s="7">
        <v>0</v>
      </c>
      <c r="E5" s="7">
        <f>'ban co  2012 thue'!BR5+'ban co  2012 thue'!BR6</f>
        <v>445377014160</v>
      </c>
      <c r="F5" s="7">
        <f>'ban co  2012 thue'!BS5+'ban co  2012 thue'!BS6</f>
        <v>437537450877</v>
      </c>
      <c r="G5" s="7">
        <f aca="true" t="shared" si="1" ref="G5:G63">IF((E5+C5)&gt;(F5+D5),(E5+C5)-(F5+D5),0)</f>
        <v>16137630601</v>
      </c>
      <c r="H5" s="7">
        <f t="shared" si="0"/>
        <v>0</v>
      </c>
    </row>
    <row r="6" spans="1:8" ht="18.75" customHeight="1">
      <c r="A6" s="5">
        <v>128</v>
      </c>
      <c r="B6" s="6" t="s">
        <v>17</v>
      </c>
      <c r="C6" s="7">
        <v>50320000000</v>
      </c>
      <c r="D6" s="7">
        <v>0</v>
      </c>
      <c r="E6" s="7">
        <f>'ban co  2012 thue'!BR7</f>
        <v>261584000000</v>
      </c>
      <c r="F6" s="7">
        <f>'ban co  2012 thue'!BS7</f>
        <v>293844000000</v>
      </c>
      <c r="G6" s="250">
        <f t="shared" si="1"/>
        <v>18060000000</v>
      </c>
      <c r="H6" s="7">
        <f t="shared" si="0"/>
        <v>0</v>
      </c>
    </row>
    <row r="7" spans="1:8" ht="18.75" customHeight="1">
      <c r="A7" s="5">
        <v>131</v>
      </c>
      <c r="B7" s="6" t="s">
        <v>18</v>
      </c>
      <c r="C7" s="7">
        <v>20414691731</v>
      </c>
      <c r="D7" s="7">
        <v>2029390959</v>
      </c>
      <c r="E7" s="7">
        <f>'ban co  2012 thue'!BR8</f>
        <v>118143443491</v>
      </c>
      <c r="F7" s="7">
        <f>'ban co  2012 thue'!BS8</f>
        <v>113874614068</v>
      </c>
      <c r="G7" s="250">
        <f>23567968088+129274731+37998000-756840000-324270624</f>
        <v>22654130195</v>
      </c>
      <c r="H7" s="250"/>
    </row>
    <row r="8" spans="1:8" ht="18.75" customHeight="1">
      <c r="A8" s="5">
        <v>133</v>
      </c>
      <c r="B8" s="6" t="s">
        <v>19</v>
      </c>
      <c r="C8" s="7">
        <v>0</v>
      </c>
      <c r="D8" s="7">
        <v>0</v>
      </c>
      <c r="E8" s="7">
        <f>'ban co  2012 thue'!BR9</f>
        <v>6799626073</v>
      </c>
      <c r="F8" s="7">
        <f>'ban co  2012 thue'!BS9</f>
        <v>6729012717</v>
      </c>
      <c r="G8" s="250">
        <f t="shared" si="1"/>
        <v>70613356</v>
      </c>
      <c r="H8" s="250">
        <f t="shared" si="0"/>
        <v>0</v>
      </c>
    </row>
    <row r="9" spans="1:8" ht="18.75" customHeight="1">
      <c r="A9" s="5">
        <v>1388</v>
      </c>
      <c r="B9" s="6" t="s">
        <v>20</v>
      </c>
      <c r="C9" s="7">
        <v>0</v>
      </c>
      <c r="D9" s="7">
        <v>0</v>
      </c>
      <c r="E9" s="7">
        <f>'ban co  2012 thue'!BR10</f>
        <v>1119896206</v>
      </c>
      <c r="F9" s="7">
        <f>'ban co  2012 thue'!BS10</f>
        <v>866900000</v>
      </c>
      <c r="G9" s="250">
        <f t="shared" si="1"/>
        <v>252996206</v>
      </c>
      <c r="H9" s="250">
        <f t="shared" si="0"/>
        <v>0</v>
      </c>
    </row>
    <row r="10" spans="1:8" ht="18.75" customHeight="1">
      <c r="A10" s="5">
        <v>139</v>
      </c>
      <c r="B10" s="6" t="s">
        <v>296</v>
      </c>
      <c r="C10" s="7"/>
      <c r="D10" s="7"/>
      <c r="E10" s="7">
        <f>'ban co  2012 thue'!BR11</f>
        <v>75996000</v>
      </c>
      <c r="F10" s="7">
        <f>'ban co  2012 thue'!BS11</f>
        <v>75996000</v>
      </c>
      <c r="G10" s="250">
        <f t="shared" si="1"/>
        <v>0</v>
      </c>
      <c r="H10" s="250">
        <f t="shared" si="0"/>
        <v>0</v>
      </c>
    </row>
    <row r="11" spans="1:9" ht="17.25" customHeight="1">
      <c r="A11" s="5">
        <v>141</v>
      </c>
      <c r="B11" s="6" t="s">
        <v>21</v>
      </c>
      <c r="C11" s="7">
        <v>608013000</v>
      </c>
      <c r="D11" s="7">
        <v>0</v>
      </c>
      <c r="E11" s="7">
        <f>'ban co  2012 thue'!BR12</f>
        <v>1818152000</v>
      </c>
      <c r="F11" s="7">
        <f>'ban co  2012 thue'!BS12</f>
        <v>1328152000</v>
      </c>
      <c r="G11" s="250">
        <f t="shared" si="1"/>
        <v>1098013000</v>
      </c>
      <c r="H11" s="250">
        <f t="shared" si="0"/>
        <v>0</v>
      </c>
      <c r="I11" s="177" t="s">
        <v>351</v>
      </c>
    </row>
    <row r="12" spans="1:9" ht="15" customHeight="1">
      <c r="A12" s="5">
        <v>142</v>
      </c>
      <c r="B12" s="6" t="s">
        <v>22</v>
      </c>
      <c r="C12" s="7">
        <v>0</v>
      </c>
      <c r="D12" s="7">
        <v>0</v>
      </c>
      <c r="E12" s="7">
        <f>'ban co  2012 thue'!BR13</f>
        <v>552464964</v>
      </c>
      <c r="F12" s="7">
        <f>'ban co  2012 thue'!BS13</f>
        <v>0</v>
      </c>
      <c r="G12" s="250">
        <f t="shared" si="1"/>
        <v>552464964</v>
      </c>
      <c r="H12" s="250">
        <f t="shared" si="0"/>
        <v>0</v>
      </c>
      <c r="I12" s="177">
        <f>G9+G35+G39</f>
        <v>768414817</v>
      </c>
    </row>
    <row r="13" spans="1:8" ht="18.75" customHeight="1">
      <c r="A13" s="5">
        <v>144</v>
      </c>
      <c r="B13" s="6" t="s">
        <v>225</v>
      </c>
      <c r="C13" s="7">
        <v>5110000</v>
      </c>
      <c r="D13" s="7">
        <v>0</v>
      </c>
      <c r="E13" s="7">
        <f>'ban co  2012 thue'!BR14</f>
        <v>10100000</v>
      </c>
      <c r="F13" s="7">
        <f>'ban co  2012 thue'!BS14</f>
        <v>15210000</v>
      </c>
      <c r="G13" s="7">
        <f t="shared" si="1"/>
        <v>0</v>
      </c>
      <c r="H13" s="7">
        <f t="shared" si="0"/>
        <v>0</v>
      </c>
    </row>
    <row r="14" spans="1:8" ht="18.75" customHeight="1">
      <c r="A14" s="5">
        <v>152</v>
      </c>
      <c r="B14" s="6" t="s">
        <v>23</v>
      </c>
      <c r="C14" s="7">
        <v>1518327645</v>
      </c>
      <c r="D14" s="7">
        <v>0</v>
      </c>
      <c r="E14" s="7">
        <f>'ban co  2012 thue'!BR15</f>
        <v>17682883524</v>
      </c>
      <c r="F14" s="7">
        <f>'ban co  2012 thue'!BS15</f>
        <v>18223841164</v>
      </c>
      <c r="G14" s="7">
        <f t="shared" si="1"/>
        <v>977370005</v>
      </c>
      <c r="H14" s="7">
        <f t="shared" si="0"/>
        <v>0</v>
      </c>
    </row>
    <row r="15" spans="1:8" ht="18.75" customHeight="1">
      <c r="A15" s="5">
        <v>153</v>
      </c>
      <c r="B15" s="6" t="s">
        <v>24</v>
      </c>
      <c r="C15" s="7">
        <v>159801377</v>
      </c>
      <c r="D15" s="7">
        <v>0</v>
      </c>
      <c r="E15" s="7">
        <f>'ban co  2012 thue'!BR16</f>
        <v>237748634</v>
      </c>
      <c r="F15" s="7">
        <f>'ban co  2012 thue'!BS16</f>
        <v>320479830</v>
      </c>
      <c r="G15" s="7">
        <f t="shared" si="1"/>
        <v>77070181</v>
      </c>
      <c r="H15" s="7">
        <f t="shared" si="0"/>
        <v>0</v>
      </c>
    </row>
    <row r="16" spans="1:8" ht="18.75" customHeight="1">
      <c r="A16" s="5">
        <v>154</v>
      </c>
      <c r="B16" s="6" t="s">
        <v>25</v>
      </c>
      <c r="C16" s="7">
        <v>43871173111</v>
      </c>
      <c r="D16" s="7">
        <v>0</v>
      </c>
      <c r="E16" s="7">
        <f>'ban co  2012 thue'!BR17</f>
        <v>25580648164</v>
      </c>
      <c r="F16" s="7">
        <f>'ban co  2012 thue'!BS17</f>
        <v>69267712182</v>
      </c>
      <c r="G16" s="7">
        <f t="shared" si="1"/>
        <v>184109093</v>
      </c>
      <c r="H16" s="7">
        <f t="shared" si="0"/>
        <v>0</v>
      </c>
    </row>
    <row r="17" spans="1:8" ht="18.75" customHeight="1">
      <c r="A17" s="5">
        <v>155</v>
      </c>
      <c r="B17" s="6" t="s">
        <v>26</v>
      </c>
      <c r="C17" s="7">
        <v>381588385</v>
      </c>
      <c r="D17" s="7">
        <v>0</v>
      </c>
      <c r="E17" s="7">
        <f>'ban co  2012 thue'!BR18</f>
        <v>25396539071</v>
      </c>
      <c r="F17" s="7">
        <f>'ban co  2012 thue'!BS18</f>
        <v>25544641250</v>
      </c>
      <c r="G17" s="7">
        <f t="shared" si="1"/>
        <v>233486206</v>
      </c>
      <c r="H17" s="7">
        <f t="shared" si="0"/>
        <v>0</v>
      </c>
    </row>
    <row r="18" spans="1:8" ht="18.75" customHeight="1">
      <c r="A18" s="5">
        <v>156</v>
      </c>
      <c r="B18" s="6" t="s">
        <v>27</v>
      </c>
      <c r="C18" s="7">
        <v>2271047270</v>
      </c>
      <c r="D18" s="7">
        <v>0</v>
      </c>
      <c r="E18" s="7">
        <f>'ban co  2012 thue'!BR19</f>
        <v>614770473</v>
      </c>
      <c r="F18" s="7">
        <f>'ban co  2012 thue'!BS19</f>
        <v>2870868373</v>
      </c>
      <c r="G18" s="7">
        <f t="shared" si="1"/>
        <v>14949370</v>
      </c>
      <c r="H18" s="7">
        <f t="shared" si="0"/>
        <v>0</v>
      </c>
    </row>
    <row r="19" spans="1:8" ht="18.75" customHeight="1">
      <c r="A19" s="5">
        <v>159</v>
      </c>
      <c r="B19" s="6" t="s">
        <v>237</v>
      </c>
      <c r="C19" s="7">
        <v>0</v>
      </c>
      <c r="D19" s="7">
        <v>0</v>
      </c>
      <c r="E19" s="7">
        <f>'ban co  2012 thue'!BR20</f>
        <v>0</v>
      </c>
      <c r="F19" s="7">
        <f>'ban co  2012 thue'!BS20</f>
        <v>0</v>
      </c>
      <c r="G19" s="7">
        <f t="shared" si="1"/>
        <v>0</v>
      </c>
      <c r="H19" s="7">
        <f t="shared" si="0"/>
        <v>0</v>
      </c>
    </row>
    <row r="20" spans="1:8" ht="18.75" customHeight="1">
      <c r="A20" s="5">
        <v>211</v>
      </c>
      <c r="B20" s="6" t="s">
        <v>28</v>
      </c>
      <c r="C20" s="7">
        <v>30762865716</v>
      </c>
      <c r="D20" s="7">
        <v>0</v>
      </c>
      <c r="E20" s="7">
        <f>'ban co  2012 thue'!BR21</f>
        <v>2140263030</v>
      </c>
      <c r="F20" s="7">
        <f>'ban co  2012 thue'!BS21</f>
        <v>7037358043</v>
      </c>
      <c r="G20" s="250">
        <f>IF((E20+C20)&gt;(F20+D20),(E20+C20)-(F20+D20),0)</f>
        <v>25865770703</v>
      </c>
      <c r="H20" s="7">
        <f>IF((F20+D20)&gt;(E20+C20),(F20+D20)-(E20+C20),0)</f>
        <v>0</v>
      </c>
    </row>
    <row r="21" spans="1:9" ht="18.75" customHeight="1">
      <c r="A21" s="5">
        <v>214</v>
      </c>
      <c r="B21" s="6" t="s">
        <v>29</v>
      </c>
      <c r="C21" s="7">
        <v>0</v>
      </c>
      <c r="D21" s="7">
        <v>10235923890</v>
      </c>
      <c r="E21" s="7">
        <f>'ban co  2012 thue'!BR22</f>
        <v>281494322</v>
      </c>
      <c r="F21" s="7">
        <f>'ban co  2012 thue'!BS22</f>
        <v>1667567535</v>
      </c>
      <c r="G21" s="7">
        <f t="shared" si="1"/>
        <v>0</v>
      </c>
      <c r="H21" s="7">
        <f t="shared" si="0"/>
        <v>11621997103</v>
      </c>
      <c r="I21" s="177">
        <f>G20-H21</f>
        <v>14243773600</v>
      </c>
    </row>
    <row r="22" spans="1:8" ht="18.75" customHeight="1">
      <c r="A22" s="5">
        <v>221</v>
      </c>
      <c r="B22" s="6" t="s">
        <v>224</v>
      </c>
      <c r="C22" s="7">
        <v>3125000000</v>
      </c>
      <c r="D22" s="7">
        <v>0</v>
      </c>
      <c r="E22" s="7">
        <f>'ban co  2012 thue'!BR23</f>
        <v>0</v>
      </c>
      <c r="F22" s="7">
        <f>'ban co  2012 thue'!BS23</f>
        <v>3125000000</v>
      </c>
      <c r="G22" s="7">
        <f t="shared" si="1"/>
        <v>0</v>
      </c>
      <c r="H22" s="7">
        <f t="shared" si="0"/>
        <v>0</v>
      </c>
    </row>
    <row r="23" spans="1:8" ht="17.25" customHeight="1">
      <c r="A23" s="5">
        <v>222</v>
      </c>
      <c r="B23" s="6" t="s">
        <v>201</v>
      </c>
      <c r="C23" s="7"/>
      <c r="D23" s="7"/>
      <c r="E23" s="7"/>
      <c r="F23" s="7"/>
      <c r="G23" s="7"/>
      <c r="H23" s="7"/>
    </row>
    <row r="24" spans="1:8" ht="15.75" customHeight="1">
      <c r="A24" s="5">
        <v>241</v>
      </c>
      <c r="B24" s="6" t="s">
        <v>30</v>
      </c>
      <c r="C24" s="7">
        <v>0</v>
      </c>
      <c r="D24" s="7">
        <v>0</v>
      </c>
      <c r="E24" s="7">
        <f>'ban co  2012 thue'!BR25</f>
        <v>0</v>
      </c>
      <c r="F24" s="7">
        <f>'ban co  2012 thue'!BS25</f>
        <v>0</v>
      </c>
      <c r="G24" s="7">
        <f t="shared" si="1"/>
        <v>0</v>
      </c>
      <c r="H24" s="7">
        <f t="shared" si="0"/>
        <v>0</v>
      </c>
    </row>
    <row r="25" spans="1:9" ht="18.75" customHeight="1">
      <c r="A25" s="5">
        <v>335</v>
      </c>
      <c r="B25" s="6" t="s">
        <v>281</v>
      </c>
      <c r="C25" s="7">
        <v>0</v>
      </c>
      <c r="D25" s="7">
        <v>4725192000</v>
      </c>
      <c r="E25" s="7">
        <f>'ban co  2012 thue'!BR26</f>
        <v>4725192000</v>
      </c>
      <c r="F25" s="7">
        <f>'ban co  2012 thue'!BS26</f>
        <v>0</v>
      </c>
      <c r="G25" s="7">
        <f t="shared" si="1"/>
        <v>0</v>
      </c>
      <c r="H25" s="7">
        <f t="shared" si="0"/>
        <v>0</v>
      </c>
      <c r="I25" s="177">
        <f>F28-6721086366-7868273</f>
        <v>3962724295</v>
      </c>
    </row>
    <row r="26" spans="1:8" ht="18.75" customHeight="1">
      <c r="A26" s="5">
        <v>311</v>
      </c>
      <c r="B26" s="6" t="s">
        <v>202</v>
      </c>
      <c r="C26" s="7">
        <v>0</v>
      </c>
      <c r="D26" s="7">
        <v>15000000000</v>
      </c>
      <c r="E26" s="7">
        <f>'ban co  2012 thue'!BR27</f>
        <v>15000000000</v>
      </c>
      <c r="F26" s="7">
        <f>'ban co  2012 thue'!BS27</f>
        <v>3800000000</v>
      </c>
      <c r="G26" s="7">
        <f t="shared" si="1"/>
        <v>0</v>
      </c>
      <c r="H26" s="7">
        <f t="shared" si="0"/>
        <v>3800000000</v>
      </c>
    </row>
    <row r="27" spans="1:10" ht="18.75" customHeight="1">
      <c r="A27" s="5">
        <v>331</v>
      </c>
      <c r="B27" s="6" t="s">
        <v>31</v>
      </c>
      <c r="C27" s="250">
        <v>339593226</v>
      </c>
      <c r="D27" s="250">
        <v>16763463444</v>
      </c>
      <c r="E27" s="7">
        <f>'ban co  2012 thue'!BR28</f>
        <v>86004009054</v>
      </c>
      <c r="F27" s="7">
        <f>'ban co  2012 thue'!BS28</f>
        <v>76614434756</v>
      </c>
      <c r="G27" s="250">
        <v>745887000</v>
      </c>
      <c r="H27" s="250">
        <v>7780182920</v>
      </c>
      <c r="I27" s="211"/>
      <c r="J27" s="146"/>
    </row>
    <row r="28" spans="1:10" ht="18.75" customHeight="1">
      <c r="A28" s="5">
        <v>3331</v>
      </c>
      <c r="B28" s="6" t="s">
        <v>32</v>
      </c>
      <c r="C28" s="250">
        <v>0</v>
      </c>
      <c r="D28" s="250">
        <f>3066053541</f>
        <v>3066053541</v>
      </c>
      <c r="E28" s="7">
        <f>'ban co  2012 thue'!BR29</f>
        <v>10895486602</v>
      </c>
      <c r="F28" s="7">
        <f>'ban co  2012 thue'!BS29</f>
        <v>10691678934</v>
      </c>
      <c r="G28" s="7">
        <f t="shared" si="1"/>
        <v>0</v>
      </c>
      <c r="H28" s="7">
        <f t="shared" si="0"/>
        <v>2862245873</v>
      </c>
      <c r="I28" s="211">
        <v>2880490147</v>
      </c>
      <c r="J28" s="146"/>
    </row>
    <row r="29" spans="1:11" s="366" customFormat="1" ht="18.75" customHeight="1">
      <c r="A29" s="362">
        <v>3334</v>
      </c>
      <c r="B29" s="363" t="s">
        <v>236</v>
      </c>
      <c r="C29" s="250">
        <f>45369150</f>
        <v>45369150</v>
      </c>
      <c r="D29" s="250">
        <v>0</v>
      </c>
      <c r="E29" s="250">
        <f>'ban co  2012 thue'!BR30</f>
        <v>471686448</v>
      </c>
      <c r="F29" s="250">
        <f>'ban co  2012 thue'!BS30</f>
        <v>441649330</v>
      </c>
      <c r="G29" s="250">
        <f t="shared" si="1"/>
        <v>75406268</v>
      </c>
      <c r="H29" s="250">
        <f t="shared" si="0"/>
        <v>0</v>
      </c>
      <c r="I29" s="364">
        <v>184072241</v>
      </c>
      <c r="J29" s="365"/>
      <c r="K29" s="365"/>
    </row>
    <row r="30" spans="1:9" ht="18.75" customHeight="1">
      <c r="A30" s="5">
        <v>3335</v>
      </c>
      <c r="B30" s="6" t="s">
        <v>212</v>
      </c>
      <c r="C30" s="7">
        <v>0</v>
      </c>
      <c r="D30" s="7">
        <v>156291101</v>
      </c>
      <c r="E30" s="7">
        <f>'ban co  2012 thue'!BR31</f>
        <v>187744271</v>
      </c>
      <c r="F30" s="7">
        <f>'ban co  2012 thue'!BS31</f>
        <v>277806633</v>
      </c>
      <c r="G30" s="7">
        <f t="shared" si="1"/>
        <v>0</v>
      </c>
      <c r="H30" s="7">
        <f t="shared" si="0"/>
        <v>246353463</v>
      </c>
      <c r="I30" s="177">
        <v>106876843</v>
      </c>
    </row>
    <row r="31" spans="1:9" ht="18.75" customHeight="1">
      <c r="A31" s="5">
        <v>3336</v>
      </c>
      <c r="B31" s="6" t="s">
        <v>292</v>
      </c>
      <c r="C31" s="7">
        <v>0</v>
      </c>
      <c r="D31" s="7">
        <v>0</v>
      </c>
      <c r="E31" s="7">
        <f>'ban co  2012 thue'!AE72</f>
        <v>829864000</v>
      </c>
      <c r="F31" s="7">
        <f>'ban co  2012 thue'!BS32</f>
        <v>922732400</v>
      </c>
      <c r="G31" s="7">
        <f t="shared" si="1"/>
        <v>0</v>
      </c>
      <c r="H31" s="7">
        <f t="shared" si="0"/>
        <v>92868400</v>
      </c>
      <c r="I31" s="177">
        <f>D28-I28</f>
        <v>185563394</v>
      </c>
    </row>
    <row r="32" spans="1:8" ht="18.75" customHeight="1">
      <c r="A32" s="5">
        <v>3337</v>
      </c>
      <c r="B32" s="6" t="s">
        <v>33</v>
      </c>
      <c r="C32" s="7">
        <v>0</v>
      </c>
      <c r="D32" s="7">
        <v>0</v>
      </c>
      <c r="E32" s="7">
        <f>'ban co  2012 thue'!BR33</f>
        <v>1538733034</v>
      </c>
      <c r="F32" s="7">
        <f>'ban co  2012 thue'!BS33</f>
        <v>1538733034</v>
      </c>
      <c r="G32" s="7">
        <f t="shared" si="1"/>
        <v>0</v>
      </c>
      <c r="H32" s="7">
        <f t="shared" si="0"/>
        <v>0</v>
      </c>
    </row>
    <row r="33" spans="1:11" s="144" customFormat="1" ht="18.75" customHeight="1">
      <c r="A33" s="65">
        <v>334</v>
      </c>
      <c r="B33" s="66" t="s">
        <v>34</v>
      </c>
      <c r="C33" s="67">
        <v>0</v>
      </c>
      <c r="D33" s="67">
        <v>0</v>
      </c>
      <c r="E33" s="67">
        <f>'ban co  2012 thue'!BR34</f>
        <v>14281584949</v>
      </c>
      <c r="F33" s="67">
        <f>'ban co  2012 thue'!BS34</f>
        <v>14281584949</v>
      </c>
      <c r="G33" s="67">
        <f t="shared" si="1"/>
        <v>0</v>
      </c>
      <c r="H33" s="67">
        <f t="shared" si="0"/>
        <v>0</v>
      </c>
      <c r="I33" s="211"/>
      <c r="J33" s="146"/>
      <c r="K33" s="146"/>
    </row>
    <row r="34" spans="1:8" ht="18.75" customHeight="1">
      <c r="A34" s="5">
        <v>3382</v>
      </c>
      <c r="B34" s="6" t="s">
        <v>35</v>
      </c>
      <c r="C34" s="7"/>
      <c r="D34" s="7">
        <v>0</v>
      </c>
      <c r="E34" s="7">
        <f>'ban co  2012 thue'!BR36</f>
        <v>208224276</v>
      </c>
      <c r="F34" s="7">
        <f>'ban co  2012 thue'!BS36</f>
        <v>208224276</v>
      </c>
      <c r="G34" s="7">
        <f t="shared" si="1"/>
        <v>0</v>
      </c>
      <c r="H34" s="7">
        <f t="shared" si="0"/>
        <v>0</v>
      </c>
    </row>
    <row r="35" spans="1:8" ht="18.75" customHeight="1">
      <c r="A35" s="5">
        <v>3383</v>
      </c>
      <c r="B35" s="6" t="s">
        <v>36</v>
      </c>
      <c r="C35" s="7">
        <v>162906668</v>
      </c>
      <c r="D35" s="7">
        <v>0</v>
      </c>
      <c r="E35" s="7">
        <f>'ban co  2012 thue'!BR37</f>
        <v>1864347012</v>
      </c>
      <c r="F35" s="7">
        <f>'ban co  2012 thue'!BS37</f>
        <v>1908068365</v>
      </c>
      <c r="G35" s="7">
        <f t="shared" si="1"/>
        <v>119185315</v>
      </c>
      <c r="H35" s="7">
        <f t="shared" si="0"/>
        <v>0</v>
      </c>
    </row>
    <row r="36" spans="1:11" s="144" customFormat="1" ht="18.75" customHeight="1">
      <c r="A36" s="65">
        <v>3384</v>
      </c>
      <c r="B36" s="66" t="s">
        <v>37</v>
      </c>
      <c r="C36" s="67">
        <v>0</v>
      </c>
      <c r="D36" s="67"/>
      <c r="E36" s="67">
        <f>'ban co  2012 thue'!BR38</f>
        <v>333961698</v>
      </c>
      <c r="F36" s="67">
        <f>'ban co  2012 thue'!BS38</f>
        <v>333961698</v>
      </c>
      <c r="G36" s="67">
        <f t="shared" si="1"/>
        <v>0</v>
      </c>
      <c r="H36" s="67">
        <f t="shared" si="0"/>
        <v>0</v>
      </c>
      <c r="I36" s="211"/>
      <c r="J36" s="146"/>
      <c r="K36" s="146"/>
    </row>
    <row r="37" spans="1:11" s="144" customFormat="1" ht="18.75" customHeight="1">
      <c r="A37" s="65">
        <v>3386</v>
      </c>
      <c r="B37" s="6" t="s">
        <v>312</v>
      </c>
      <c r="C37" s="67"/>
      <c r="D37" s="67"/>
      <c r="E37" s="67">
        <f>'ban co  2012 thue'!BR39</f>
        <v>0</v>
      </c>
      <c r="F37" s="67">
        <f>'ban co  2012 thue'!BS39</f>
        <v>296645952</v>
      </c>
      <c r="G37" s="67">
        <f t="shared" si="1"/>
        <v>0</v>
      </c>
      <c r="H37" s="67">
        <f t="shared" si="0"/>
        <v>296645952</v>
      </c>
      <c r="I37" s="211"/>
      <c r="J37" s="146"/>
      <c r="K37" s="146"/>
    </row>
    <row r="38" spans="1:8" ht="18.75" customHeight="1">
      <c r="A38" s="5">
        <v>3387</v>
      </c>
      <c r="B38" s="6" t="s">
        <v>38</v>
      </c>
      <c r="C38" s="7">
        <v>0</v>
      </c>
      <c r="D38" s="67">
        <v>51651485916</v>
      </c>
      <c r="E38" s="7">
        <f>'ban co  2012 thue'!BR40</f>
        <v>51651485916</v>
      </c>
      <c r="F38" s="67">
        <f>'ban co  2012 thue'!BS40</f>
        <v>3869812007</v>
      </c>
      <c r="G38" s="7">
        <f t="shared" si="1"/>
        <v>0</v>
      </c>
      <c r="H38" s="7">
        <f t="shared" si="0"/>
        <v>3869812007</v>
      </c>
    </row>
    <row r="39" spans="1:9" ht="18.75" customHeight="1">
      <c r="A39" s="65">
        <v>3388</v>
      </c>
      <c r="B39" s="66" t="s">
        <v>39</v>
      </c>
      <c r="C39" s="67">
        <v>0</v>
      </c>
      <c r="D39" s="7">
        <v>1867424465</v>
      </c>
      <c r="E39" s="7">
        <f>'ban co  2012 thue'!BR41</f>
        <v>9280555232</v>
      </c>
      <c r="F39" s="7">
        <f>'ban co  2012 thue'!BS41</f>
        <v>7016897471</v>
      </c>
      <c r="G39" s="67">
        <f t="shared" si="1"/>
        <v>396233296</v>
      </c>
      <c r="H39" s="67">
        <f t="shared" si="0"/>
        <v>0</v>
      </c>
      <c r="I39" s="177">
        <f>E34+E35+E36+E40</f>
        <v>2550293048</v>
      </c>
    </row>
    <row r="40" spans="1:8" ht="18.75" customHeight="1">
      <c r="A40" s="5">
        <v>3389</v>
      </c>
      <c r="B40" s="6" t="s">
        <v>222</v>
      </c>
      <c r="C40" s="7">
        <v>0</v>
      </c>
      <c r="D40" s="7"/>
      <c r="E40" s="7">
        <f>'ban co  2012 thue'!BR42</f>
        <v>143760062</v>
      </c>
      <c r="F40" s="7">
        <f>'ban co  2012 thue'!BS42</f>
        <v>143760062</v>
      </c>
      <c r="G40" s="7">
        <f t="shared" si="1"/>
        <v>0</v>
      </c>
      <c r="H40" s="7">
        <f t="shared" si="0"/>
        <v>0</v>
      </c>
    </row>
    <row r="41" spans="1:8" ht="18.75" customHeight="1">
      <c r="A41" s="5">
        <v>344</v>
      </c>
      <c r="B41" s="6" t="s">
        <v>272</v>
      </c>
      <c r="C41" s="7">
        <v>0</v>
      </c>
      <c r="D41" s="7">
        <v>363300384</v>
      </c>
      <c r="E41" s="7">
        <f>'ban co  2012 thue'!BR35</f>
        <v>363300384</v>
      </c>
      <c r="F41" s="7">
        <f>'ban co  2012 thue'!BS35</f>
        <v>71115550</v>
      </c>
      <c r="G41" s="7">
        <f t="shared" si="1"/>
        <v>0</v>
      </c>
      <c r="H41" s="7">
        <f t="shared" si="0"/>
        <v>71115550</v>
      </c>
    </row>
    <row r="42" spans="1:14" ht="18.75" customHeight="1">
      <c r="A42" s="5">
        <v>351</v>
      </c>
      <c r="B42" s="6" t="s">
        <v>226</v>
      </c>
      <c r="C42" s="7">
        <v>0</v>
      </c>
      <c r="D42" s="7">
        <v>500220125</v>
      </c>
      <c r="E42" s="7">
        <f>'ban co  2012 thue'!BR43</f>
        <v>500220125</v>
      </c>
      <c r="F42" s="7">
        <f>'ban co  2012 thue'!BS43</f>
        <v>0</v>
      </c>
      <c r="G42" s="7">
        <f t="shared" si="1"/>
        <v>0</v>
      </c>
      <c r="H42" s="7">
        <f t="shared" si="0"/>
        <v>0</v>
      </c>
      <c r="L42" s="1" t="s">
        <v>258</v>
      </c>
      <c r="M42" s="1" t="s">
        <v>256</v>
      </c>
      <c r="N42" s="2" t="s">
        <v>257</v>
      </c>
    </row>
    <row r="43" spans="1:13" ht="18.75" customHeight="1">
      <c r="A43" s="5">
        <v>411</v>
      </c>
      <c r="B43" s="6" t="s">
        <v>40</v>
      </c>
      <c r="C43" s="7">
        <v>0</v>
      </c>
      <c r="D43" s="7">
        <v>51297001649</v>
      </c>
      <c r="E43" s="7">
        <f>'ban co  2012 thue'!BR44</f>
        <v>0</v>
      </c>
      <c r="F43" s="7">
        <f>'ban co  2012 thue'!BS44</f>
        <v>3918304668</v>
      </c>
      <c r="G43" s="7">
        <f t="shared" si="1"/>
        <v>0</v>
      </c>
      <c r="H43" s="250">
        <f t="shared" si="0"/>
        <v>55215306317</v>
      </c>
      <c r="L43" s="1"/>
      <c r="M43" s="1"/>
    </row>
    <row r="44" spans="1:14" ht="18.75" customHeight="1">
      <c r="A44" s="5">
        <v>413</v>
      </c>
      <c r="B44" s="6" t="s">
        <v>220</v>
      </c>
      <c r="C44" s="7">
        <v>0</v>
      </c>
      <c r="D44" s="7">
        <v>0</v>
      </c>
      <c r="E44" s="7">
        <f>'ban co  2012 thue'!BR45</f>
        <v>19572</v>
      </c>
      <c r="F44" s="7">
        <f>'ban co  2012 thue'!BS45</f>
        <v>19572</v>
      </c>
      <c r="G44" s="7">
        <f t="shared" si="1"/>
        <v>0</v>
      </c>
      <c r="H44" s="250">
        <f t="shared" si="0"/>
        <v>0</v>
      </c>
      <c r="L44" s="1">
        <v>10909090896</v>
      </c>
      <c r="M44" s="1">
        <v>708301440</v>
      </c>
      <c r="N44" s="178">
        <v>1321482182</v>
      </c>
    </row>
    <row r="45" spans="1:14" ht="18.75" customHeight="1">
      <c r="A45" s="5">
        <v>414</v>
      </c>
      <c r="B45" s="6" t="s">
        <v>293</v>
      </c>
      <c r="C45" s="7">
        <v>0</v>
      </c>
      <c r="D45" s="7">
        <v>3837970009</v>
      </c>
      <c r="E45" s="7">
        <f>'ban co  2012 thue'!BR46</f>
        <v>2140263030</v>
      </c>
      <c r="F45" s="7">
        <f>'ban co  2012 thue'!BS46</f>
        <v>0</v>
      </c>
      <c r="G45" s="7"/>
      <c r="H45" s="250">
        <f t="shared" si="0"/>
        <v>1697706979</v>
      </c>
      <c r="L45" s="1">
        <v>9873636359</v>
      </c>
      <c r="M45" s="1">
        <v>560847125</v>
      </c>
      <c r="N45" s="178">
        <v>991111636</v>
      </c>
    </row>
    <row r="46" spans="1:14" ht="18.75" customHeight="1">
      <c r="A46" s="5">
        <v>415</v>
      </c>
      <c r="B46" s="6" t="s">
        <v>221</v>
      </c>
      <c r="C46" s="7">
        <v>0</v>
      </c>
      <c r="D46" s="7">
        <v>1342750009</v>
      </c>
      <c r="E46" s="7">
        <f>'ban co  2012 thue'!BR47</f>
        <v>0</v>
      </c>
      <c r="F46" s="7">
        <f>'ban co  2012 thue'!BS47</f>
        <v>406771744</v>
      </c>
      <c r="G46" s="7">
        <f>IF((E45+C45)&gt;(F45+D45),(E45+C45)-(F45+D45),0)</f>
        <v>0</v>
      </c>
      <c r="H46" s="250">
        <f t="shared" si="0"/>
        <v>1749521753</v>
      </c>
      <c r="L46" s="1">
        <v>59898301654</v>
      </c>
      <c r="M46" s="1">
        <v>560847125</v>
      </c>
      <c r="N46" s="178">
        <v>655657091</v>
      </c>
    </row>
    <row r="47" spans="1:14" ht="18.75" customHeight="1">
      <c r="A47" s="5">
        <v>418</v>
      </c>
      <c r="B47" s="6" t="s">
        <v>223</v>
      </c>
      <c r="C47" s="7"/>
      <c r="D47" s="7">
        <v>222856727</v>
      </c>
      <c r="E47" s="7">
        <f>'ban co  2012 thue'!BR48</f>
        <v>222856727</v>
      </c>
      <c r="F47" s="7">
        <f>'ban co  2012 thue'!BS48</f>
        <v>0</v>
      </c>
      <c r="G47" s="7">
        <f>IF((E46+C46)&gt;(F46+D46),(E46+C46)-(F46+D46),0)</f>
        <v>0</v>
      </c>
      <c r="H47" s="7">
        <f t="shared" si="0"/>
        <v>0</v>
      </c>
      <c r="L47" s="1"/>
      <c r="M47" s="1">
        <v>547672388</v>
      </c>
      <c r="N47" s="178">
        <v>655657091</v>
      </c>
    </row>
    <row r="48" spans="1:14" ht="18.75" customHeight="1">
      <c r="A48" s="5">
        <v>421</v>
      </c>
      <c r="B48" s="6" t="s">
        <v>41</v>
      </c>
      <c r="C48" s="250"/>
      <c r="D48" s="250"/>
      <c r="E48" s="250">
        <f>'ban co  2012 thue'!BR49</f>
        <v>4749870052</v>
      </c>
      <c r="F48" s="7">
        <f>'ban co  2012 thue'!BS49</f>
        <v>4749870052</v>
      </c>
      <c r="G48" s="7"/>
      <c r="H48" s="368">
        <f t="shared" si="0"/>
        <v>0</v>
      </c>
      <c r="L48" s="1"/>
      <c r="M48" s="1">
        <v>550412260</v>
      </c>
      <c r="N48" s="178">
        <v>655657091</v>
      </c>
    </row>
    <row r="49" spans="1:14" ht="18.75" customHeight="1">
      <c r="A49" s="5">
        <v>353</v>
      </c>
      <c r="B49" s="6" t="s">
        <v>42</v>
      </c>
      <c r="C49" s="7">
        <v>0</v>
      </c>
      <c r="D49" s="7">
        <v>2601747507</v>
      </c>
      <c r="E49" s="7">
        <f>'ban co  2012 thue'!BR50</f>
        <v>3999358200</v>
      </c>
      <c r="F49" s="7">
        <f>'ban co  2012 thue'!BS50</f>
        <v>2319510779</v>
      </c>
      <c r="G49" s="7">
        <f t="shared" si="1"/>
        <v>0</v>
      </c>
      <c r="H49" s="250">
        <f>IF((F49+D49)&gt;(E49+C49),(F49+D49)-(E49+C49),0)</f>
        <v>921900086</v>
      </c>
      <c r="L49" s="1"/>
      <c r="M49" s="1">
        <v>722788477</v>
      </c>
      <c r="N49" s="178">
        <v>857847273</v>
      </c>
    </row>
    <row r="50" spans="1:14" ht="15" customHeight="1">
      <c r="A50" s="5">
        <v>441</v>
      </c>
      <c r="B50" s="6" t="s">
        <v>43</v>
      </c>
      <c r="C50" s="7">
        <v>0</v>
      </c>
      <c r="D50" s="7">
        <v>0</v>
      </c>
      <c r="E50" s="7">
        <f>'ban co  2012 thue'!BR51</f>
        <v>0</v>
      </c>
      <c r="F50" s="7">
        <f>'ban co  2012 thue'!BS51</f>
        <v>0</v>
      </c>
      <c r="G50" s="7">
        <f t="shared" si="1"/>
        <v>0</v>
      </c>
      <c r="H50" s="7">
        <f aca="true" t="shared" si="2" ref="H50:H63">IF((F50+D50)&gt;(E50+C50),(F50+D50)-(E50+C50),0)</f>
        <v>0</v>
      </c>
      <c r="L50" s="1"/>
      <c r="M50" s="1">
        <v>644437315</v>
      </c>
      <c r="N50" s="178">
        <v>779325745</v>
      </c>
    </row>
    <row r="51" spans="1:14" ht="18.75" customHeight="1">
      <c r="A51" s="5">
        <v>511</v>
      </c>
      <c r="B51" s="6" t="s">
        <v>44</v>
      </c>
      <c r="C51" s="7">
        <v>0</v>
      </c>
      <c r="D51" s="7">
        <v>0</v>
      </c>
      <c r="E51" s="7">
        <f>'ban co  2012 thue'!BR53</f>
        <v>146308086464</v>
      </c>
      <c r="F51" s="67">
        <f>'ban co  2012 thue'!BS52+'ban co  2012 thue'!BS53+'ban co  2012 thue'!BS54</f>
        <v>146308086464</v>
      </c>
      <c r="G51" s="7">
        <f t="shared" si="1"/>
        <v>0</v>
      </c>
      <c r="H51" s="7">
        <f t="shared" si="2"/>
        <v>0</v>
      </c>
      <c r="L51" s="1"/>
      <c r="M51" s="1">
        <v>667796212</v>
      </c>
      <c r="N51" s="178">
        <v>1111896727</v>
      </c>
    </row>
    <row r="52" spans="1:14" ht="18.75" customHeight="1">
      <c r="A52" s="5">
        <v>531</v>
      </c>
      <c r="B52" s="6" t="s">
        <v>45</v>
      </c>
      <c r="C52" s="7">
        <v>0</v>
      </c>
      <c r="D52" s="7">
        <v>0</v>
      </c>
      <c r="E52" s="7">
        <f>'ban co  2012 thue'!BR55</f>
        <v>78682727</v>
      </c>
      <c r="F52" s="7">
        <f>'ban co  2012 thue'!BS55</f>
        <v>78682727</v>
      </c>
      <c r="G52" s="7">
        <f t="shared" si="1"/>
        <v>0</v>
      </c>
      <c r="H52" s="7">
        <f t="shared" si="2"/>
        <v>0</v>
      </c>
      <c r="L52" s="1"/>
      <c r="M52" s="1">
        <v>780950006</v>
      </c>
      <c r="N52" s="178">
        <v>1111896727</v>
      </c>
    </row>
    <row r="53" spans="1:14" ht="18.75" customHeight="1">
      <c r="A53" s="5">
        <v>515</v>
      </c>
      <c r="B53" s="6" t="s">
        <v>232</v>
      </c>
      <c r="C53" s="7">
        <v>0</v>
      </c>
      <c r="D53" s="7">
        <v>0</v>
      </c>
      <c r="E53" s="7">
        <f>'ban co  2012 thue'!BR57</f>
        <v>14814428122</v>
      </c>
      <c r="F53" s="7">
        <f>'ban co  2012 thue'!BS57</f>
        <v>14814428122</v>
      </c>
      <c r="G53" s="7">
        <f t="shared" si="1"/>
        <v>0</v>
      </c>
      <c r="H53" s="7">
        <f t="shared" si="2"/>
        <v>0</v>
      </c>
      <c r="L53" s="177">
        <f>SUM(L44:L52)</f>
        <v>80681028909</v>
      </c>
      <c r="M53" s="177">
        <f>SUM(M44:M52)+582106744</f>
        <v>6326159092</v>
      </c>
      <c r="N53" s="179">
        <f>SUM(N44:N52)</f>
        <v>8140531563</v>
      </c>
    </row>
    <row r="54" spans="1:14" ht="13.5" customHeight="1">
      <c r="A54" s="5">
        <v>621</v>
      </c>
      <c r="B54" s="6" t="s">
        <v>270</v>
      </c>
      <c r="C54" s="7">
        <v>0</v>
      </c>
      <c r="D54" s="7">
        <v>0</v>
      </c>
      <c r="E54" s="7">
        <f>'ban co  2012 thue'!BR58</f>
        <v>0</v>
      </c>
      <c r="F54" s="7">
        <f>'ban co  2012 thue'!BS58</f>
        <v>0</v>
      </c>
      <c r="G54" s="7">
        <f t="shared" si="1"/>
        <v>0</v>
      </c>
      <c r="H54" s="7">
        <f t="shared" si="2"/>
        <v>0</v>
      </c>
      <c r="L54" s="177"/>
      <c r="M54" s="177"/>
      <c r="N54" s="179"/>
    </row>
    <row r="55" spans="1:14" ht="15" customHeight="1">
      <c r="A55" s="5">
        <v>622</v>
      </c>
      <c r="B55" s="6" t="s">
        <v>271</v>
      </c>
      <c r="C55" s="7">
        <v>0</v>
      </c>
      <c r="D55" s="7">
        <v>0</v>
      </c>
      <c r="E55" s="7">
        <f>'ban co  2012 thue'!BR59</f>
        <v>0</v>
      </c>
      <c r="F55" s="7">
        <f>'ban co  2012 thue'!BS59</f>
        <v>0</v>
      </c>
      <c r="G55" s="7">
        <f t="shared" si="1"/>
        <v>0</v>
      </c>
      <c r="H55" s="7">
        <f t="shared" si="2"/>
        <v>0</v>
      </c>
      <c r="L55" s="177"/>
      <c r="M55" s="177"/>
      <c r="N55" s="179"/>
    </row>
    <row r="56" spans="1:13" ht="18.75" customHeight="1">
      <c r="A56" s="5">
        <v>627</v>
      </c>
      <c r="B56" s="6" t="s">
        <v>46</v>
      </c>
      <c r="C56" s="7">
        <v>0</v>
      </c>
      <c r="D56" s="7">
        <v>0</v>
      </c>
      <c r="E56" s="7">
        <f>'ban co  2012 thue'!BR61+'ban co  2012 thue'!BR62+'ban co  2012 thue'!BR63+'ban co  2012 thue'!BR60</f>
        <v>25396539071</v>
      </c>
      <c r="F56" s="7">
        <f>'ban co  2012 thue'!BS61+'ban co  2012 thue'!BS62+'ban co  2012 thue'!BS63+'ban co  2012 thue'!BS60</f>
        <v>25396539071</v>
      </c>
      <c r="G56" s="7">
        <f t="shared" si="1"/>
        <v>0</v>
      </c>
      <c r="H56" s="7">
        <f t="shared" si="2"/>
        <v>0</v>
      </c>
      <c r="L56" s="1"/>
      <c r="M56" s="1"/>
    </row>
    <row r="57" spans="1:13" ht="18.75" customHeight="1">
      <c r="A57" s="5">
        <v>632</v>
      </c>
      <c r="B57" s="6" t="s">
        <v>49</v>
      </c>
      <c r="C57" s="7">
        <v>0</v>
      </c>
      <c r="D57" s="7">
        <v>0</v>
      </c>
      <c r="E57" s="7">
        <f>'ban co  2012 thue'!BR66</f>
        <v>128171650210</v>
      </c>
      <c r="F57" s="7">
        <f>'ban co  2012 thue'!BS66</f>
        <v>128171650210</v>
      </c>
      <c r="G57" s="7">
        <f t="shared" si="1"/>
        <v>0</v>
      </c>
      <c r="H57" s="7">
        <f t="shared" si="2"/>
        <v>0</v>
      </c>
      <c r="L57" s="1"/>
      <c r="M57" s="1"/>
    </row>
    <row r="58" spans="1:13" ht="18" customHeight="1">
      <c r="A58" s="5">
        <v>635</v>
      </c>
      <c r="B58" s="6" t="s">
        <v>297</v>
      </c>
      <c r="C58" s="7"/>
      <c r="D58" s="7"/>
      <c r="E58" s="7">
        <f>'ban co  2012 thue'!BR67</f>
        <v>1024600000</v>
      </c>
      <c r="F58" s="7">
        <f>'ban co  2012 thue'!BS67</f>
        <v>1024600000</v>
      </c>
      <c r="G58" s="7">
        <f t="shared" si="1"/>
        <v>0</v>
      </c>
      <c r="H58" s="7">
        <f t="shared" si="2"/>
        <v>0</v>
      </c>
      <c r="L58" s="1"/>
      <c r="M58" s="1"/>
    </row>
    <row r="59" spans="1:13" ht="18" customHeight="1">
      <c r="A59" s="5">
        <v>641</v>
      </c>
      <c r="B59" s="6" t="s">
        <v>47</v>
      </c>
      <c r="C59" s="7">
        <v>0</v>
      </c>
      <c r="D59" s="7">
        <v>0</v>
      </c>
      <c r="E59" s="7">
        <f>'ban co  2012 thue'!BR64</f>
        <v>3738634532</v>
      </c>
      <c r="F59" s="7">
        <f>'ban co  2012 thue'!BS64</f>
        <v>3738634532</v>
      </c>
      <c r="G59" s="7">
        <f t="shared" si="1"/>
        <v>0</v>
      </c>
      <c r="H59" s="7">
        <f t="shared" si="2"/>
        <v>0</v>
      </c>
      <c r="L59" s="1"/>
      <c r="M59" s="180" t="s">
        <v>259</v>
      </c>
    </row>
    <row r="60" spans="1:13" ht="18.75" customHeight="1">
      <c r="A60" s="5">
        <v>642</v>
      </c>
      <c r="B60" s="6" t="s">
        <v>48</v>
      </c>
      <c r="C60" s="7">
        <v>0</v>
      </c>
      <c r="D60" s="7">
        <v>0</v>
      </c>
      <c r="E60" s="7">
        <f>'ban co  2012 thue'!BR65</f>
        <v>19403324922</v>
      </c>
      <c r="F60" s="7">
        <f>'ban co  2012 thue'!BS65</f>
        <v>19403324922</v>
      </c>
      <c r="G60" s="7">
        <f t="shared" si="1"/>
        <v>0</v>
      </c>
      <c r="H60" s="7">
        <f t="shared" si="2"/>
        <v>0</v>
      </c>
      <c r="L60" s="1"/>
      <c r="M60" s="1">
        <v>582106744</v>
      </c>
    </row>
    <row r="61" spans="1:13" ht="18.75" customHeight="1">
      <c r="A61" s="5">
        <v>711</v>
      </c>
      <c r="B61" s="6" t="s">
        <v>233</v>
      </c>
      <c r="C61" s="7">
        <v>0</v>
      </c>
      <c r="D61" s="7">
        <v>0</v>
      </c>
      <c r="E61" s="7">
        <f>'ban co  2012 thue'!BR68</f>
        <v>501740125</v>
      </c>
      <c r="F61" s="7">
        <f>'ban co  2012 thue'!BS68</f>
        <v>501740125</v>
      </c>
      <c r="G61" s="7">
        <f t="shared" si="1"/>
        <v>0</v>
      </c>
      <c r="H61" s="7">
        <f t="shared" si="2"/>
        <v>0</v>
      </c>
      <c r="L61" s="1"/>
      <c r="M61" s="1">
        <v>1448746218</v>
      </c>
    </row>
    <row r="62" spans="1:13" ht="18.75" customHeight="1">
      <c r="A62" s="5">
        <v>811</v>
      </c>
      <c r="B62" s="6" t="s">
        <v>234</v>
      </c>
      <c r="C62" s="7">
        <v>0</v>
      </c>
      <c r="D62" s="7">
        <v>0</v>
      </c>
      <c r="E62" s="7">
        <f>'ban co  2012 thue'!BR69</f>
        <v>7102366965</v>
      </c>
      <c r="F62" s="7">
        <f>'ban co  2012 thue'!BS69</f>
        <v>7102366965</v>
      </c>
      <c r="G62" s="7">
        <f t="shared" si="1"/>
        <v>0</v>
      </c>
      <c r="H62" s="7">
        <f t="shared" si="2"/>
        <v>0</v>
      </c>
      <c r="L62" s="1"/>
      <c r="M62" s="1">
        <v>4295306130</v>
      </c>
    </row>
    <row r="63" spans="1:13" ht="18.75" customHeight="1">
      <c r="A63" s="9">
        <v>911</v>
      </c>
      <c r="B63" s="10" t="s">
        <v>235</v>
      </c>
      <c r="C63" s="7">
        <v>0</v>
      </c>
      <c r="D63" s="7">
        <v>0</v>
      </c>
      <c r="E63" s="7">
        <f>'ban co  2012 thue'!BR70</f>
        <v>160912249154</v>
      </c>
      <c r="F63" s="7">
        <f>'ban co  2012 thue'!BS70</f>
        <v>160912249154</v>
      </c>
      <c r="G63" s="7">
        <f t="shared" si="1"/>
        <v>0</v>
      </c>
      <c r="H63" s="7">
        <f t="shared" si="2"/>
        <v>0</v>
      </c>
      <c r="L63" s="1"/>
      <c r="M63" s="1"/>
    </row>
    <row r="64" spans="1:13" s="71" customFormat="1" ht="18.75" customHeight="1">
      <c r="A64" s="120"/>
      <c r="B64" s="120" t="s">
        <v>227</v>
      </c>
      <c r="C64" s="11">
        <f aca="true" t="shared" si="3" ref="C64:H64">SUM(C4:C63)</f>
        <v>165661071726</v>
      </c>
      <c r="D64" s="11">
        <f t="shared" si="3"/>
        <v>165661071726</v>
      </c>
      <c r="E64" s="11">
        <f t="shared" si="3"/>
        <v>1683796190987</v>
      </c>
      <c r="F64" s="11">
        <f t="shared" si="3"/>
        <v>1683796190987</v>
      </c>
      <c r="G64" s="11">
        <f t="shared" si="3"/>
        <v>90225656403</v>
      </c>
      <c r="H64" s="11">
        <f t="shared" si="3"/>
        <v>90225656403</v>
      </c>
      <c r="I64" s="147"/>
      <c r="L64" s="147"/>
      <c r="M64" s="147"/>
    </row>
    <row r="65" spans="2:13" s="12" customFormat="1" ht="16.5" customHeight="1">
      <c r="B65" s="396" t="s">
        <v>50</v>
      </c>
      <c r="C65" s="396"/>
      <c r="D65" s="123"/>
      <c r="E65" s="13"/>
      <c r="F65" s="390" t="s">
        <v>51</v>
      </c>
      <c r="G65" s="390"/>
      <c r="H65" s="13"/>
      <c r="I65" s="13">
        <f>G64-H64</f>
        <v>0</v>
      </c>
      <c r="L65" s="13"/>
      <c r="M65" s="13">
        <f>SUM(M60:M64)</f>
        <v>6326159092</v>
      </c>
    </row>
    <row r="66" spans="4:13" ht="16.5" customHeight="1">
      <c r="D66" s="1">
        <f>C64-D64</f>
        <v>0</v>
      </c>
      <c r="H66" s="14"/>
      <c r="L66" s="1"/>
      <c r="M66" s="1"/>
    </row>
    <row r="67" spans="2:11" s="69" customFormat="1" ht="16.5" customHeight="1">
      <c r="B67" s="68"/>
      <c r="C67" s="70"/>
      <c r="D67" s="70"/>
      <c r="E67" s="70"/>
      <c r="F67" s="70">
        <f>F63-E63</f>
        <v>0</v>
      </c>
      <c r="G67" s="70"/>
      <c r="H67" s="70"/>
      <c r="I67" s="74"/>
      <c r="J67" s="70"/>
      <c r="K67" s="75"/>
    </row>
    <row r="68" spans="2:11" s="69" customFormat="1" ht="16.5" customHeight="1">
      <c r="B68" s="68"/>
      <c r="C68" s="70"/>
      <c r="D68" s="70"/>
      <c r="E68" s="70"/>
      <c r="F68" s="70">
        <f>E64-F64</f>
        <v>0</v>
      </c>
      <c r="G68" s="70"/>
      <c r="H68" s="70">
        <f>G64-H64</f>
        <v>0</v>
      </c>
      <c r="I68" s="212"/>
      <c r="J68" s="70"/>
      <c r="K68" s="75"/>
    </row>
    <row r="69" ht="16.5">
      <c r="K69" s="75"/>
    </row>
    <row r="70" spans="5:6" ht="16.5">
      <c r="E70" s="75"/>
      <c r="F70" s="1">
        <f>F64-E64</f>
        <v>0</v>
      </c>
    </row>
  </sheetData>
  <mergeCells count="8">
    <mergeCell ref="F65:G65"/>
    <mergeCell ref="A2:A3"/>
    <mergeCell ref="A1:H1"/>
    <mergeCell ref="G2:H2"/>
    <mergeCell ref="E2:F2"/>
    <mergeCell ref="C2:D2"/>
    <mergeCell ref="B2:B3"/>
    <mergeCell ref="B65:C65"/>
  </mergeCells>
  <printOptions/>
  <pageMargins left="0.4" right="0.24" top="0.17" bottom="0.16" header="0.19" footer="0.19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0">
      <selection activeCell="F16" sqref="F16"/>
    </sheetView>
  </sheetViews>
  <sheetFormatPr defaultColWidth="9.00390625" defaultRowHeight="12.75"/>
  <cols>
    <col min="1" max="1" width="45.75390625" style="18" customWidth="1"/>
    <col min="2" max="2" width="6.875" style="18" customWidth="1"/>
    <col min="3" max="3" width="6.375" style="18" customWidth="1"/>
    <col min="4" max="4" width="21.125" style="40" customWidth="1"/>
    <col min="5" max="5" width="22.375" style="40" customWidth="1"/>
    <col min="6" max="6" width="24.625" style="18" customWidth="1"/>
    <col min="7" max="7" width="16.625" style="18" bestFit="1" customWidth="1"/>
    <col min="8" max="16384" width="9.125" style="18" customWidth="1"/>
  </cols>
  <sheetData>
    <row r="1" ht="15">
      <c r="A1" s="27" t="s">
        <v>52</v>
      </c>
    </row>
    <row r="2" ht="15">
      <c r="A2" s="27" t="s">
        <v>267</v>
      </c>
    </row>
    <row r="3" spans="1:5" ht="24" customHeight="1">
      <c r="A3" s="403" t="s">
        <v>306</v>
      </c>
      <c r="B3" s="403"/>
      <c r="C3" s="403"/>
      <c r="D3" s="403"/>
      <c r="E3" s="403"/>
    </row>
    <row r="4" spans="1:5" ht="24" customHeight="1">
      <c r="A4" s="404"/>
      <c r="B4" s="404"/>
      <c r="C4" s="404"/>
      <c r="D4" s="404"/>
      <c r="E4" s="404"/>
    </row>
    <row r="5" ht="15">
      <c r="E5" s="41" t="s">
        <v>58</v>
      </c>
    </row>
    <row r="6" spans="1:5" ht="15">
      <c r="A6" s="400" t="s">
        <v>53</v>
      </c>
      <c r="B6" s="399" t="s">
        <v>54</v>
      </c>
      <c r="C6" s="401" t="s">
        <v>55</v>
      </c>
      <c r="D6" s="398" t="s">
        <v>56</v>
      </c>
      <c r="E6" s="398" t="s">
        <v>57</v>
      </c>
    </row>
    <row r="7" spans="1:5" ht="15">
      <c r="A7" s="400"/>
      <c r="B7" s="399"/>
      <c r="C7" s="401"/>
      <c r="D7" s="398"/>
      <c r="E7" s="398"/>
    </row>
    <row r="8" spans="1:7" s="12" customFormat="1" ht="18.75" customHeight="1">
      <c r="A8" s="56" t="s">
        <v>140</v>
      </c>
      <c r="B8" s="30">
        <v>100</v>
      </c>
      <c r="C8" s="30"/>
      <c r="D8" s="55">
        <f>D10+D13+D16+D23+D26</f>
        <v>64284479432</v>
      </c>
      <c r="E8" s="55">
        <f>E10+E13+E16+E23+E26</f>
        <v>131564930192</v>
      </c>
      <c r="F8" s="59"/>
      <c r="G8" s="59"/>
    </row>
    <row r="9" spans="1:7" ht="18.75" customHeight="1">
      <c r="A9" s="29" t="s">
        <v>139</v>
      </c>
      <c r="B9" s="31"/>
      <c r="C9" s="31"/>
      <c r="D9" s="347"/>
      <c r="E9" s="61"/>
      <c r="F9" s="40"/>
      <c r="G9" s="40"/>
    </row>
    <row r="10" spans="1:7" s="25" customFormat="1" ht="18.75" customHeight="1">
      <c r="A10" s="24" t="s">
        <v>141</v>
      </c>
      <c r="B10" s="32">
        <v>110</v>
      </c>
      <c r="C10" s="32"/>
      <c r="D10" s="348">
        <f>SUM(D11:D12)</f>
        <v>36907971245</v>
      </c>
      <c r="E10" s="62">
        <f>SUM(E11:E12)</f>
        <v>11675584447</v>
      </c>
      <c r="F10" s="54"/>
      <c r="G10" s="54"/>
    </row>
    <row r="11" spans="1:7" ht="18.75" customHeight="1">
      <c r="A11" s="21" t="s">
        <v>59</v>
      </c>
      <c r="B11" s="33">
        <v>111</v>
      </c>
      <c r="C11" s="33" t="s">
        <v>144</v>
      </c>
      <c r="D11" s="136">
        <f>'BCDPS - 2012'!G4+'BCDPS - 2012'!G5</f>
        <v>18847971245</v>
      </c>
      <c r="E11" s="60">
        <f>'BCDPS - 2012'!C4+'BCDPS - 2012'!C5</f>
        <v>11675584447</v>
      </c>
      <c r="F11" s="40"/>
      <c r="G11" s="40"/>
    </row>
    <row r="12" spans="1:7" ht="18.75" customHeight="1">
      <c r="A12" s="21" t="s">
        <v>60</v>
      </c>
      <c r="B12" s="33">
        <v>112</v>
      </c>
      <c r="C12" s="33"/>
      <c r="D12" s="136">
        <v>18060000000</v>
      </c>
      <c r="E12" s="60"/>
      <c r="F12" s="40"/>
      <c r="G12" s="40"/>
    </row>
    <row r="13" spans="1:7" s="25" customFormat="1" ht="18.75" customHeight="1">
      <c r="A13" s="24" t="s">
        <v>61</v>
      </c>
      <c r="B13" s="32">
        <v>120</v>
      </c>
      <c r="C13" s="32" t="s">
        <v>145</v>
      </c>
      <c r="D13" s="348">
        <f>D14</f>
        <v>0</v>
      </c>
      <c r="E13" s="62">
        <f>E14</f>
        <v>50320000000</v>
      </c>
      <c r="F13" s="54"/>
      <c r="G13" s="54"/>
    </row>
    <row r="14" spans="1:7" ht="18.75" customHeight="1">
      <c r="A14" s="21" t="s">
        <v>62</v>
      </c>
      <c r="B14" s="33">
        <v>121</v>
      </c>
      <c r="C14" s="33"/>
      <c r="D14" s="136"/>
      <c r="E14" s="60">
        <f>'BCDPS - 2012'!C6</f>
        <v>50320000000</v>
      </c>
      <c r="F14" s="40"/>
      <c r="G14" s="40"/>
    </row>
    <row r="15" spans="1:7" ht="18.75" customHeight="1">
      <c r="A15" s="21" t="s">
        <v>63</v>
      </c>
      <c r="B15" s="33">
        <v>129</v>
      </c>
      <c r="C15" s="33"/>
      <c r="D15" s="136"/>
      <c r="E15" s="60"/>
      <c r="F15" s="40"/>
      <c r="G15" s="40"/>
    </row>
    <row r="16" spans="1:7" s="25" customFormat="1" ht="18.75" customHeight="1">
      <c r="A16" s="24" t="s">
        <v>64</v>
      </c>
      <c r="B16" s="32">
        <v>130</v>
      </c>
      <c r="C16" s="32"/>
      <c r="D16" s="348">
        <f>SUM(D17:D22)</f>
        <v>24168432012</v>
      </c>
      <c r="E16" s="62">
        <f>SUM(E17:E22)</f>
        <v>20754284957</v>
      </c>
      <c r="F16" s="54"/>
      <c r="G16" s="54"/>
    </row>
    <row r="17" spans="1:7" ht="18.75" customHeight="1">
      <c r="A17" s="21" t="s">
        <v>65</v>
      </c>
      <c r="B17" s="33">
        <v>131</v>
      </c>
      <c r="C17" s="33"/>
      <c r="D17" s="136">
        <f>'BCDPS - 2012'!G7</f>
        <v>22654130195</v>
      </c>
      <c r="E17" s="60">
        <f>'BCDPS - 2012'!C7</f>
        <v>20414691731</v>
      </c>
      <c r="F17" s="40"/>
      <c r="G17" s="40"/>
    </row>
    <row r="18" spans="1:7" ht="18.75" customHeight="1">
      <c r="A18" s="21" t="s">
        <v>66</v>
      </c>
      <c r="B18" s="33">
        <v>132</v>
      </c>
      <c r="C18" s="33"/>
      <c r="D18" s="136">
        <f>'BCDPS - 2012'!G27</f>
        <v>745887000</v>
      </c>
      <c r="E18" s="60">
        <f>'BCDPS - 2012'!C27</f>
        <v>339593226</v>
      </c>
      <c r="F18" s="40"/>
      <c r="G18" s="40"/>
    </row>
    <row r="19" spans="1:7" ht="18.75" customHeight="1">
      <c r="A19" s="21" t="s">
        <v>67</v>
      </c>
      <c r="B19" s="33">
        <v>133</v>
      </c>
      <c r="C19" s="33"/>
      <c r="D19" s="136"/>
      <c r="E19" s="60"/>
      <c r="F19" s="40"/>
      <c r="G19" s="40"/>
    </row>
    <row r="20" spans="1:5" ht="18.75" customHeight="1">
      <c r="A20" s="21" t="s">
        <v>68</v>
      </c>
      <c r="B20" s="33">
        <v>134</v>
      </c>
      <c r="C20" s="33"/>
      <c r="D20" s="136"/>
      <c r="E20" s="60"/>
    </row>
    <row r="21" spans="1:5" ht="18.75" customHeight="1">
      <c r="A21" s="21" t="s">
        <v>69</v>
      </c>
      <c r="B21" s="33">
        <v>135</v>
      </c>
      <c r="C21" s="33" t="s">
        <v>146</v>
      </c>
      <c r="D21" s="136">
        <v>768414817</v>
      </c>
      <c r="E21" s="60">
        <f>'BCDPS - 2012'!C9</f>
        <v>0</v>
      </c>
    </row>
    <row r="22" spans="1:5" ht="18.75" customHeight="1">
      <c r="A22" s="21" t="s">
        <v>70</v>
      </c>
      <c r="B22" s="33">
        <v>139</v>
      </c>
      <c r="C22" s="33"/>
      <c r="D22" s="136"/>
      <c r="E22" s="60"/>
    </row>
    <row r="23" spans="1:5" s="25" customFormat="1" ht="18.75" customHeight="1">
      <c r="A23" s="24" t="s">
        <v>71</v>
      </c>
      <c r="B23" s="32">
        <v>140</v>
      </c>
      <c r="C23" s="32"/>
      <c r="D23" s="348">
        <f>SUM(D24:D25)</f>
        <v>1486984855</v>
      </c>
      <c r="E23" s="62">
        <f>SUM(E24:E25)</f>
        <v>48201937788</v>
      </c>
    </row>
    <row r="24" spans="1:5" ht="18.75" customHeight="1">
      <c r="A24" s="21" t="s">
        <v>72</v>
      </c>
      <c r="B24" s="33">
        <v>141</v>
      </c>
      <c r="C24" s="33" t="s">
        <v>147</v>
      </c>
      <c r="D24" s="136">
        <f>'BCDPS - 2012'!G14+'BCDPS - 2012'!G15+'BCDPS - 2012'!G16+'BCDPS - 2012'!G17+'BCDPS - 2012'!G18</f>
        <v>1486984855</v>
      </c>
      <c r="E24" s="60">
        <f>'BCDPS - 2012'!C14+'BCDPS - 2012'!C15+'BCDPS - 2012'!C16+'BCDPS - 2012'!C17+'BCDPS - 2012'!C18</f>
        <v>48201937788</v>
      </c>
    </row>
    <row r="25" spans="1:5" ht="18.75" customHeight="1">
      <c r="A25" s="21" t="s">
        <v>73</v>
      </c>
      <c r="B25" s="33">
        <v>149</v>
      </c>
      <c r="C25" s="33"/>
      <c r="D25" s="136"/>
      <c r="E25" s="60"/>
    </row>
    <row r="26" spans="1:5" s="25" customFormat="1" ht="18.75" customHeight="1">
      <c r="A26" s="24" t="s">
        <v>74</v>
      </c>
      <c r="B26" s="32">
        <v>150</v>
      </c>
      <c r="C26" s="32"/>
      <c r="D26" s="348">
        <f>SUM(D27:D30)</f>
        <v>1721091320</v>
      </c>
      <c r="E26" s="62">
        <f>SUM(E27:E30)</f>
        <v>613123000</v>
      </c>
    </row>
    <row r="27" spans="1:5" ht="18.75" customHeight="1">
      <c r="A27" s="21" t="s">
        <v>75</v>
      </c>
      <c r="B27" s="33">
        <v>151</v>
      </c>
      <c r="C27" s="33"/>
      <c r="D27" s="136">
        <f>'BCDPS - 2012'!G12</f>
        <v>552464964</v>
      </c>
      <c r="E27" s="60">
        <f>'BCDPS - 2012'!C12</f>
        <v>0</v>
      </c>
    </row>
    <row r="28" spans="1:5" ht="18.75" customHeight="1">
      <c r="A28" s="21" t="s">
        <v>76</v>
      </c>
      <c r="B28" s="33">
        <v>152</v>
      </c>
      <c r="C28" s="33"/>
      <c r="D28" s="349">
        <v>70613356</v>
      </c>
      <c r="E28" s="60"/>
    </row>
    <row r="29" spans="1:5" ht="18.75" customHeight="1">
      <c r="A29" s="21" t="s">
        <v>77</v>
      </c>
      <c r="B29" s="33">
        <v>154</v>
      </c>
      <c r="C29" s="33" t="s">
        <v>148</v>
      </c>
      <c r="D29" s="349"/>
      <c r="E29" s="60"/>
    </row>
    <row r="30" spans="1:5" ht="18.75" customHeight="1">
      <c r="A30" s="21" t="s">
        <v>78</v>
      </c>
      <c r="B30" s="33">
        <v>158</v>
      </c>
      <c r="C30" s="33"/>
      <c r="D30" s="349">
        <f>'BCDPS - 2012'!G11+'BCDPS - 2012'!G13</f>
        <v>1098013000</v>
      </c>
      <c r="E30" s="60">
        <f>'BCDPS - 2012'!C13+'BCDPS - 2012'!C11</f>
        <v>613123000</v>
      </c>
    </row>
    <row r="31" spans="1:5" s="12" customFormat="1" ht="18.75" customHeight="1">
      <c r="A31" s="57" t="s">
        <v>79</v>
      </c>
      <c r="B31" s="34">
        <v>200</v>
      </c>
      <c r="C31" s="34"/>
      <c r="D31" s="348">
        <f>D33+D39+D52+D55+D60</f>
        <v>14243773600</v>
      </c>
      <c r="E31" s="62">
        <f>E33+E39+E55</f>
        <v>23651941826</v>
      </c>
    </row>
    <row r="32" spans="1:5" ht="18.75" customHeight="1">
      <c r="A32" s="29" t="s">
        <v>80</v>
      </c>
      <c r="B32" s="33"/>
      <c r="C32" s="33"/>
      <c r="D32" s="136"/>
      <c r="E32" s="60"/>
    </row>
    <row r="33" spans="1:5" s="25" customFormat="1" ht="18.75" customHeight="1">
      <c r="A33" s="24" t="s">
        <v>81</v>
      </c>
      <c r="B33" s="32">
        <v>210</v>
      </c>
      <c r="C33" s="32"/>
      <c r="D33" s="348">
        <v>0</v>
      </c>
      <c r="E33" s="62">
        <f>E36</f>
        <v>0</v>
      </c>
    </row>
    <row r="34" spans="1:5" ht="18.75" customHeight="1">
      <c r="A34" s="21" t="s">
        <v>82</v>
      </c>
      <c r="B34" s="33">
        <v>211</v>
      </c>
      <c r="C34" s="33"/>
      <c r="D34" s="136"/>
      <c r="E34" s="60"/>
    </row>
    <row r="35" spans="1:5" ht="18.75" customHeight="1">
      <c r="A35" s="21" t="s">
        <v>83</v>
      </c>
      <c r="B35" s="33">
        <v>212</v>
      </c>
      <c r="C35" s="33"/>
      <c r="D35" s="136"/>
      <c r="E35" s="60"/>
    </row>
    <row r="36" spans="1:5" ht="18.75" customHeight="1">
      <c r="A36" s="21" t="s">
        <v>84</v>
      </c>
      <c r="B36" s="33">
        <v>213</v>
      </c>
      <c r="C36" s="33" t="s">
        <v>149</v>
      </c>
      <c r="D36" s="136"/>
      <c r="E36" s="60"/>
    </row>
    <row r="37" spans="1:5" ht="18.75" customHeight="1">
      <c r="A37" s="21" t="s">
        <v>85</v>
      </c>
      <c r="B37" s="33">
        <v>218</v>
      </c>
      <c r="C37" s="33" t="s">
        <v>150</v>
      </c>
      <c r="D37" s="136"/>
      <c r="E37" s="60"/>
    </row>
    <row r="38" spans="1:5" ht="18.75" customHeight="1">
      <c r="A38" s="21" t="s">
        <v>86</v>
      </c>
      <c r="B38" s="33">
        <v>219</v>
      </c>
      <c r="C38" s="33"/>
      <c r="D38" s="136"/>
      <c r="E38" s="60"/>
    </row>
    <row r="39" spans="1:5" s="25" customFormat="1" ht="18.75" customHeight="1">
      <c r="A39" s="24" t="s">
        <v>87</v>
      </c>
      <c r="B39" s="32">
        <v>220</v>
      </c>
      <c r="C39" s="32"/>
      <c r="D39" s="348">
        <f>D40+D45+D51</f>
        <v>14243773600</v>
      </c>
      <c r="E39" s="62">
        <f>E40+E51</f>
        <v>20526941826</v>
      </c>
    </row>
    <row r="40" spans="1:6" ht="18.75" customHeight="1">
      <c r="A40" s="21" t="s">
        <v>88</v>
      </c>
      <c r="B40" s="33">
        <v>221</v>
      </c>
      <c r="C40" s="33" t="s">
        <v>151</v>
      </c>
      <c r="D40" s="136">
        <f>SUM(D41:D42)</f>
        <v>14243773600</v>
      </c>
      <c r="E40" s="60">
        <f>SUM(E41:E42)</f>
        <v>20526941826</v>
      </c>
      <c r="F40" s="40">
        <f>D40+D45</f>
        <v>14243773600</v>
      </c>
    </row>
    <row r="41" spans="1:5" ht="18.75" customHeight="1">
      <c r="A41" s="22" t="s">
        <v>89</v>
      </c>
      <c r="B41" s="33">
        <v>222</v>
      </c>
      <c r="C41" s="33"/>
      <c r="D41" s="136">
        <f>'BCDPS - 2012'!G20</f>
        <v>25865770703</v>
      </c>
      <c r="E41" s="60">
        <f>'BCDPS - 2012'!C20</f>
        <v>30762865716</v>
      </c>
    </row>
    <row r="42" spans="1:5" ht="18.75" customHeight="1">
      <c r="A42" s="22" t="s">
        <v>90</v>
      </c>
      <c r="B42" s="33">
        <v>223</v>
      </c>
      <c r="C42" s="33"/>
      <c r="D42" s="350">
        <f>-'BCDPS - 2012'!H21</f>
        <v>-11621997103</v>
      </c>
      <c r="E42" s="60">
        <f>-'BCDPS - 2012'!D21</f>
        <v>-10235923890</v>
      </c>
    </row>
    <row r="43" spans="1:5" ht="15">
      <c r="A43" s="400" t="s">
        <v>53</v>
      </c>
      <c r="B43" s="399" t="s">
        <v>54</v>
      </c>
      <c r="C43" s="401" t="s">
        <v>55</v>
      </c>
      <c r="D43" s="398" t="s">
        <v>56</v>
      </c>
      <c r="E43" s="398" t="s">
        <v>57</v>
      </c>
    </row>
    <row r="44" spans="1:6" ht="15">
      <c r="A44" s="400"/>
      <c r="B44" s="399"/>
      <c r="C44" s="401"/>
      <c r="D44" s="398"/>
      <c r="E44" s="398"/>
      <c r="F44" s="40">
        <f>D41+D46</f>
        <v>25865770703</v>
      </c>
    </row>
    <row r="45" spans="1:5" ht="18.75" customHeight="1">
      <c r="A45" s="21" t="s">
        <v>313</v>
      </c>
      <c r="B45" s="33">
        <v>224</v>
      </c>
      <c r="C45" s="33" t="s">
        <v>152</v>
      </c>
      <c r="D45" s="136"/>
      <c r="E45" s="60"/>
    </row>
    <row r="46" spans="1:7" ht="18.75" customHeight="1">
      <c r="A46" s="22" t="s">
        <v>89</v>
      </c>
      <c r="B46" s="33">
        <v>225</v>
      </c>
      <c r="C46" s="33"/>
      <c r="D46" s="136"/>
      <c r="E46" s="60"/>
      <c r="F46" s="40"/>
      <c r="G46" s="40"/>
    </row>
    <row r="47" spans="1:6" ht="18.75" customHeight="1">
      <c r="A47" s="22" t="s">
        <v>90</v>
      </c>
      <c r="B47" s="33">
        <v>226</v>
      </c>
      <c r="C47" s="33"/>
      <c r="D47" s="136"/>
      <c r="E47" s="60"/>
      <c r="F47" s="40">
        <f>D47+D42</f>
        <v>-11621997103</v>
      </c>
    </row>
    <row r="48" spans="1:5" ht="18.75" customHeight="1">
      <c r="A48" s="21" t="s">
        <v>91</v>
      </c>
      <c r="B48" s="33">
        <v>227</v>
      </c>
      <c r="C48" s="33" t="s">
        <v>153</v>
      </c>
      <c r="D48" s="136"/>
      <c r="E48" s="60"/>
    </row>
    <row r="49" spans="1:5" ht="18.75" customHeight="1">
      <c r="A49" s="22" t="s">
        <v>89</v>
      </c>
      <c r="B49" s="33">
        <v>228</v>
      </c>
      <c r="C49" s="33"/>
      <c r="D49" s="136"/>
      <c r="E49" s="60"/>
    </row>
    <row r="50" spans="1:5" ht="18.75" customHeight="1">
      <c r="A50" s="22" t="s">
        <v>90</v>
      </c>
      <c r="B50" s="33">
        <v>229</v>
      </c>
      <c r="C50" s="33"/>
      <c r="D50" s="136"/>
      <c r="E50" s="60"/>
    </row>
    <row r="51" spans="1:5" ht="18.75" customHeight="1">
      <c r="A51" s="21" t="s">
        <v>92</v>
      </c>
      <c r="B51" s="33">
        <v>230</v>
      </c>
      <c r="C51" s="33" t="s">
        <v>154</v>
      </c>
      <c r="D51" s="350">
        <f>'BCDPS - 2012'!G24</f>
        <v>0</v>
      </c>
      <c r="E51" s="60">
        <f>'BCDPS - 2012'!C24</f>
        <v>0</v>
      </c>
    </row>
    <row r="52" spans="1:5" s="25" customFormat="1" ht="18.75" customHeight="1">
      <c r="A52" s="24" t="s">
        <v>93</v>
      </c>
      <c r="B52" s="32">
        <v>240</v>
      </c>
      <c r="C52" s="32" t="s">
        <v>155</v>
      </c>
      <c r="D52" s="348">
        <f>D53+D54</f>
        <v>0</v>
      </c>
      <c r="E52" s="62"/>
    </row>
    <row r="53" spans="1:5" ht="18.75" customHeight="1">
      <c r="A53" s="22" t="s">
        <v>89</v>
      </c>
      <c r="B53" s="33">
        <v>241</v>
      </c>
      <c r="C53" s="33"/>
      <c r="D53" s="136"/>
      <c r="E53" s="60"/>
    </row>
    <row r="54" spans="1:5" ht="18.75" customHeight="1">
      <c r="A54" s="22" t="s">
        <v>90</v>
      </c>
      <c r="B54" s="33">
        <v>242</v>
      </c>
      <c r="C54" s="33"/>
      <c r="D54" s="136"/>
      <c r="E54" s="60"/>
    </row>
    <row r="55" spans="1:5" s="25" customFormat="1" ht="18.75" customHeight="1">
      <c r="A55" s="24" t="s">
        <v>282</v>
      </c>
      <c r="B55" s="32">
        <v>250</v>
      </c>
      <c r="C55" s="32"/>
      <c r="D55" s="348">
        <f>SUM(D56:D59)</f>
        <v>0</v>
      </c>
      <c r="E55" s="62">
        <f>E56</f>
        <v>3125000000</v>
      </c>
    </row>
    <row r="56" spans="1:5" ht="18.75" customHeight="1">
      <c r="A56" s="21" t="s">
        <v>94</v>
      </c>
      <c r="B56" s="33">
        <v>251</v>
      </c>
      <c r="C56" s="33"/>
      <c r="D56" s="136">
        <f>'BCDPS - 2012'!G22</f>
        <v>0</v>
      </c>
      <c r="E56" s="60">
        <v>3125000000</v>
      </c>
    </row>
    <row r="57" spans="1:5" ht="18.75" customHeight="1">
      <c r="A57" s="21" t="s">
        <v>95</v>
      </c>
      <c r="B57" s="33">
        <v>252</v>
      </c>
      <c r="C57" s="33"/>
      <c r="D57" s="136"/>
      <c r="E57" s="60"/>
    </row>
    <row r="58" spans="1:5" ht="18.75" customHeight="1">
      <c r="A58" s="21" t="s">
        <v>96</v>
      </c>
      <c r="B58" s="33">
        <v>258</v>
      </c>
      <c r="C58" s="33" t="s">
        <v>156</v>
      </c>
      <c r="D58" s="136"/>
      <c r="E58" s="60"/>
    </row>
    <row r="59" spans="1:5" ht="18.75" customHeight="1">
      <c r="A59" s="21" t="s">
        <v>97</v>
      </c>
      <c r="B59" s="33">
        <v>259</v>
      </c>
      <c r="C59" s="33"/>
      <c r="D59" s="136"/>
      <c r="E59" s="60"/>
    </row>
    <row r="60" spans="1:5" s="25" customFormat="1" ht="18.75" customHeight="1">
      <c r="A60" s="24" t="s">
        <v>98</v>
      </c>
      <c r="B60" s="32">
        <v>260</v>
      </c>
      <c r="C60" s="32"/>
      <c r="D60" s="348">
        <f>SUM(D61:D63)</f>
        <v>0</v>
      </c>
      <c r="E60" s="62"/>
    </row>
    <row r="61" spans="1:5" ht="18.75" customHeight="1">
      <c r="A61" s="21" t="s">
        <v>99</v>
      </c>
      <c r="B61" s="33">
        <v>261</v>
      </c>
      <c r="C61" s="33" t="s">
        <v>157</v>
      </c>
      <c r="D61" s="136"/>
      <c r="E61" s="60"/>
    </row>
    <row r="62" spans="1:5" ht="18.75" customHeight="1">
      <c r="A62" s="21" t="s">
        <v>100</v>
      </c>
      <c r="B62" s="33">
        <v>262</v>
      </c>
      <c r="C62" s="33" t="s">
        <v>158</v>
      </c>
      <c r="D62" s="136"/>
      <c r="E62" s="60"/>
    </row>
    <row r="63" spans="1:5" ht="18.75" customHeight="1">
      <c r="A63" s="26" t="s">
        <v>101</v>
      </c>
      <c r="B63" s="35">
        <v>268</v>
      </c>
      <c r="C63" s="35"/>
      <c r="D63" s="351"/>
      <c r="E63" s="63"/>
    </row>
    <row r="64" spans="1:7" s="12" customFormat="1" ht="18.75" customHeight="1">
      <c r="A64" s="58" t="s">
        <v>197</v>
      </c>
      <c r="B64" s="36">
        <v>270</v>
      </c>
      <c r="C64" s="36"/>
      <c r="D64" s="352">
        <f>D31+D8</f>
        <v>78528253032</v>
      </c>
      <c r="E64" s="64">
        <f>E31+E8</f>
        <v>155216872018</v>
      </c>
      <c r="F64" s="59"/>
      <c r="G64" s="59"/>
    </row>
    <row r="65" spans="1:5" ht="10.5" customHeight="1">
      <c r="A65" s="400" t="s">
        <v>142</v>
      </c>
      <c r="B65" s="399"/>
      <c r="C65" s="399"/>
      <c r="D65" s="406"/>
      <c r="E65" s="408"/>
    </row>
    <row r="66" spans="1:5" ht="7.5" customHeight="1">
      <c r="A66" s="400"/>
      <c r="B66" s="399"/>
      <c r="C66" s="399"/>
      <c r="D66" s="406"/>
      <c r="E66" s="408"/>
    </row>
    <row r="67" spans="1:5" s="12" customFormat="1" ht="18.75" customHeight="1">
      <c r="A67" s="57" t="s">
        <v>198</v>
      </c>
      <c r="B67" s="34">
        <v>300</v>
      </c>
      <c r="C67" s="34"/>
      <c r="D67" s="348">
        <f>D68+D80</f>
        <v>19865717983</v>
      </c>
      <c r="E67" s="62">
        <f>E68+E80</f>
        <v>98516293624</v>
      </c>
    </row>
    <row r="68" spans="1:5" s="25" customFormat="1" ht="18.75" customHeight="1">
      <c r="A68" s="24" t="s">
        <v>102</v>
      </c>
      <c r="B68" s="32">
        <v>310</v>
      </c>
      <c r="C68" s="32"/>
      <c r="D68" s="348">
        <f>SUM(D69:D79)</f>
        <v>15924790426</v>
      </c>
      <c r="E68" s="62">
        <f>SUM(E69:E79)</f>
        <v>46001287199</v>
      </c>
    </row>
    <row r="69" spans="1:6" ht="18.75" customHeight="1">
      <c r="A69" s="21" t="s">
        <v>103</v>
      </c>
      <c r="B69" s="33">
        <v>311</v>
      </c>
      <c r="C69" s="33" t="s">
        <v>159</v>
      </c>
      <c r="D69" s="136">
        <f>'BCDPS - 2012'!H26</f>
        <v>3800000000</v>
      </c>
      <c r="E69" s="60">
        <f>'BCDPS - 2012'!D26</f>
        <v>15000000000</v>
      </c>
      <c r="F69" s="40"/>
    </row>
    <row r="70" spans="1:7" ht="18.75" customHeight="1">
      <c r="A70" s="21" t="s">
        <v>104</v>
      </c>
      <c r="B70" s="33">
        <v>312</v>
      </c>
      <c r="C70" s="33"/>
      <c r="D70" s="136">
        <f>'BCDPS - 2012'!H27</f>
        <v>7780182920</v>
      </c>
      <c r="E70" s="60">
        <f>'BCDPS - 2012'!D27</f>
        <v>16763463444</v>
      </c>
      <c r="F70" s="40"/>
      <c r="G70" s="40"/>
    </row>
    <row r="71" spans="1:7" ht="18.75" customHeight="1">
      <c r="A71" s="21" t="s">
        <v>105</v>
      </c>
      <c r="B71" s="33">
        <v>313</v>
      </c>
      <c r="C71" s="33"/>
      <c r="D71" s="136">
        <f>'BCDPS - 2012'!H7</f>
        <v>0</v>
      </c>
      <c r="E71" s="60">
        <f>'BCDPS - 2012'!D7</f>
        <v>2029390959</v>
      </c>
      <c r="F71" s="40"/>
      <c r="G71" s="40"/>
    </row>
    <row r="72" spans="1:7" ht="18.75" customHeight="1">
      <c r="A72" s="21" t="s">
        <v>106</v>
      </c>
      <c r="B72" s="33">
        <v>314</v>
      </c>
      <c r="C72" s="33" t="s">
        <v>160</v>
      </c>
      <c r="D72" s="136">
        <f>'BCDPS - 2012'!H28+'BCDPS - 2012'!H29+'BCDPS - 2012'!H30+'BCDPS - 2012'!H31+'BCDPS - 2012'!H32-'BCDPS - 2012'!G29-'BCDPS - 2012'!G30-'BCDPS - 2012'!G31</f>
        <v>3126061468</v>
      </c>
      <c r="E72" s="60">
        <f>'BCDPS - 2012'!D28+'BCDPS - 2012'!D29+'BCDPS - 2012'!D32+'BCDPS - 2012'!D30-'BCDPS - 2012'!C29</f>
        <v>3176975492</v>
      </c>
      <c r="F72" s="54"/>
      <c r="G72" s="54"/>
    </row>
    <row r="73" spans="1:7" ht="18.75" customHeight="1">
      <c r="A73" s="21" t="s">
        <v>107</v>
      </c>
      <c r="B73" s="33">
        <v>315</v>
      </c>
      <c r="C73" s="33"/>
      <c r="D73" s="136">
        <f>'BCDPS - 2012'!H33</f>
        <v>0</v>
      </c>
      <c r="E73" s="60">
        <f>'BCDPS - 2012'!D33</f>
        <v>0</v>
      </c>
      <c r="F73" s="40"/>
      <c r="G73" s="40"/>
    </row>
    <row r="74" spans="1:7" ht="18.75" customHeight="1">
      <c r="A74" s="21" t="s">
        <v>108</v>
      </c>
      <c r="B74" s="33">
        <v>316</v>
      </c>
      <c r="C74" s="33" t="s">
        <v>161</v>
      </c>
      <c r="D74" s="136">
        <f>'BCDPS - 2012'!H25</f>
        <v>0</v>
      </c>
      <c r="E74" s="60">
        <v>4725192000</v>
      </c>
      <c r="F74" s="40"/>
      <c r="G74" s="40"/>
    </row>
    <row r="75" spans="1:7" ht="18.75" customHeight="1">
      <c r="A75" s="21" t="s">
        <v>109</v>
      </c>
      <c r="B75" s="33">
        <v>317</v>
      </c>
      <c r="C75" s="33"/>
      <c r="D75" s="136"/>
      <c r="E75" s="60"/>
      <c r="F75" s="54"/>
      <c r="G75" s="54"/>
    </row>
    <row r="76" spans="1:7" ht="18.75" customHeight="1">
      <c r="A76" s="21" t="s">
        <v>110</v>
      </c>
      <c r="B76" s="33">
        <v>318</v>
      </c>
      <c r="C76" s="33"/>
      <c r="D76" s="136"/>
      <c r="E76" s="60"/>
      <c r="F76" s="40"/>
      <c r="G76" s="40"/>
    </row>
    <row r="77" spans="1:7" ht="18.75" customHeight="1">
      <c r="A77" s="21" t="s">
        <v>111</v>
      </c>
      <c r="B77" s="33">
        <v>319</v>
      </c>
      <c r="C77" s="33" t="s">
        <v>162</v>
      </c>
      <c r="D77" s="136">
        <f>'BCDPS - 2012'!H37</f>
        <v>296645952</v>
      </c>
      <c r="E77" s="60">
        <v>1704517797</v>
      </c>
      <c r="F77" s="40"/>
      <c r="G77" s="40"/>
    </row>
    <row r="78" spans="1:7" ht="18.75" customHeight="1">
      <c r="A78" s="21" t="s">
        <v>112</v>
      </c>
      <c r="B78" s="33">
        <v>320</v>
      </c>
      <c r="C78" s="33"/>
      <c r="D78" s="136"/>
      <c r="E78" s="60"/>
      <c r="F78" s="40"/>
      <c r="G78" s="40"/>
    </row>
    <row r="79" spans="1:7" ht="18.75" customHeight="1">
      <c r="A79" s="21" t="s">
        <v>283</v>
      </c>
      <c r="B79" s="33">
        <v>323</v>
      </c>
      <c r="C79" s="33"/>
      <c r="D79" s="136">
        <f>'BCDPS - 2012'!H49</f>
        <v>921900086</v>
      </c>
      <c r="E79" s="60">
        <v>2601747507</v>
      </c>
      <c r="F79" s="40"/>
      <c r="G79" s="40"/>
    </row>
    <row r="80" spans="1:7" s="25" customFormat="1" ht="18.75" customHeight="1">
      <c r="A80" s="24" t="s">
        <v>113</v>
      </c>
      <c r="B80" s="32">
        <v>330</v>
      </c>
      <c r="C80" s="32"/>
      <c r="D80" s="348">
        <f>SUM(D81:D92)</f>
        <v>3940927557</v>
      </c>
      <c r="E80" s="62">
        <f>SUM(E81:E92)</f>
        <v>52515006425</v>
      </c>
      <c r="F80" s="40"/>
      <c r="G80" s="40"/>
    </row>
    <row r="81" spans="1:5" ht="18.75" customHeight="1">
      <c r="A81" s="21" t="s">
        <v>114</v>
      </c>
      <c r="B81" s="33">
        <v>331</v>
      </c>
      <c r="C81" s="33"/>
      <c r="D81" s="136"/>
      <c r="E81" s="60"/>
    </row>
    <row r="82" spans="1:5" ht="18.75" customHeight="1">
      <c r="A82" s="21" t="s">
        <v>115</v>
      </c>
      <c r="B82" s="33">
        <v>332</v>
      </c>
      <c r="C82" s="33" t="s">
        <v>163</v>
      </c>
      <c r="D82" s="136"/>
      <c r="E82" s="60"/>
    </row>
    <row r="83" spans="1:6" ht="18.75" customHeight="1">
      <c r="A83" s="21" t="s">
        <v>116</v>
      </c>
      <c r="B83" s="33">
        <v>333</v>
      </c>
      <c r="C83" s="33"/>
      <c r="D83" s="136">
        <v>71115550</v>
      </c>
      <c r="E83" s="60">
        <v>363300384</v>
      </c>
      <c r="F83" s="40"/>
    </row>
    <row r="84" spans="1:5" ht="18.75" customHeight="1">
      <c r="A84" s="21" t="s">
        <v>117</v>
      </c>
      <c r="B84" s="33">
        <v>334</v>
      </c>
      <c r="C84" s="33" t="s">
        <v>164</v>
      </c>
      <c r="D84" s="136"/>
      <c r="E84" s="60"/>
    </row>
    <row r="85" spans="1:5" ht="18.75" customHeight="1">
      <c r="A85" s="137"/>
      <c r="B85" s="138"/>
      <c r="C85" s="138"/>
      <c r="D85" s="353"/>
      <c r="E85" s="139"/>
    </row>
    <row r="86" spans="1:5" ht="15">
      <c r="A86" s="400" t="s">
        <v>142</v>
      </c>
      <c r="B86" s="399" t="s">
        <v>54</v>
      </c>
      <c r="C86" s="401" t="s">
        <v>55</v>
      </c>
      <c r="D86" s="398" t="s">
        <v>56</v>
      </c>
      <c r="E86" s="398" t="s">
        <v>57</v>
      </c>
    </row>
    <row r="87" spans="1:5" ht="15">
      <c r="A87" s="400"/>
      <c r="B87" s="399"/>
      <c r="C87" s="401"/>
      <c r="D87" s="398"/>
      <c r="E87" s="398"/>
    </row>
    <row r="88" spans="1:7" ht="18.75" customHeight="1">
      <c r="A88" s="21" t="s">
        <v>118</v>
      </c>
      <c r="B88" s="33">
        <v>335</v>
      </c>
      <c r="C88" s="33" t="s">
        <v>158</v>
      </c>
      <c r="D88" s="136"/>
      <c r="E88" s="60"/>
      <c r="F88" s="8"/>
      <c r="G88" s="8"/>
    </row>
    <row r="89" spans="1:5" ht="18.75" customHeight="1">
      <c r="A89" s="21" t="s">
        <v>230</v>
      </c>
      <c r="B89" s="33">
        <v>336</v>
      </c>
      <c r="C89" s="33"/>
      <c r="D89" s="350">
        <f>'BCDPS - 2012'!H42</f>
        <v>0</v>
      </c>
      <c r="E89" s="60">
        <v>500220125</v>
      </c>
    </row>
    <row r="90" spans="1:5" ht="18.75" customHeight="1">
      <c r="A90" s="21" t="s">
        <v>119</v>
      </c>
      <c r="B90" s="33">
        <v>337</v>
      </c>
      <c r="C90" s="33"/>
      <c r="D90" s="136"/>
      <c r="E90" s="60"/>
    </row>
    <row r="91" spans="1:5" ht="18.75" customHeight="1">
      <c r="A91" s="21" t="s">
        <v>284</v>
      </c>
      <c r="B91" s="33">
        <v>338</v>
      </c>
      <c r="C91" s="33"/>
      <c r="D91" s="136">
        <f>'BCDPS - 2012'!H38</f>
        <v>3869812007</v>
      </c>
      <c r="E91" s="60">
        <v>51651485916</v>
      </c>
    </row>
    <row r="92" spans="1:5" ht="18.75" customHeight="1">
      <c r="A92" s="21" t="s">
        <v>285</v>
      </c>
      <c r="B92" s="33">
        <v>339</v>
      </c>
      <c r="C92" s="33"/>
      <c r="D92" s="136"/>
      <c r="E92" s="60"/>
    </row>
    <row r="93" spans="1:5" s="12" customFormat="1" ht="18.75" customHeight="1">
      <c r="A93" s="57" t="s">
        <v>199</v>
      </c>
      <c r="B93" s="34">
        <v>400</v>
      </c>
      <c r="C93" s="34"/>
      <c r="D93" s="348">
        <f>D94+D107</f>
        <v>58662535049</v>
      </c>
      <c r="E93" s="62">
        <f>E94+E107</f>
        <v>56700578394</v>
      </c>
    </row>
    <row r="94" spans="1:5" s="25" customFormat="1" ht="18.75" customHeight="1">
      <c r="A94" s="24" t="s">
        <v>120</v>
      </c>
      <c r="B94" s="32">
        <v>410</v>
      </c>
      <c r="C94" s="32" t="s">
        <v>165</v>
      </c>
      <c r="D94" s="348">
        <f>SUM(D95:D105)</f>
        <v>58662535049</v>
      </c>
      <c r="E94" s="62">
        <f>SUM(E95:E105)</f>
        <v>56700578394</v>
      </c>
    </row>
    <row r="95" spans="1:5" ht="18.75" customHeight="1">
      <c r="A95" s="21" t="s">
        <v>121</v>
      </c>
      <c r="B95" s="33">
        <v>411</v>
      </c>
      <c r="C95" s="33"/>
      <c r="D95" s="350">
        <f>'BCDPS - 2012'!H43</f>
        <v>55215306317</v>
      </c>
      <c r="E95" s="60">
        <f>'BCDPS - 2012'!D43</f>
        <v>51297001649</v>
      </c>
    </row>
    <row r="96" spans="1:5" ht="18.75" customHeight="1">
      <c r="A96" s="21" t="s">
        <v>122</v>
      </c>
      <c r="B96" s="33">
        <v>412</v>
      </c>
      <c r="C96" s="33"/>
      <c r="D96" s="136"/>
      <c r="E96" s="60"/>
    </row>
    <row r="97" spans="1:5" ht="18.75" customHeight="1">
      <c r="A97" s="21" t="s">
        <v>123</v>
      </c>
      <c r="B97" s="33">
        <v>413</v>
      </c>
      <c r="C97" s="33"/>
      <c r="D97" s="350">
        <f>'BCDPS - 2012'!H23</f>
        <v>0</v>
      </c>
      <c r="E97" s="60">
        <f>'BCDPS - 2012'!D23</f>
        <v>0</v>
      </c>
    </row>
    <row r="98" spans="1:5" ht="18.75" customHeight="1">
      <c r="A98" s="21" t="s">
        <v>124</v>
      </c>
      <c r="B98" s="33">
        <v>414</v>
      </c>
      <c r="C98" s="33"/>
      <c r="D98" s="136"/>
      <c r="E98" s="60"/>
    </row>
    <row r="99" spans="1:5" ht="18.75" customHeight="1">
      <c r="A99" s="21" t="s">
        <v>125</v>
      </c>
      <c r="B99" s="33">
        <v>415</v>
      </c>
      <c r="C99" s="33"/>
      <c r="D99" s="136"/>
      <c r="E99" s="60"/>
    </row>
    <row r="100" spans="1:5" ht="18.75" customHeight="1">
      <c r="A100" s="21" t="s">
        <v>126</v>
      </c>
      <c r="B100" s="33">
        <v>416</v>
      </c>
      <c r="C100" s="33"/>
      <c r="D100" s="136"/>
      <c r="E100" s="60"/>
    </row>
    <row r="101" spans="1:7" ht="18.75" customHeight="1">
      <c r="A101" s="21" t="s">
        <v>127</v>
      </c>
      <c r="B101" s="33">
        <v>417</v>
      </c>
      <c r="C101" s="33"/>
      <c r="D101" s="136">
        <f>'BCDPS - 2012'!H45</f>
        <v>1697706979</v>
      </c>
      <c r="E101" s="60">
        <v>3837970009</v>
      </c>
      <c r="G101" s="40"/>
    </row>
    <row r="102" spans="1:7" ht="18.75" customHeight="1">
      <c r="A102" s="21" t="s">
        <v>128</v>
      </c>
      <c r="B102" s="33">
        <v>418</v>
      </c>
      <c r="C102" s="33"/>
      <c r="D102" s="350">
        <f>'BCDPS - 2012'!H46</f>
        <v>1749521753</v>
      </c>
      <c r="E102" s="60">
        <v>1342750009</v>
      </c>
      <c r="G102" s="40"/>
    </row>
    <row r="103" spans="1:7" ht="18.75" customHeight="1">
      <c r="A103" s="21" t="s">
        <v>129</v>
      </c>
      <c r="B103" s="33">
        <v>419</v>
      </c>
      <c r="C103" s="33"/>
      <c r="D103" s="136">
        <f>'BCDPS - 2012'!H47</f>
        <v>0</v>
      </c>
      <c r="E103" s="60">
        <v>222856727</v>
      </c>
      <c r="F103" s="59"/>
      <c r="G103" s="59"/>
    </row>
    <row r="104" spans="1:7" ht="18.75" customHeight="1">
      <c r="A104" s="21" t="s">
        <v>286</v>
      </c>
      <c r="B104" s="33">
        <v>420</v>
      </c>
      <c r="C104" s="33"/>
      <c r="D104" s="350">
        <f>'BCDPS - 2012'!H48</f>
        <v>0</v>
      </c>
      <c r="E104" s="60"/>
      <c r="F104" s="40"/>
      <c r="G104" s="40"/>
    </row>
    <row r="105" spans="1:5" ht="18.75" customHeight="1">
      <c r="A105" s="21" t="s">
        <v>130</v>
      </c>
      <c r="B105" s="33">
        <v>421</v>
      </c>
      <c r="C105" s="33"/>
      <c r="D105" s="136"/>
      <c r="E105" s="60"/>
    </row>
    <row r="106" spans="1:5" ht="18.75" customHeight="1">
      <c r="A106" s="21" t="s">
        <v>287</v>
      </c>
      <c r="B106" s="33">
        <v>422</v>
      </c>
      <c r="C106" s="33"/>
      <c r="D106" s="136"/>
      <c r="E106" s="60"/>
    </row>
    <row r="107" spans="1:5" s="25" customFormat="1" ht="18.75" customHeight="1">
      <c r="A107" s="24" t="s">
        <v>131</v>
      </c>
      <c r="B107" s="32">
        <v>430</v>
      </c>
      <c r="C107" s="32"/>
      <c r="D107" s="348">
        <f>D108+D109</f>
        <v>0</v>
      </c>
      <c r="E107" s="62">
        <f>E108+E109</f>
        <v>0</v>
      </c>
    </row>
    <row r="108" spans="1:5" ht="18.75" customHeight="1">
      <c r="A108" s="21" t="s">
        <v>288</v>
      </c>
      <c r="B108" s="33">
        <v>432</v>
      </c>
      <c r="C108" s="33" t="s">
        <v>166</v>
      </c>
      <c r="D108" s="136"/>
      <c r="E108" s="60"/>
    </row>
    <row r="109" spans="1:7" ht="18.75" customHeight="1">
      <c r="A109" s="26" t="s">
        <v>289</v>
      </c>
      <c r="B109" s="35">
        <v>433</v>
      </c>
      <c r="C109" s="35"/>
      <c r="D109" s="351"/>
      <c r="E109" s="63"/>
      <c r="G109" s="54">
        <f>SUM(G72:G108)</f>
        <v>0</v>
      </c>
    </row>
    <row r="110" spans="1:7" s="25" customFormat="1" ht="18.75" customHeight="1">
      <c r="A110" s="58" t="s">
        <v>200</v>
      </c>
      <c r="B110" s="37">
        <v>440</v>
      </c>
      <c r="C110" s="37"/>
      <c r="D110" s="352">
        <f>D93+D67</f>
        <v>78528253032</v>
      </c>
      <c r="E110" s="64">
        <f>E93+E67</f>
        <v>155216872018</v>
      </c>
      <c r="F110" s="54">
        <f>D110-D64</f>
        <v>0</v>
      </c>
      <c r="G110" s="54"/>
    </row>
    <row r="111" spans="1:5" ht="27.75" customHeight="1">
      <c r="A111" s="407" t="s">
        <v>132</v>
      </c>
      <c r="B111" s="407"/>
      <c r="C111" s="407"/>
      <c r="D111" s="407"/>
      <c r="E111" s="407"/>
    </row>
    <row r="112" spans="1:5" ht="15">
      <c r="A112" s="400" t="s">
        <v>133</v>
      </c>
      <c r="B112" s="399"/>
      <c r="C112" s="401" t="s">
        <v>55</v>
      </c>
      <c r="D112" s="398" t="s">
        <v>56</v>
      </c>
      <c r="E112" s="398" t="s">
        <v>57</v>
      </c>
    </row>
    <row r="113" spans="1:6" ht="15">
      <c r="A113" s="400"/>
      <c r="B113" s="399"/>
      <c r="C113" s="401"/>
      <c r="D113" s="398"/>
      <c r="E113" s="398"/>
      <c r="F113" s="40"/>
    </row>
    <row r="114" spans="1:5" ht="18" customHeight="1">
      <c r="A114" s="20" t="s">
        <v>134</v>
      </c>
      <c r="B114" s="20"/>
      <c r="C114" s="38" t="s">
        <v>143</v>
      </c>
      <c r="D114" s="43"/>
      <c r="E114" s="43"/>
    </row>
    <row r="115" spans="1:6" ht="18" customHeight="1">
      <c r="A115" s="21" t="s">
        <v>135</v>
      </c>
      <c r="B115" s="21"/>
      <c r="C115" s="33"/>
      <c r="D115" s="42"/>
      <c r="E115" s="42"/>
      <c r="F115" s="40"/>
    </row>
    <row r="116" spans="1:5" ht="18" customHeight="1">
      <c r="A116" s="21" t="s">
        <v>136</v>
      </c>
      <c r="B116" s="21"/>
      <c r="C116" s="33"/>
      <c r="D116" s="42"/>
      <c r="E116" s="42"/>
    </row>
    <row r="117" spans="1:5" ht="18" customHeight="1">
      <c r="A117" s="21" t="s">
        <v>137</v>
      </c>
      <c r="B117" s="21"/>
      <c r="C117" s="33"/>
      <c r="D117" s="42"/>
      <c r="E117" s="42"/>
    </row>
    <row r="118" spans="1:5" ht="18" customHeight="1">
      <c r="A118" s="21" t="s">
        <v>345</v>
      </c>
      <c r="B118" s="21"/>
      <c r="C118" s="33"/>
      <c r="D118" s="268">
        <v>80.74</v>
      </c>
      <c r="E118" s="255">
        <v>91.52</v>
      </c>
    </row>
    <row r="119" spans="1:5" ht="18" customHeight="1">
      <c r="A119" s="23" t="s">
        <v>138</v>
      </c>
      <c r="B119" s="23"/>
      <c r="C119" s="39"/>
      <c r="D119" s="44"/>
      <c r="E119" s="44"/>
    </row>
    <row r="120" spans="4:5" ht="15.75">
      <c r="D120" s="405" t="s">
        <v>455</v>
      </c>
      <c r="E120" s="405"/>
    </row>
    <row r="121" spans="1:5" s="25" customFormat="1" ht="17.25">
      <c r="A121" s="402" t="s">
        <v>309</v>
      </c>
      <c r="B121" s="402"/>
      <c r="C121" s="402"/>
      <c r="D121" s="402"/>
      <c r="E121" s="402"/>
    </row>
    <row r="126" ht="15">
      <c r="A126" s="40"/>
    </row>
    <row r="127" spans="1:5" s="248" customFormat="1" ht="16.5">
      <c r="A127" s="397"/>
      <c r="B127" s="397"/>
      <c r="C127" s="397"/>
      <c r="D127" s="397"/>
      <c r="E127" s="397"/>
    </row>
  </sheetData>
  <mergeCells count="31">
    <mergeCell ref="D120:E120"/>
    <mergeCell ref="D65:D66"/>
    <mergeCell ref="E112:E113"/>
    <mergeCell ref="E6:E7"/>
    <mergeCell ref="A111:E111"/>
    <mergeCell ref="D112:D113"/>
    <mergeCell ref="B43:B44"/>
    <mergeCell ref="E65:E66"/>
    <mergeCell ref="D43:D44"/>
    <mergeCell ref="C86:C87"/>
    <mergeCell ref="D86:D87"/>
    <mergeCell ref="E86:E87"/>
    <mergeCell ref="A112:A113"/>
    <mergeCell ref="B112:B113"/>
    <mergeCell ref="C112:C113"/>
    <mergeCell ref="A3:E3"/>
    <mergeCell ref="B65:B66"/>
    <mergeCell ref="C43:C44"/>
    <mergeCell ref="A65:A66"/>
    <mergeCell ref="A4:E4"/>
    <mergeCell ref="E43:E44"/>
    <mergeCell ref="A127:E127"/>
    <mergeCell ref="D6:D7"/>
    <mergeCell ref="C65:C66"/>
    <mergeCell ref="A6:A7"/>
    <mergeCell ref="B6:B7"/>
    <mergeCell ref="C6:C7"/>
    <mergeCell ref="A43:A44"/>
    <mergeCell ref="A121:E121"/>
    <mergeCell ref="A86:A87"/>
    <mergeCell ref="B86:B87"/>
  </mergeCells>
  <printOptions/>
  <pageMargins left="0.33" right="0.24" top="0" bottom="0.03" header="0.18" footer="0.17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9">
      <selection activeCell="B34" sqref="B34"/>
    </sheetView>
  </sheetViews>
  <sheetFormatPr defaultColWidth="9.00390625" defaultRowHeight="12.75"/>
  <cols>
    <col min="1" max="1" width="46.875" style="0" customWidth="1"/>
    <col min="2" max="2" width="7.25390625" style="0" customWidth="1"/>
    <col min="3" max="3" width="8.75390625" style="0" customWidth="1"/>
    <col min="4" max="4" width="18.125" style="0" customWidth="1"/>
    <col min="5" max="5" width="18.75390625" style="0" customWidth="1"/>
    <col min="6" max="6" width="10.125" style="0" bestFit="1" customWidth="1"/>
    <col min="7" max="7" width="16.375" style="270" customWidth="1"/>
  </cols>
  <sheetData>
    <row r="1" spans="1:5" ht="16.5">
      <c r="A1" s="27" t="s">
        <v>52</v>
      </c>
      <c r="B1" s="18"/>
      <c r="C1" s="18"/>
      <c r="D1" s="40"/>
      <c r="E1" s="40"/>
    </row>
    <row r="2" spans="1:5" ht="15.75">
      <c r="A2" s="28" t="s">
        <v>273</v>
      </c>
      <c r="B2" s="18"/>
      <c r="C2" s="18"/>
      <c r="D2" s="40"/>
      <c r="E2" s="40"/>
    </row>
    <row r="3" spans="1:5" ht="15.75">
      <c r="A3" s="28"/>
      <c r="B3" s="18"/>
      <c r="C3" s="18"/>
      <c r="D3" s="40"/>
      <c r="E3" s="40"/>
    </row>
    <row r="4" spans="1:7" s="356" customFormat="1" ht="19.5">
      <c r="A4" s="410" t="s">
        <v>452</v>
      </c>
      <c r="B4" s="410"/>
      <c r="C4" s="410"/>
      <c r="D4" s="410"/>
      <c r="E4" s="410"/>
      <c r="G4" s="357"/>
    </row>
    <row r="5" spans="1:7" s="356" customFormat="1" ht="18">
      <c r="A5" s="404"/>
      <c r="B5" s="404"/>
      <c r="C5" s="404"/>
      <c r="D5" s="404"/>
      <c r="E5" s="404"/>
      <c r="G5" s="357"/>
    </row>
    <row r="6" spans="1:5" ht="15.75">
      <c r="A6" s="18"/>
      <c r="B6" s="18"/>
      <c r="C6" s="18"/>
      <c r="D6" s="40"/>
      <c r="E6" s="41" t="s">
        <v>58</v>
      </c>
    </row>
    <row r="7" spans="1:5" ht="12.75">
      <c r="A7" s="400" t="s">
        <v>133</v>
      </c>
      <c r="B7" s="399" t="s">
        <v>54</v>
      </c>
      <c r="C7" s="401" t="s">
        <v>55</v>
      </c>
      <c r="D7" s="398" t="s">
        <v>56</v>
      </c>
      <c r="E7" s="398" t="s">
        <v>57</v>
      </c>
    </row>
    <row r="8" spans="1:5" ht="12.75">
      <c r="A8" s="400"/>
      <c r="B8" s="399"/>
      <c r="C8" s="401"/>
      <c r="D8" s="398"/>
      <c r="E8" s="398"/>
    </row>
    <row r="9" spans="1:5" ht="19.5" customHeight="1">
      <c r="A9" s="126">
        <v>1</v>
      </c>
      <c r="B9" s="127">
        <v>2</v>
      </c>
      <c r="C9" s="127">
        <v>3</v>
      </c>
      <c r="D9" s="128">
        <v>4</v>
      </c>
      <c r="E9" s="128">
        <v>5</v>
      </c>
    </row>
    <row r="10" spans="1:6" ht="19.5" customHeight="1">
      <c r="A10" s="124" t="s">
        <v>167</v>
      </c>
      <c r="B10" s="131" t="s">
        <v>185</v>
      </c>
      <c r="C10" s="129" t="s">
        <v>187</v>
      </c>
      <c r="D10" s="125">
        <v>146018513634</v>
      </c>
      <c r="E10" s="125">
        <v>112407269878</v>
      </c>
      <c r="F10" s="19"/>
    </row>
    <row r="11" spans="1:5" ht="19.5" customHeight="1">
      <c r="A11" s="21" t="s">
        <v>168</v>
      </c>
      <c r="B11" s="132" t="s">
        <v>186</v>
      </c>
      <c r="C11" s="130"/>
      <c r="D11" s="46">
        <f>'ban co  2012 thue'!BR55</f>
        <v>78682727</v>
      </c>
      <c r="E11" s="46">
        <v>19110471</v>
      </c>
    </row>
    <row r="12" spans="1:5" ht="30">
      <c r="A12" s="45" t="s">
        <v>169</v>
      </c>
      <c r="B12" s="133">
        <v>10</v>
      </c>
      <c r="C12" s="130"/>
      <c r="D12" s="42">
        <f>D10-D11</f>
        <v>145939830907</v>
      </c>
      <c r="E12" s="42">
        <v>112388159407</v>
      </c>
    </row>
    <row r="13" spans="1:5" ht="19.5" customHeight="1">
      <c r="A13" s="21" t="s">
        <v>170</v>
      </c>
      <c r="B13" s="133">
        <v>11</v>
      </c>
      <c r="C13" s="130" t="s">
        <v>188</v>
      </c>
      <c r="D13" s="42">
        <f>'ban co  2012 thue'!BO66</f>
        <v>127882077380</v>
      </c>
      <c r="E13" s="42">
        <v>88689608022</v>
      </c>
    </row>
    <row r="14" spans="1:5" ht="30">
      <c r="A14" s="45" t="s">
        <v>171</v>
      </c>
      <c r="B14" s="133">
        <v>20</v>
      </c>
      <c r="C14" s="130"/>
      <c r="D14" s="42">
        <f>D12-D13</f>
        <v>18057753527</v>
      </c>
      <c r="E14" s="42">
        <v>23698551385</v>
      </c>
    </row>
    <row r="15" spans="1:5" ht="19.5" customHeight="1">
      <c r="A15" s="21" t="s">
        <v>172</v>
      </c>
      <c r="B15" s="133">
        <v>21</v>
      </c>
      <c r="C15" s="130" t="s">
        <v>190</v>
      </c>
      <c r="D15" s="349">
        <f>'ban co  2012 thue'!BB70</f>
        <v>14470678122</v>
      </c>
      <c r="E15" s="42">
        <v>7239876833</v>
      </c>
    </row>
    <row r="16" spans="1:5" ht="19.5" customHeight="1">
      <c r="A16" s="21" t="s">
        <v>173</v>
      </c>
      <c r="B16" s="133">
        <v>22</v>
      </c>
      <c r="C16" s="130" t="s">
        <v>189</v>
      </c>
      <c r="D16" s="349">
        <f>'ban co  2012 thue'!BO67</f>
        <v>1024600000</v>
      </c>
      <c r="E16" s="42"/>
    </row>
    <row r="17" spans="1:5" ht="19.5" customHeight="1">
      <c r="A17" s="22" t="s">
        <v>174</v>
      </c>
      <c r="B17" s="133">
        <v>23</v>
      </c>
      <c r="C17" s="130"/>
      <c r="D17" s="349">
        <v>1024600000</v>
      </c>
      <c r="E17" s="42"/>
    </row>
    <row r="18" spans="1:5" ht="19.5" customHeight="1">
      <c r="A18" s="21" t="s">
        <v>175</v>
      </c>
      <c r="B18" s="133">
        <v>24</v>
      </c>
      <c r="C18" s="130"/>
      <c r="D18" s="349">
        <f>'ban co  2012 thue'!BO64</f>
        <v>3649422032</v>
      </c>
      <c r="E18" s="42">
        <v>2801173975</v>
      </c>
    </row>
    <row r="19" spans="1:5" ht="19.5" customHeight="1">
      <c r="A19" s="21" t="s">
        <v>176</v>
      </c>
      <c r="B19" s="133">
        <v>25</v>
      </c>
      <c r="C19" s="130"/>
      <c r="D19" s="349">
        <f>'ban co  2012 thue'!BO65</f>
        <v>16850392462</v>
      </c>
      <c r="E19" s="42">
        <v>19622258071</v>
      </c>
    </row>
    <row r="20" spans="1:5" ht="30.75">
      <c r="A20" s="45" t="s">
        <v>177</v>
      </c>
      <c r="B20" s="133">
        <v>30</v>
      </c>
      <c r="C20" s="130"/>
      <c r="D20" s="42">
        <f>D14+D15-D16-D18-D19</f>
        <v>11004017155</v>
      </c>
      <c r="E20" s="42">
        <v>8514996172</v>
      </c>
    </row>
    <row r="21" spans="1:5" ht="19.5" customHeight="1">
      <c r="A21" s="21" t="s">
        <v>178</v>
      </c>
      <c r="B21" s="133">
        <v>31</v>
      </c>
      <c r="C21" s="130"/>
      <c r="D21" s="42">
        <f>'ban co  2012 thue'!BM70</f>
        <v>501740125</v>
      </c>
      <c r="E21" s="42">
        <v>431996772</v>
      </c>
    </row>
    <row r="22" spans="1:5" ht="19.5" customHeight="1">
      <c r="A22" s="21" t="s">
        <v>179</v>
      </c>
      <c r="B22" s="133">
        <v>32</v>
      </c>
      <c r="C22" s="130"/>
      <c r="D22" s="42">
        <f>'ban co  2012 thue'!BO69</f>
        <v>6755887228</v>
      </c>
      <c r="E22" s="42">
        <v>3560985958</v>
      </c>
    </row>
    <row r="23" spans="1:5" ht="19.5" customHeight="1">
      <c r="A23" s="21" t="s">
        <v>180</v>
      </c>
      <c r="B23" s="133">
        <v>40</v>
      </c>
      <c r="C23" s="130"/>
      <c r="D23" s="42">
        <f>D21-D22</f>
        <v>-6254147103</v>
      </c>
      <c r="E23" s="42">
        <v>-3128989186</v>
      </c>
    </row>
    <row r="24" spans="1:7" ht="19.5" customHeight="1">
      <c r="A24" s="21" t="s">
        <v>181</v>
      </c>
      <c r="B24" s="133">
        <v>50</v>
      </c>
      <c r="C24" s="130"/>
      <c r="D24" s="42">
        <f>D20+D23</f>
        <v>4749870052</v>
      </c>
      <c r="E24" s="42">
        <v>5386006986</v>
      </c>
      <c r="G24" s="270" t="e">
        <f>D24-#REF!</f>
        <v>#REF!</v>
      </c>
    </row>
    <row r="25" spans="1:5" ht="19.5" customHeight="1">
      <c r="A25" s="21" t="s">
        <v>182</v>
      </c>
      <c r="B25" s="133">
        <v>51</v>
      </c>
      <c r="C25" s="130" t="s">
        <v>191</v>
      </c>
      <c r="D25" s="42">
        <f>D24*25%-1-745818182</f>
        <v>441649330</v>
      </c>
      <c r="E25" s="42">
        <v>1771643741</v>
      </c>
    </row>
    <row r="26" spans="1:5" ht="19.5" customHeight="1">
      <c r="A26" s="21" t="s">
        <v>183</v>
      </c>
      <c r="B26" s="133">
        <v>52</v>
      </c>
      <c r="C26" s="130" t="s">
        <v>191</v>
      </c>
      <c r="D26" s="42"/>
      <c r="E26" s="42"/>
    </row>
    <row r="27" spans="1:5" ht="19.5" customHeight="1">
      <c r="A27" s="21" t="s">
        <v>184</v>
      </c>
      <c r="B27" s="133">
        <v>60</v>
      </c>
      <c r="C27" s="130"/>
      <c r="D27" s="42">
        <f>D24-D25</f>
        <v>4308220722</v>
      </c>
      <c r="E27" s="42">
        <v>3614363245</v>
      </c>
    </row>
    <row r="28" spans="1:5" ht="19.5" customHeight="1">
      <c r="A28" s="23" t="s">
        <v>311</v>
      </c>
      <c r="B28" s="134">
        <v>70</v>
      </c>
      <c r="C28" s="39"/>
      <c r="D28" s="44"/>
      <c r="E28" s="44"/>
    </row>
    <row r="29" spans="1:7" s="141" customFormat="1" ht="16.5">
      <c r="A29" s="2"/>
      <c r="B29" s="2"/>
      <c r="C29" s="2"/>
      <c r="D29" s="409" t="s">
        <v>454</v>
      </c>
      <c r="E29" s="409"/>
      <c r="G29" s="271"/>
    </row>
    <row r="30" spans="1:5" ht="15.75">
      <c r="A30" s="18"/>
      <c r="B30" s="18"/>
      <c r="C30" s="18"/>
      <c r="D30" s="140"/>
      <c r="E30" s="140"/>
    </row>
    <row r="31" spans="1:7" s="135" customFormat="1" ht="17.25">
      <c r="A31" s="411" t="s">
        <v>310</v>
      </c>
      <c r="B31" s="411"/>
      <c r="C31" s="411"/>
      <c r="D31" s="411"/>
      <c r="E31" s="411"/>
      <c r="G31" s="142"/>
    </row>
    <row r="48" spans="1:7" s="196" customFormat="1" ht="16.5">
      <c r="A48" s="194"/>
      <c r="B48" s="118"/>
      <c r="C48" s="118"/>
      <c r="D48" s="195"/>
      <c r="E48" s="195"/>
      <c r="G48" s="272"/>
    </row>
    <row r="49" spans="1:7" s="196" customFormat="1" ht="15.75">
      <c r="A49" s="119"/>
      <c r="B49" s="118"/>
      <c r="C49" s="118"/>
      <c r="D49" s="195"/>
      <c r="E49" s="195"/>
      <c r="G49" s="272"/>
    </row>
    <row r="50" spans="1:7" s="196" customFormat="1" ht="15.75">
      <c r="A50" s="119"/>
      <c r="B50" s="118"/>
      <c r="C50" s="118"/>
      <c r="D50" s="195"/>
      <c r="E50" s="195"/>
      <c r="G50" s="272"/>
    </row>
    <row r="51" spans="1:7" s="196" customFormat="1" ht="21.75">
      <c r="A51" s="414"/>
      <c r="B51" s="414"/>
      <c r="C51" s="414"/>
      <c r="D51" s="414"/>
      <c r="E51" s="414"/>
      <c r="G51" s="272"/>
    </row>
    <row r="52" spans="1:7" s="196" customFormat="1" ht="15.75">
      <c r="A52" s="118"/>
      <c r="B52" s="118"/>
      <c r="C52" s="118"/>
      <c r="D52" s="195"/>
      <c r="E52" s="197"/>
      <c r="G52" s="272"/>
    </row>
    <row r="53" spans="1:7" s="196" customFormat="1" ht="12.75">
      <c r="A53" s="415"/>
      <c r="B53" s="416"/>
      <c r="C53" s="417"/>
      <c r="D53" s="418"/>
      <c r="E53" s="418"/>
      <c r="G53" s="272"/>
    </row>
    <row r="54" spans="1:7" s="196" customFormat="1" ht="12.75">
      <c r="A54" s="415"/>
      <c r="B54" s="416"/>
      <c r="C54" s="417"/>
      <c r="D54" s="418"/>
      <c r="E54" s="418"/>
      <c r="G54" s="272"/>
    </row>
    <row r="55" spans="1:7" s="196" customFormat="1" ht="20.25" customHeight="1">
      <c r="A55" s="198"/>
      <c r="B55" s="199"/>
      <c r="C55" s="199"/>
      <c r="D55" s="200"/>
      <c r="E55" s="200"/>
      <c r="G55" s="272"/>
    </row>
    <row r="56" spans="1:7" s="196" customFormat="1" ht="20.25" customHeight="1">
      <c r="A56" s="118"/>
      <c r="B56" s="201"/>
      <c r="C56" s="117"/>
      <c r="D56" s="202"/>
      <c r="E56" s="203"/>
      <c r="F56" s="121"/>
      <c r="G56" s="272"/>
    </row>
    <row r="57" spans="1:7" s="196" customFormat="1" ht="20.25" customHeight="1">
      <c r="A57" s="118"/>
      <c r="B57" s="201"/>
      <c r="C57" s="117"/>
      <c r="D57" s="202"/>
      <c r="E57" s="203"/>
      <c r="G57" s="272"/>
    </row>
    <row r="58" spans="1:7" s="196" customFormat="1" ht="15">
      <c r="A58" s="204"/>
      <c r="B58" s="117"/>
      <c r="C58" s="117"/>
      <c r="D58" s="203"/>
      <c r="E58" s="195"/>
      <c r="G58" s="272"/>
    </row>
    <row r="59" spans="1:7" s="196" customFormat="1" ht="20.25" customHeight="1">
      <c r="A59" s="118"/>
      <c r="B59" s="117"/>
      <c r="C59" s="117"/>
      <c r="D59" s="202"/>
      <c r="E59" s="195"/>
      <c r="G59" s="272"/>
    </row>
    <row r="60" spans="1:7" s="196" customFormat="1" ht="15">
      <c r="A60" s="204"/>
      <c r="B60" s="117"/>
      <c r="C60" s="117"/>
      <c r="D60" s="203"/>
      <c r="E60" s="195"/>
      <c r="G60" s="272"/>
    </row>
    <row r="61" spans="1:7" s="196" customFormat="1" ht="20.25" customHeight="1">
      <c r="A61" s="118"/>
      <c r="B61" s="117"/>
      <c r="C61" s="117"/>
      <c r="D61" s="202"/>
      <c r="E61" s="195"/>
      <c r="G61" s="272"/>
    </row>
    <row r="62" spans="1:7" s="196" customFormat="1" ht="20.25" customHeight="1">
      <c r="A62" s="118"/>
      <c r="B62" s="117"/>
      <c r="C62" s="117"/>
      <c r="D62" s="202"/>
      <c r="E62" s="195"/>
      <c r="G62" s="272"/>
    </row>
    <row r="63" spans="1:7" s="196" customFormat="1" ht="20.25" customHeight="1">
      <c r="A63" s="205"/>
      <c r="B63" s="117"/>
      <c r="C63" s="117"/>
      <c r="D63" s="203"/>
      <c r="E63" s="195"/>
      <c r="G63" s="272"/>
    </row>
    <row r="64" spans="1:7" s="196" customFormat="1" ht="20.25" customHeight="1">
      <c r="A64" s="118"/>
      <c r="B64" s="117"/>
      <c r="C64" s="117"/>
      <c r="D64" s="202"/>
      <c r="E64" s="195"/>
      <c r="G64" s="272"/>
    </row>
    <row r="65" spans="1:7" s="196" customFormat="1" ht="20.25" customHeight="1">
      <c r="A65" s="118"/>
      <c r="B65" s="117"/>
      <c r="C65" s="117"/>
      <c r="D65" s="202"/>
      <c r="E65" s="195"/>
      <c r="G65" s="272"/>
    </row>
    <row r="66" spans="1:7" s="196" customFormat="1" ht="15">
      <c r="A66" s="204"/>
      <c r="B66" s="117"/>
      <c r="C66" s="117"/>
      <c r="D66" s="195"/>
      <c r="E66" s="195"/>
      <c r="G66" s="272"/>
    </row>
    <row r="67" spans="1:7" s="196" customFormat="1" ht="20.25" customHeight="1">
      <c r="A67" s="118"/>
      <c r="B67" s="117"/>
      <c r="C67" s="117"/>
      <c r="D67" s="202"/>
      <c r="E67" s="195"/>
      <c r="G67" s="272"/>
    </row>
    <row r="68" spans="1:7" s="196" customFormat="1" ht="20.25" customHeight="1">
      <c r="A68" s="118"/>
      <c r="B68" s="117"/>
      <c r="C68" s="117"/>
      <c r="D68" s="203"/>
      <c r="E68" s="195"/>
      <c r="G68" s="272"/>
    </row>
    <row r="69" spans="1:7" s="196" customFormat="1" ht="20.25" customHeight="1">
      <c r="A69" s="118"/>
      <c r="B69" s="117"/>
      <c r="C69" s="117"/>
      <c r="D69" s="203"/>
      <c r="E69" s="195"/>
      <c r="G69" s="272"/>
    </row>
    <row r="70" spans="1:7" s="196" customFormat="1" ht="20.25" customHeight="1">
      <c r="A70" s="118"/>
      <c r="B70" s="117"/>
      <c r="C70" s="117"/>
      <c r="D70" s="203"/>
      <c r="E70" s="195"/>
      <c r="G70" s="272"/>
    </row>
    <row r="71" spans="1:7" s="196" customFormat="1" ht="20.25" customHeight="1">
      <c r="A71" s="118"/>
      <c r="B71" s="117"/>
      <c r="C71" s="117"/>
      <c r="D71" s="203"/>
      <c r="E71" s="195"/>
      <c r="G71" s="272"/>
    </row>
    <row r="72" spans="1:7" s="196" customFormat="1" ht="20.25" customHeight="1">
      <c r="A72" s="118"/>
      <c r="B72" s="117"/>
      <c r="C72" s="117"/>
      <c r="D72" s="118"/>
      <c r="E72" s="195"/>
      <c r="G72" s="272"/>
    </row>
    <row r="73" spans="1:7" s="196" customFormat="1" ht="20.25" customHeight="1">
      <c r="A73" s="118"/>
      <c r="B73" s="117"/>
      <c r="C73" s="117"/>
      <c r="D73" s="203"/>
      <c r="E73" s="195"/>
      <c r="G73" s="272"/>
    </row>
    <row r="74" spans="1:7" s="196" customFormat="1" ht="20.25" customHeight="1">
      <c r="A74" s="118"/>
      <c r="B74" s="117"/>
      <c r="C74" s="117"/>
      <c r="D74" s="195"/>
      <c r="E74" s="195"/>
      <c r="G74" s="272"/>
    </row>
    <row r="75" spans="1:7" s="196" customFormat="1" ht="15.75">
      <c r="A75" s="118"/>
      <c r="B75" s="118"/>
      <c r="C75" s="118"/>
      <c r="D75" s="412"/>
      <c r="E75" s="412"/>
      <c r="G75" s="272"/>
    </row>
    <row r="76" spans="1:7" s="196" customFormat="1" ht="15.75">
      <c r="A76" s="206"/>
      <c r="B76" s="206"/>
      <c r="C76" s="206"/>
      <c r="D76" s="413"/>
      <c r="E76" s="413"/>
      <c r="G76" s="272"/>
    </row>
    <row r="77" s="196" customFormat="1" ht="12.75">
      <c r="G77" s="272"/>
    </row>
    <row r="78" s="196" customFormat="1" ht="12.75">
      <c r="G78" s="272"/>
    </row>
    <row r="79" s="196" customFormat="1" ht="12.75">
      <c r="G79" s="272"/>
    </row>
    <row r="80" s="196" customFormat="1" ht="12.75">
      <c r="G80" s="272"/>
    </row>
    <row r="81" s="196" customFormat="1" ht="12.75">
      <c r="G81" s="272"/>
    </row>
    <row r="82" s="196" customFormat="1" ht="12.75">
      <c r="G82" s="272"/>
    </row>
    <row r="83" s="196" customFormat="1" ht="12.75">
      <c r="G83" s="272"/>
    </row>
    <row r="84" s="196" customFormat="1" ht="12.75">
      <c r="G84" s="272"/>
    </row>
    <row r="85" s="196" customFormat="1" ht="12.75">
      <c r="G85" s="272"/>
    </row>
  </sheetData>
  <mergeCells count="17">
    <mergeCell ref="A31:E31"/>
    <mergeCell ref="D75:E75"/>
    <mergeCell ref="D76:E76"/>
    <mergeCell ref="A51:E51"/>
    <mergeCell ref="A53:A54"/>
    <mergeCell ref="B53:B54"/>
    <mergeCell ref="C53:C54"/>
    <mergeCell ref="D53:D54"/>
    <mergeCell ref="E53:E54"/>
    <mergeCell ref="D29:E29"/>
    <mergeCell ref="A4:E4"/>
    <mergeCell ref="A7:A8"/>
    <mergeCell ref="B7:B8"/>
    <mergeCell ref="C7:C8"/>
    <mergeCell ref="D7:D8"/>
    <mergeCell ref="E7:E8"/>
    <mergeCell ref="A5:E5"/>
  </mergeCells>
  <printOptions/>
  <pageMargins left="0.4" right="0.24" top="0.2" bottom="0.17" header="0.25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0">
      <selection activeCell="C25" sqref="C25"/>
    </sheetView>
  </sheetViews>
  <sheetFormatPr defaultColWidth="9.00390625" defaultRowHeight="20.25" customHeight="1"/>
  <cols>
    <col min="1" max="1" width="4.75390625" style="18" customWidth="1"/>
    <col min="2" max="2" width="45.75390625" style="18" customWidth="1"/>
    <col min="3" max="3" width="20.125" style="14" customWidth="1"/>
    <col min="4" max="6" width="9.125" style="18" customWidth="1"/>
    <col min="7" max="7" width="18.125" style="18" bestFit="1" customWidth="1"/>
    <col min="8" max="16384" width="9.125" style="18" customWidth="1"/>
  </cols>
  <sheetData>
    <row r="2" ht="20.25" customHeight="1">
      <c r="B2" s="25" t="s">
        <v>368</v>
      </c>
    </row>
    <row r="3" spans="1:3" ht="20.25" customHeight="1">
      <c r="A3" s="18">
        <v>1</v>
      </c>
      <c r="B3" s="18" t="s">
        <v>352</v>
      </c>
      <c r="C3" s="74">
        <v>146018513634</v>
      </c>
    </row>
    <row r="4" spans="2:3" ht="20.25" customHeight="1">
      <c r="B4" s="274" t="s">
        <v>353</v>
      </c>
      <c r="C4" s="14">
        <v>51850232321</v>
      </c>
    </row>
    <row r="5" spans="1:7" ht="20.25" customHeight="1">
      <c r="A5" s="18">
        <v>2</v>
      </c>
      <c r="B5" s="18" t="s">
        <v>376</v>
      </c>
      <c r="C5" s="14">
        <v>78682727</v>
      </c>
      <c r="G5" s="77">
        <f>C4-C5</f>
        <v>51771549594</v>
      </c>
    </row>
    <row r="6" spans="1:3" ht="20.25" customHeight="1">
      <c r="A6" s="18">
        <v>3</v>
      </c>
      <c r="B6" s="18" t="s">
        <v>354</v>
      </c>
      <c r="C6" s="14">
        <v>7078574032</v>
      </c>
    </row>
    <row r="7" spans="1:3" ht="20.25" customHeight="1">
      <c r="A7" s="18">
        <v>4</v>
      </c>
      <c r="B7" s="18" t="s">
        <v>355</v>
      </c>
      <c r="C7" s="74">
        <f>C8+C10+C11+C12</f>
        <v>151485420219</v>
      </c>
    </row>
    <row r="8" spans="1:3" ht="20.25" customHeight="1">
      <c r="A8" s="18" t="s">
        <v>356</v>
      </c>
      <c r="B8" s="18" t="s">
        <v>49</v>
      </c>
      <c r="C8" s="14">
        <v>127882077380</v>
      </c>
    </row>
    <row r="9" spans="2:3" ht="20.25" customHeight="1">
      <c r="B9" s="274" t="s">
        <v>357</v>
      </c>
      <c r="C9" s="14">
        <v>48328201551</v>
      </c>
    </row>
    <row r="10" spans="1:3" ht="20.25" customHeight="1">
      <c r="A10" s="18" t="s">
        <v>358</v>
      </c>
      <c r="B10" s="18" t="s">
        <v>47</v>
      </c>
      <c r="C10" s="14">
        <v>3738634532</v>
      </c>
    </row>
    <row r="11" spans="1:3" ht="20.25" customHeight="1">
      <c r="A11" s="18" t="s">
        <v>358</v>
      </c>
      <c r="B11" s="18" t="s">
        <v>48</v>
      </c>
      <c r="C11" s="14">
        <v>18840108307</v>
      </c>
    </row>
    <row r="12" spans="1:3" ht="20.25" customHeight="1">
      <c r="A12" s="18">
        <v>5</v>
      </c>
      <c r="B12" s="18" t="s">
        <v>359</v>
      </c>
      <c r="C12" s="14">
        <v>1024600000</v>
      </c>
    </row>
    <row r="13" spans="1:3" ht="20.25" customHeight="1">
      <c r="A13" s="18">
        <v>6</v>
      </c>
      <c r="B13" s="18" t="s">
        <v>360</v>
      </c>
      <c r="C13" s="14">
        <f>C3-C7-C5</f>
        <v>-5545589312</v>
      </c>
    </row>
    <row r="14" spans="1:3" ht="20.25" customHeight="1">
      <c r="A14" s="18">
        <v>7</v>
      </c>
      <c r="B14" s="18" t="s">
        <v>361</v>
      </c>
      <c r="C14" s="14">
        <v>1520000</v>
      </c>
    </row>
    <row r="15" spans="1:3" ht="20.25" customHeight="1">
      <c r="A15" s="18">
        <v>8</v>
      </c>
      <c r="B15" s="18" t="s">
        <v>362</v>
      </c>
      <c r="C15" s="14">
        <v>509137406</v>
      </c>
    </row>
    <row r="16" spans="1:3" ht="20.25" customHeight="1">
      <c r="A16" s="18">
        <v>9</v>
      </c>
      <c r="B16" s="18" t="s">
        <v>363</v>
      </c>
      <c r="C16" s="14">
        <f>C14-C15</f>
        <v>-507617406</v>
      </c>
    </row>
    <row r="17" spans="1:3" ht="20.25" customHeight="1">
      <c r="A17" s="18">
        <v>10</v>
      </c>
      <c r="B17" s="18" t="s">
        <v>364</v>
      </c>
      <c r="C17" s="14">
        <f>C6+C13+C16</f>
        <v>1025367314</v>
      </c>
    </row>
    <row r="18" spans="2:3" ht="20.25" customHeight="1">
      <c r="B18" s="18" t="s">
        <v>365</v>
      </c>
      <c r="C18" s="14">
        <f>-(C19-C17)</f>
        <v>-2417980729</v>
      </c>
    </row>
    <row r="19" spans="2:3" ht="20.25" customHeight="1">
      <c r="B19" s="18" t="s">
        <v>366</v>
      </c>
      <c r="C19" s="14">
        <f>C4-C5-C9</f>
        <v>3443348043</v>
      </c>
    </row>
    <row r="20" ht="20.25" customHeight="1">
      <c r="B20" s="25" t="s">
        <v>369</v>
      </c>
    </row>
    <row r="21" spans="2:3" ht="20.25" customHeight="1">
      <c r="B21" s="18" t="s">
        <v>367</v>
      </c>
      <c r="C21" s="14">
        <f>C19</f>
        <v>3443348043</v>
      </c>
    </row>
    <row r="22" spans="2:3" ht="20.25" customHeight="1">
      <c r="B22" s="18" t="s">
        <v>370</v>
      </c>
      <c r="C22" s="14">
        <f>C21</f>
        <v>3443348043</v>
      </c>
    </row>
    <row r="23" spans="2:3" ht="20.25" customHeight="1">
      <c r="B23" s="18" t="s">
        <v>371</v>
      </c>
      <c r="C23" s="273" t="s">
        <v>372</v>
      </c>
    </row>
    <row r="24" spans="2:3" ht="20.25" customHeight="1">
      <c r="B24" s="18" t="s">
        <v>373</v>
      </c>
      <c r="C24" s="14">
        <f>C22*C23</f>
        <v>860837010.75</v>
      </c>
    </row>
    <row r="25" spans="2:3" ht="20.25" customHeight="1">
      <c r="B25" s="18" t="s">
        <v>374</v>
      </c>
      <c r="C25" s="14">
        <v>745818182</v>
      </c>
    </row>
    <row r="26" spans="2:3" ht="20.25" customHeight="1">
      <c r="B26" s="18" t="s">
        <v>375</v>
      </c>
      <c r="C26" s="14">
        <f>C24-C25</f>
        <v>115018828.75</v>
      </c>
    </row>
  </sheetData>
  <printOptions/>
  <pageMargins left="0.38" right="0.38" top="0.53" bottom="0.47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E45" sqref="E45"/>
    </sheetView>
  </sheetViews>
  <sheetFormatPr defaultColWidth="9.00390625" defaultRowHeight="12.75"/>
  <cols>
    <col min="1" max="1" width="9.125" style="18" customWidth="1"/>
    <col min="2" max="2" width="32.75390625" style="18" customWidth="1"/>
    <col min="3" max="4" width="9.125" style="18" customWidth="1"/>
    <col min="5" max="5" width="22.875" style="14" customWidth="1"/>
    <col min="6" max="6" width="16.25390625" style="18" customWidth="1"/>
    <col min="7" max="7" width="9.125" style="18" customWidth="1"/>
    <col min="8" max="8" width="19.75390625" style="14" customWidth="1"/>
    <col min="9" max="16384" width="9.125" style="18" customWidth="1"/>
  </cols>
  <sheetData>
    <row r="2" spans="1:8" s="339" customFormat="1" ht="20.25">
      <c r="A2" s="419" t="s">
        <v>438</v>
      </c>
      <c r="B2" s="419"/>
      <c r="C2" s="419"/>
      <c r="D2" s="419"/>
      <c r="E2" s="419"/>
      <c r="F2" s="419"/>
      <c r="H2" s="340"/>
    </row>
    <row r="3" spans="1:6" ht="15.75">
      <c r="A3" s="28"/>
      <c r="B3" s="28"/>
      <c r="C3" s="28"/>
      <c r="D3" s="28"/>
      <c r="E3" s="28"/>
      <c r="F3" s="28"/>
    </row>
    <row r="4" spans="1:6" ht="18.75">
      <c r="A4" s="335"/>
      <c r="B4" s="37" t="s">
        <v>193</v>
      </c>
      <c r="C4" s="336" t="s">
        <v>425</v>
      </c>
      <c r="D4" s="336" t="s">
        <v>217</v>
      </c>
      <c r="E4" s="344" t="s">
        <v>439</v>
      </c>
      <c r="F4" s="335"/>
    </row>
    <row r="5" spans="1:6" ht="15">
      <c r="A5" s="335"/>
      <c r="B5" s="335"/>
      <c r="C5" s="335"/>
      <c r="D5" s="335"/>
      <c r="E5" s="337"/>
      <c r="F5" s="335"/>
    </row>
    <row r="6" spans="1:6" ht="15">
      <c r="A6" s="335"/>
      <c r="B6" s="335" t="s">
        <v>434</v>
      </c>
      <c r="C6" s="335">
        <v>421</v>
      </c>
      <c r="D6" s="335">
        <v>133</v>
      </c>
      <c r="E6" s="337">
        <v>7926351</v>
      </c>
      <c r="F6" s="335"/>
    </row>
    <row r="7" spans="1:6" ht="15">
      <c r="A7" s="335"/>
      <c r="B7" s="335"/>
      <c r="C7" s="335"/>
      <c r="D7" s="335"/>
      <c r="E7" s="337"/>
      <c r="F7" s="335"/>
    </row>
    <row r="8" spans="1:6" ht="15">
      <c r="A8" s="335"/>
      <c r="B8" s="335" t="s">
        <v>426</v>
      </c>
      <c r="C8" s="335">
        <v>353</v>
      </c>
      <c r="D8" s="335">
        <v>641</v>
      </c>
      <c r="E8" s="337">
        <v>6800000</v>
      </c>
      <c r="F8" s="335"/>
    </row>
    <row r="9" spans="1:6" ht="15">
      <c r="A9" s="335"/>
      <c r="B9" s="335"/>
      <c r="C9" s="335"/>
      <c r="D9" s="335"/>
      <c r="E9" s="337"/>
      <c r="F9" s="335"/>
    </row>
    <row r="10" spans="1:6" ht="15">
      <c r="A10" s="335"/>
      <c r="B10" s="335"/>
      <c r="C10" s="335">
        <v>142</v>
      </c>
      <c r="D10" s="335">
        <v>641</v>
      </c>
      <c r="E10" s="337">
        <v>82412500</v>
      </c>
      <c r="F10" s="335"/>
    </row>
    <row r="11" spans="1:6" ht="15">
      <c r="A11" s="335"/>
      <c r="B11" s="335"/>
      <c r="C11" s="335"/>
      <c r="D11" s="335"/>
      <c r="E11" s="337"/>
      <c r="F11" s="335"/>
    </row>
    <row r="12" spans="1:6" ht="15">
      <c r="A12" s="335"/>
      <c r="B12" s="335" t="s">
        <v>427</v>
      </c>
      <c r="C12" s="335">
        <v>214</v>
      </c>
      <c r="D12" s="335">
        <v>642</v>
      </c>
      <c r="E12" s="337">
        <v>30987181</v>
      </c>
      <c r="F12" s="359"/>
    </row>
    <row r="13" spans="1:8" ht="15">
      <c r="A13" s="335"/>
      <c r="B13" s="335"/>
      <c r="C13" s="335">
        <v>353</v>
      </c>
      <c r="D13" s="335">
        <v>642</v>
      </c>
      <c r="E13" s="337">
        <v>901239482</v>
      </c>
      <c r="F13" s="335"/>
      <c r="H13" s="14">
        <f>E13+E14+E8</f>
        <v>1457478200</v>
      </c>
    </row>
    <row r="14" spans="1:6" ht="15.75">
      <c r="A14" s="335"/>
      <c r="B14" s="335"/>
      <c r="C14" s="335">
        <v>353</v>
      </c>
      <c r="D14" s="335">
        <v>642</v>
      </c>
      <c r="E14" s="337">
        <v>549438718</v>
      </c>
      <c r="F14" s="341"/>
    </row>
    <row r="15" spans="1:6" ht="15">
      <c r="A15" s="335"/>
      <c r="B15" s="335"/>
      <c r="C15" s="335"/>
      <c r="D15" s="335"/>
      <c r="E15" s="337"/>
      <c r="F15" s="335"/>
    </row>
    <row r="16" spans="1:6" ht="15">
      <c r="A16" s="335"/>
      <c r="B16" s="335"/>
      <c r="C16" s="335">
        <v>139</v>
      </c>
      <c r="D16" s="335">
        <v>642</v>
      </c>
      <c r="E16" s="337">
        <v>37998000</v>
      </c>
      <c r="F16" s="335"/>
    </row>
    <row r="17" spans="1:6" ht="15">
      <c r="A17" s="335"/>
      <c r="B17" s="335"/>
      <c r="C17" s="335"/>
      <c r="D17" s="335"/>
      <c r="E17" s="337"/>
      <c r="F17" s="335"/>
    </row>
    <row r="18" spans="1:6" ht="15">
      <c r="A18" s="335"/>
      <c r="B18" s="335"/>
      <c r="C18" s="335">
        <v>142</v>
      </c>
      <c r="D18" s="335">
        <v>642</v>
      </c>
      <c r="E18" s="337">
        <v>470052464</v>
      </c>
      <c r="F18" s="335"/>
    </row>
    <row r="19" spans="1:6" ht="15">
      <c r="A19" s="335"/>
      <c r="B19" s="335"/>
      <c r="C19" s="335"/>
      <c r="D19" s="335"/>
      <c r="E19" s="337"/>
      <c r="F19" s="335"/>
    </row>
    <row r="20" spans="1:6" ht="15">
      <c r="A20" s="335"/>
      <c r="B20" s="335" t="s">
        <v>428</v>
      </c>
      <c r="C20" s="335">
        <v>515</v>
      </c>
      <c r="D20" s="335">
        <v>411</v>
      </c>
      <c r="E20" s="337">
        <v>213750000</v>
      </c>
      <c r="F20" s="335"/>
    </row>
    <row r="21" spans="1:6" ht="15">
      <c r="A21" s="335"/>
      <c r="B21" s="335"/>
      <c r="C21" s="335"/>
      <c r="D21" s="335">
        <v>642</v>
      </c>
      <c r="E21" s="337">
        <v>130000000</v>
      </c>
      <c r="F21" s="335"/>
    </row>
    <row r="22" spans="1:6" ht="15">
      <c r="A22" s="335"/>
      <c r="B22" s="335"/>
      <c r="C22" s="335"/>
      <c r="D22" s="335"/>
      <c r="E22" s="337"/>
      <c r="F22" s="335"/>
    </row>
    <row r="23" spans="1:8" s="333" customFormat="1" ht="15">
      <c r="A23" s="338"/>
      <c r="B23" s="338"/>
      <c r="C23" s="335">
        <v>1388</v>
      </c>
      <c r="D23" s="335">
        <v>515</v>
      </c>
      <c r="E23" s="337">
        <v>61195000</v>
      </c>
      <c r="F23" s="338"/>
      <c r="H23" s="143"/>
    </row>
    <row r="24" spans="1:6" ht="15">
      <c r="A24" s="335"/>
      <c r="B24" s="335"/>
      <c r="C24" s="335"/>
      <c r="D24" s="335"/>
      <c r="E24" s="337"/>
      <c r="F24" s="335"/>
    </row>
    <row r="25" spans="1:6" ht="15">
      <c r="A25" s="335"/>
      <c r="B25" s="335" t="s">
        <v>429</v>
      </c>
      <c r="C25" s="335">
        <v>351</v>
      </c>
      <c r="D25" s="335">
        <v>711</v>
      </c>
      <c r="E25" s="337">
        <v>500220125</v>
      </c>
      <c r="F25" s="335"/>
    </row>
    <row r="26" spans="1:6" ht="15">
      <c r="A26" s="335"/>
      <c r="B26" s="335"/>
      <c r="C26" s="335"/>
      <c r="D26" s="335"/>
      <c r="E26" s="337"/>
      <c r="F26" s="335"/>
    </row>
    <row r="27" spans="1:6" ht="15">
      <c r="A27" s="335"/>
      <c r="B27" s="335" t="s">
        <v>430</v>
      </c>
      <c r="C27" s="335">
        <v>421</v>
      </c>
      <c r="D27" s="335">
        <v>811</v>
      </c>
      <c r="E27" s="337">
        <v>122205006</v>
      </c>
      <c r="F27" s="335"/>
    </row>
    <row r="28" spans="1:6" ht="15">
      <c r="A28" s="335"/>
      <c r="B28" s="335"/>
      <c r="C28" s="335"/>
      <c r="D28" s="335"/>
      <c r="E28" s="337"/>
      <c r="F28" s="335"/>
    </row>
    <row r="29" spans="1:6" ht="15">
      <c r="A29" s="335"/>
      <c r="B29" s="335"/>
      <c r="C29" s="335">
        <v>131</v>
      </c>
      <c r="D29" s="335">
        <v>811</v>
      </c>
      <c r="E29" s="337">
        <v>129274731</v>
      </c>
      <c r="F29" s="335"/>
    </row>
    <row r="30" spans="1:6" ht="15">
      <c r="A30" s="335"/>
      <c r="B30" s="335"/>
      <c r="C30" s="335">
        <v>141</v>
      </c>
      <c r="D30" s="335">
        <v>811</v>
      </c>
      <c r="E30" s="337">
        <v>95000000</v>
      </c>
      <c r="F30" s="335"/>
    </row>
    <row r="31" spans="1:6" ht="15">
      <c r="A31" s="335"/>
      <c r="B31" s="335"/>
      <c r="C31" s="335"/>
      <c r="D31" s="335"/>
      <c r="E31" s="337"/>
      <c r="F31" s="335"/>
    </row>
    <row r="32" spans="1:6" ht="15">
      <c r="A32" s="335"/>
      <c r="B32" s="335" t="s">
        <v>443</v>
      </c>
      <c r="C32" s="335">
        <v>131</v>
      </c>
      <c r="D32" s="335">
        <v>139</v>
      </c>
      <c r="E32" s="337">
        <v>37998000</v>
      </c>
      <c r="F32" s="335"/>
    </row>
    <row r="33" spans="1:6" ht="15">
      <c r="A33" s="335"/>
      <c r="B33" s="335"/>
      <c r="C33" s="335"/>
      <c r="D33" s="335"/>
      <c r="E33" s="337"/>
      <c r="F33" s="335"/>
    </row>
    <row r="34" spans="1:6" ht="15">
      <c r="A34" s="335"/>
      <c r="B34" s="335"/>
      <c r="C34" s="335">
        <v>1388</v>
      </c>
      <c r="D34" s="335">
        <v>3335</v>
      </c>
      <c r="E34" s="337">
        <f>51230000+7380256</f>
        <v>58610256</v>
      </c>
      <c r="F34" s="335"/>
    </row>
    <row r="35" spans="1:6" ht="15">
      <c r="A35" s="335"/>
      <c r="B35" s="335"/>
      <c r="C35" s="335"/>
      <c r="D35" s="335"/>
      <c r="E35" s="337"/>
      <c r="F35" s="335"/>
    </row>
    <row r="36" spans="1:6" ht="15">
      <c r="A36" s="335"/>
      <c r="B36" s="335"/>
      <c r="C36" s="335">
        <v>421</v>
      </c>
      <c r="D36" s="335">
        <v>3334</v>
      </c>
      <c r="E36" s="337">
        <f>59656582+745818172</f>
        <v>805474754</v>
      </c>
      <c r="F36" s="335"/>
    </row>
    <row r="37" spans="1:6" ht="15">
      <c r="A37" s="335"/>
      <c r="B37" s="335"/>
      <c r="C37" s="335">
        <v>421</v>
      </c>
      <c r="D37" s="335">
        <v>3331</v>
      </c>
      <c r="E37" s="337">
        <v>110371931</v>
      </c>
      <c r="F37" s="335"/>
    </row>
    <row r="38" spans="1:6" ht="15">
      <c r="A38" s="335"/>
      <c r="B38" s="335"/>
      <c r="C38" s="335"/>
      <c r="D38" s="335"/>
      <c r="E38" s="337"/>
      <c r="F38" s="335"/>
    </row>
    <row r="39" spans="1:6" ht="15">
      <c r="A39" s="335"/>
      <c r="B39" s="335"/>
      <c r="C39" s="335"/>
      <c r="D39" s="335"/>
      <c r="E39" s="337"/>
      <c r="F39" s="335"/>
    </row>
    <row r="40" spans="1:6" ht="15">
      <c r="A40" s="335"/>
      <c r="B40" s="335"/>
      <c r="C40" s="335"/>
      <c r="D40" s="335"/>
      <c r="E40" s="337"/>
      <c r="F40" s="335"/>
    </row>
    <row r="41" spans="1:6" ht="15">
      <c r="A41" s="335"/>
      <c r="B41" s="335"/>
      <c r="C41" s="335"/>
      <c r="D41" s="335"/>
      <c r="E41" s="337"/>
      <c r="F41" s="335"/>
    </row>
    <row r="42" spans="1:6" ht="15">
      <c r="A42" s="335"/>
      <c r="B42" s="335" t="s">
        <v>441</v>
      </c>
      <c r="C42" s="335"/>
      <c r="D42" s="335"/>
      <c r="E42" s="342">
        <f>E6+E27+E37</f>
        <v>240503288</v>
      </c>
      <c r="F42" s="335"/>
    </row>
    <row r="43" spans="1:6" ht="15">
      <c r="A43" s="335"/>
      <c r="B43" s="335"/>
      <c r="C43" s="335"/>
      <c r="D43" s="335"/>
      <c r="E43" s="343"/>
      <c r="F43" s="335"/>
    </row>
    <row r="44" spans="1:6" ht="15">
      <c r="A44" s="335"/>
      <c r="B44" s="335" t="s">
        <v>436</v>
      </c>
      <c r="C44" s="335"/>
      <c r="D44" s="335"/>
      <c r="E44" s="342">
        <f>4174824683-1043706170+745818182</f>
        <v>3876936695</v>
      </c>
      <c r="F44" s="335"/>
    </row>
    <row r="45" spans="1:6" ht="15">
      <c r="A45" s="335"/>
      <c r="B45" s="335" t="s">
        <v>437</v>
      </c>
      <c r="C45" s="335"/>
      <c r="D45" s="335"/>
      <c r="E45" s="342">
        <f>E44-E42</f>
        <v>3636433407</v>
      </c>
      <c r="F45" s="335"/>
    </row>
    <row r="46" spans="1:6" ht="15">
      <c r="A46" s="335"/>
      <c r="B46" s="335"/>
      <c r="C46" s="335"/>
      <c r="D46" s="335"/>
      <c r="E46" s="342"/>
      <c r="F46" s="335"/>
    </row>
    <row r="47" spans="1:6" ht="15">
      <c r="A47" s="335"/>
      <c r="B47" s="335"/>
      <c r="C47" s="335"/>
      <c r="D47" s="335"/>
      <c r="E47" s="337"/>
      <c r="F47" s="335"/>
    </row>
    <row r="48" spans="1:6" ht="15">
      <c r="A48" s="335"/>
      <c r="B48" s="335"/>
      <c r="C48" s="335"/>
      <c r="D48" s="335"/>
      <c r="E48" s="337"/>
      <c r="F48" s="335"/>
    </row>
    <row r="51" spans="1:6" ht="24.75" customHeight="1">
      <c r="A51" s="384" t="s">
        <v>449</v>
      </c>
      <c r="B51" s="384"/>
      <c r="C51" s="384"/>
      <c r="D51" s="384"/>
      <c r="E51" s="384"/>
      <c r="F51" s="384"/>
    </row>
    <row r="52" ht="24.75" customHeight="1"/>
    <row r="53" spans="1:8" s="216" customFormat="1" ht="24.75" customHeight="1">
      <c r="A53" s="216" t="s">
        <v>450</v>
      </c>
      <c r="E53" s="223">
        <v>30987181</v>
      </c>
      <c r="H53" s="223"/>
    </row>
    <row r="54" spans="5:8" s="216" customFormat="1" ht="24.75" customHeight="1">
      <c r="E54" s="223"/>
      <c r="H54" s="223"/>
    </row>
    <row r="55" spans="1:8" s="216" customFormat="1" ht="24.75" customHeight="1">
      <c r="A55" s="216" t="s">
        <v>446</v>
      </c>
      <c r="E55" s="223">
        <v>901239482</v>
      </c>
      <c r="H55" s="223"/>
    </row>
    <row r="56" spans="5:8" s="216" customFormat="1" ht="24.75" customHeight="1">
      <c r="E56" s="223"/>
      <c r="H56" s="223"/>
    </row>
    <row r="57" spans="1:8" s="216" customFormat="1" ht="24.75" customHeight="1">
      <c r="A57" s="216" t="s">
        <v>447</v>
      </c>
      <c r="E57" s="223">
        <f>549438718+51230000+6800000</f>
        <v>607468718</v>
      </c>
      <c r="H57" s="223"/>
    </row>
    <row r="58" spans="5:8" s="216" customFormat="1" ht="24.75" customHeight="1">
      <c r="E58" s="223"/>
      <c r="H58" s="223"/>
    </row>
    <row r="59" spans="1:8" s="216" customFormat="1" ht="24.75" customHeight="1">
      <c r="A59" s="216" t="s">
        <v>448</v>
      </c>
      <c r="E59" s="223">
        <f>122205006+110371931</f>
        <v>232576937</v>
      </c>
      <c r="H59" s="223"/>
    </row>
    <row r="60" spans="5:8" s="216" customFormat="1" ht="24.75" customHeight="1">
      <c r="E60" s="223"/>
      <c r="H60" s="223"/>
    </row>
    <row r="61" spans="1:8" s="216" customFormat="1" ht="24.75" customHeight="1">
      <c r="A61" s="216" t="s">
        <v>451</v>
      </c>
      <c r="E61" s="223">
        <v>7926351</v>
      </c>
      <c r="H61" s="223"/>
    </row>
    <row r="62" spans="5:8" s="216" customFormat="1" ht="24.75" customHeight="1">
      <c r="E62" s="223"/>
      <c r="H62" s="223"/>
    </row>
    <row r="63" spans="2:8" s="216" customFormat="1" ht="24.75" customHeight="1">
      <c r="B63" s="236" t="s">
        <v>445</v>
      </c>
      <c r="E63" s="265">
        <f>SUM(E53:E62)</f>
        <v>1780198669</v>
      </c>
      <c r="H63" s="223"/>
    </row>
  </sheetData>
  <mergeCells count="2">
    <mergeCell ref="A2:F2"/>
    <mergeCell ref="A51:F51"/>
  </mergeCells>
  <printOptions/>
  <pageMargins left="0.25" right="0.25" top="0.4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25/178 Thai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ADMIN</cp:lastModifiedBy>
  <cp:lastPrinted>2013-08-20T03:11:01Z</cp:lastPrinted>
  <dcterms:created xsi:type="dcterms:W3CDTF">2002-03-14T21:59:58Z</dcterms:created>
  <dcterms:modified xsi:type="dcterms:W3CDTF">2013-11-16T06:36:12Z</dcterms:modified>
  <cp:category/>
  <cp:version/>
  <cp:contentType/>
  <cp:contentStatus/>
</cp:coreProperties>
</file>