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9720" windowHeight="7320" activeTab="1"/>
  </bookViews>
  <sheets>
    <sheet name="BCDKT" sheetId="1" r:id="rId1"/>
    <sheet name="KQKD1" sheetId="2" r:id="rId2"/>
    <sheet name="tien te" sheetId="3" r:id="rId3"/>
    <sheet name="BCDKT (2)" sheetId="4" r:id="rId4"/>
    <sheet name="TM" sheetId="5" r:id="rId5"/>
    <sheet name="KQKD1 (2)" sheetId="6" r:id="rId6"/>
    <sheet name="tien te (2)" sheetId="7" r:id="rId7"/>
    <sheet name="AE" sheetId="8" state="hidden" r:id="rId8"/>
  </sheets>
  <externalReferences>
    <externalReference r:id="rId11"/>
    <externalReference r:id="rId12"/>
    <externalReference r:id="rId13"/>
    <externalReference r:id="rId14"/>
    <externalReference r:id="rId15"/>
    <externalReference r:id="rId16"/>
    <externalReference r:id="rId17"/>
  </externalReferences>
  <definedNames>
    <definedName name="_Fill" localSheetId="7" hidden="1">#REF!</definedName>
    <definedName name="_Fill" hidden="1">#REF!</definedName>
    <definedName name="Asnet" localSheetId="2">'[5]TEN_DV'!#REF!</definedName>
    <definedName name="Asnet" localSheetId="6">'[5]TEN_DV'!#REF!</definedName>
    <definedName name="Asnet">'[2]TEN_DV'!#REF!</definedName>
    <definedName name="C_1111" localSheetId="7">#REF!</definedName>
    <definedName name="C_1111">#REF!</definedName>
    <definedName name="C_1112" localSheetId="7">#REF!</definedName>
    <definedName name="C_1112">#REF!</definedName>
    <definedName name="C_1121" localSheetId="7">#REF!</definedName>
    <definedName name="C_1121">#REF!</definedName>
    <definedName name="C_1122" localSheetId="7">#REF!</definedName>
    <definedName name="C_1122">#REF!</definedName>
    <definedName name="C_1131" localSheetId="7">#REF!</definedName>
    <definedName name="C_1131">#REF!</definedName>
    <definedName name="C_1132" localSheetId="7">#REF!</definedName>
    <definedName name="C_1132">#REF!</definedName>
    <definedName name="C_131" localSheetId="7">#REF!</definedName>
    <definedName name="C_131">#REF!</definedName>
    <definedName name="C_1331" localSheetId="7">#REF!</definedName>
    <definedName name="C_1331">#REF!</definedName>
    <definedName name="C_1332" localSheetId="7">#REF!</definedName>
    <definedName name="C_1332">#REF!</definedName>
    <definedName name="C_1338" localSheetId="7">#REF!</definedName>
    <definedName name="C_1338">#REF!</definedName>
    <definedName name="C_1388" localSheetId="7">#REF!</definedName>
    <definedName name="C_1388">#REF!</definedName>
    <definedName name="C_139" localSheetId="7">#REF!</definedName>
    <definedName name="C_139">#REF!</definedName>
    <definedName name="C_141" localSheetId="7">#REF!</definedName>
    <definedName name="C_141">#REF!</definedName>
    <definedName name="C_1421" localSheetId="7">#REF!</definedName>
    <definedName name="C_1421">#REF!</definedName>
    <definedName name="C_1422" localSheetId="7">#REF!</definedName>
    <definedName name="C_1422">#REF!</definedName>
    <definedName name="C_144" localSheetId="7">#REF!</definedName>
    <definedName name="C_144">#REF!</definedName>
    <definedName name="C_152" localSheetId="7">#REF!</definedName>
    <definedName name="C_152">#REF!</definedName>
    <definedName name="C_1531" localSheetId="7">#REF!</definedName>
    <definedName name="C_1531">#REF!</definedName>
    <definedName name="C_1532" localSheetId="7">#REF!</definedName>
    <definedName name="C_1532">#REF!</definedName>
    <definedName name="C_154" localSheetId="7">#REF!</definedName>
    <definedName name="C_154">#REF!</definedName>
    <definedName name="C_155" localSheetId="7">#REF!</definedName>
    <definedName name="C_155">#REF!</definedName>
    <definedName name="C_156" localSheetId="7">#REF!</definedName>
    <definedName name="C_156">#REF!</definedName>
    <definedName name="C_2111" localSheetId="7">#REF!</definedName>
    <definedName name="C_2111">#REF!</definedName>
    <definedName name="C_2112" localSheetId="7">#REF!</definedName>
    <definedName name="C_2112">#REF!</definedName>
    <definedName name="C_2113" localSheetId="7">#REF!</definedName>
    <definedName name="C_2113">#REF!</definedName>
    <definedName name="C_2114" localSheetId="7">#REF!</definedName>
    <definedName name="C_2114">#REF!</definedName>
    <definedName name="C_2115" localSheetId="7">#REF!</definedName>
    <definedName name="C_2115">#REF!</definedName>
    <definedName name="C_2118" localSheetId="7">#REF!</definedName>
    <definedName name="C_2118">#REF!</definedName>
    <definedName name="C_2131" localSheetId="7">#REF!</definedName>
    <definedName name="C_2131">#REF!</definedName>
    <definedName name="C_2132" localSheetId="7">#REF!</definedName>
    <definedName name="C_2132">#REF!</definedName>
    <definedName name="C_2134" localSheetId="7">#REF!</definedName>
    <definedName name="C_2134">#REF!</definedName>
    <definedName name="C_2138" localSheetId="7">#REF!</definedName>
    <definedName name="C_2138">#REF!</definedName>
    <definedName name="C_2141" localSheetId="7">#REF!</definedName>
    <definedName name="C_2141">#REF!</definedName>
    <definedName name="C_2142" localSheetId="7">#REF!</definedName>
    <definedName name="C_2142">#REF!</definedName>
    <definedName name="C_2143" localSheetId="7">#REF!</definedName>
    <definedName name="C_2143">#REF!</definedName>
    <definedName name="C_2411" localSheetId="7">#REF!</definedName>
    <definedName name="C_2411">#REF!</definedName>
    <definedName name="C_244" localSheetId="7">#REF!</definedName>
    <definedName name="C_244">#REF!</definedName>
    <definedName name="C_311" localSheetId="7">#REF!</definedName>
    <definedName name="C_311">#REF!</definedName>
    <definedName name="C_315" localSheetId="7">#REF!</definedName>
    <definedName name="C_315">#REF!</definedName>
    <definedName name="C_331" localSheetId="7">#REF!</definedName>
    <definedName name="C_331">#REF!</definedName>
    <definedName name="C_33311" localSheetId="7">#REF!</definedName>
    <definedName name="C_33311">#REF!</definedName>
    <definedName name="C_33312" localSheetId="7">#REF!</definedName>
    <definedName name="C_33312">#REF!</definedName>
    <definedName name="C_3333" localSheetId="7">#REF!</definedName>
    <definedName name="C_3333">#REF!</definedName>
    <definedName name="C_3334" localSheetId="7">#REF!</definedName>
    <definedName name="C_3334">#REF!</definedName>
    <definedName name="C_3337" localSheetId="7">#REF!</definedName>
    <definedName name="C_3337">#REF!</definedName>
    <definedName name="C_3338" localSheetId="7">#REF!</definedName>
    <definedName name="C_3338">#REF!</definedName>
    <definedName name="C_3339" localSheetId="7">#REF!</definedName>
    <definedName name="C_3339">#REF!</definedName>
    <definedName name="C_334" localSheetId="7">#REF!</definedName>
    <definedName name="C_334">#REF!</definedName>
    <definedName name="C_3383" localSheetId="7">#REF!</definedName>
    <definedName name="C_3383">#REF!</definedName>
    <definedName name="C_3384" localSheetId="7">#REF!</definedName>
    <definedName name="C_3384">#REF!</definedName>
    <definedName name="C_3388" localSheetId="7">#REF!</definedName>
    <definedName name="C_3388">#REF!</definedName>
    <definedName name="C_411" localSheetId="7">#REF!</definedName>
    <definedName name="C_411">#REF!</definedName>
    <definedName name="C_412" localSheetId="7">#REF!</definedName>
    <definedName name="C_412">#REF!</definedName>
    <definedName name="C_413" localSheetId="7">#REF!</definedName>
    <definedName name="C_413">#REF!</definedName>
    <definedName name="C_415" localSheetId="7">#REF!</definedName>
    <definedName name="C_415">#REF!</definedName>
    <definedName name="C_416" localSheetId="7">#REF!</definedName>
    <definedName name="C_416">#REF!</definedName>
    <definedName name="C_4211" localSheetId="7">#REF!</definedName>
    <definedName name="C_4211">#REF!</definedName>
    <definedName name="C_4212" localSheetId="7">#REF!</definedName>
    <definedName name="C_4212">#REF!</definedName>
    <definedName name="C_441" localSheetId="7">#REF!</definedName>
    <definedName name="C_441">#REF!</definedName>
    <definedName name="C_5111" localSheetId="7">#REF!</definedName>
    <definedName name="C_5111">#REF!</definedName>
    <definedName name="C_621" localSheetId="7">#REF!</definedName>
    <definedName name="C_621">#REF!</definedName>
    <definedName name="C_622" localSheetId="7">#REF!</definedName>
    <definedName name="C_622">#REF!</definedName>
    <definedName name="C_6271" localSheetId="7">#REF!</definedName>
    <definedName name="C_6271">#REF!</definedName>
    <definedName name="C_6272" localSheetId="7">#REF!</definedName>
    <definedName name="C_6272">#REF!</definedName>
    <definedName name="C_6273" localSheetId="7">#REF!</definedName>
    <definedName name="C_6273">#REF!</definedName>
    <definedName name="C_6274" localSheetId="7">#REF!</definedName>
    <definedName name="C_6274">#REF!</definedName>
    <definedName name="C_6277" localSheetId="7">#REF!</definedName>
    <definedName name="C_6277">#REF!</definedName>
    <definedName name="C_6278" localSheetId="7">#REF!</definedName>
    <definedName name="C_6278">#REF!</definedName>
    <definedName name="C_632" localSheetId="7">#REF!</definedName>
    <definedName name="C_632">#REF!</definedName>
    <definedName name="C_6412" localSheetId="7">#REF!</definedName>
    <definedName name="C_6412">#REF!</definedName>
    <definedName name="C_6417" localSheetId="7">#REF!</definedName>
    <definedName name="C_6417">#REF!</definedName>
    <definedName name="C_6421" localSheetId="7">#REF!</definedName>
    <definedName name="C_6421">#REF!</definedName>
    <definedName name="C_6422" localSheetId="7">#REF!</definedName>
    <definedName name="C_6422">#REF!</definedName>
    <definedName name="C_6423" localSheetId="7">#REF!</definedName>
    <definedName name="C_6423">#REF!</definedName>
    <definedName name="C_6424" localSheetId="7">#REF!</definedName>
    <definedName name="C_6424">#REF!</definedName>
    <definedName name="C_6425" localSheetId="7">#REF!</definedName>
    <definedName name="C_6425">#REF!</definedName>
    <definedName name="C_6427" localSheetId="7">#REF!</definedName>
    <definedName name="C_6427">#REF!</definedName>
    <definedName name="C_6428" localSheetId="7">#REF!</definedName>
    <definedName name="C_6428">#REF!</definedName>
    <definedName name="C_711" localSheetId="7">#REF!</definedName>
    <definedName name="C_711">#REF!</definedName>
    <definedName name="C_721" localSheetId="7">#REF!</definedName>
    <definedName name="C_721">#REF!</definedName>
    <definedName name="C_811" localSheetId="7">#REF!</definedName>
    <definedName name="C_811">#REF!</definedName>
    <definedName name="C_821" localSheetId="7">#REF!</definedName>
    <definedName name="C_821">#REF!</definedName>
    <definedName name="C_911" localSheetId="7">#REF!</definedName>
    <definedName name="C_911">#REF!</definedName>
    <definedName name="C_GTGTKT" localSheetId="7">#REF!</definedName>
    <definedName name="C_GTGTKT">#REF!</definedName>
    <definedName name="C_NPT" localSheetId="7">#REF!</definedName>
    <definedName name="C_NPT">#REF!</definedName>
    <definedName name="C_P" localSheetId="7">#REF!</definedName>
    <definedName name="C_P">#REF!</definedName>
    <definedName name="C_TG" localSheetId="7">#REF!</definedName>
    <definedName name="C_TG">#REF!</definedName>
    <definedName name="C_TM" localSheetId="7">#REF!</definedName>
    <definedName name="C_TM">#REF!</definedName>
    <definedName name="C_TSCD" localSheetId="7">#REF!</definedName>
    <definedName name="C_TSCD">#REF!</definedName>
    <definedName name="C_TSLD" localSheetId="7">#REF!</definedName>
    <definedName name="C_TSLD">#REF!</definedName>
    <definedName name="C_V" localSheetId="7">#REF!</definedName>
    <definedName name="C_V">#REF!</definedName>
    <definedName name="CB" localSheetId="2">'[5]TEN_DV'!#REF!</definedName>
    <definedName name="CB" localSheetId="6">'[5]TEN_DV'!#REF!</definedName>
    <definedName name="CB">'[2]TEN_DV'!#REF!</definedName>
    <definedName name="CBON" localSheetId="2">'[5]TEN_DV'!#REF!</definedName>
    <definedName name="CBON" localSheetId="6">'[5]TEN_DV'!#REF!</definedName>
    <definedName name="CBON">'[2]TEN_DV'!#REF!</definedName>
    <definedName name="cc" localSheetId="2">'[5]TEN_DV'!#REF!</definedName>
    <definedName name="cc" localSheetId="6">'[5]TEN_DV'!#REF!</definedName>
    <definedName name="cc">'[2]TEN_DV'!#REF!</definedName>
    <definedName name="chithanh" localSheetId="2">'[5]TEN_DV'!#REF!</definedName>
    <definedName name="chithanh" localSheetId="6">'[5]TEN_DV'!#REF!</definedName>
    <definedName name="chithanh">'[2]TEN_DV'!#REF!</definedName>
    <definedName name="ff">#REF!</definedName>
    <definedName name="ffligliehgifhgihg">#REF!</definedName>
    <definedName name="grand_total" localSheetId="2">'[6]breakdown'!#REF!</definedName>
    <definedName name="grand_total" localSheetId="6">'[6]breakdown'!#REF!</definedName>
    <definedName name="grand_total">'[3]breakdown'!#REF!</definedName>
    <definedName name="HT" localSheetId="2">'[5]TEN_DV'!#REF!</definedName>
    <definedName name="HT" localSheetId="6">'[5]TEN_DV'!#REF!</definedName>
    <definedName name="HT">'[2]TEN_DV'!#REF!</definedName>
    <definedName name="hthuy" localSheetId="2">'[5]TEN_DV'!#REF!</definedName>
    <definedName name="hthuy" localSheetId="6">'[5]TEN_DV'!#REF!</definedName>
    <definedName name="hthuy">'[2]TEN_DV'!#REF!</definedName>
    <definedName name="KA" localSheetId="2">'[5]TEN_DV'!#REF!</definedName>
    <definedName name="KA" localSheetId="6">'[5]TEN_DV'!#REF!</definedName>
    <definedName name="KA">'[2]TEN_DV'!#REF!</definedName>
    <definedName name="kha" localSheetId="2">'[5]TEN_DV'!#REF!</definedName>
    <definedName name="kha" localSheetId="6">'[5]TEN_DV'!#REF!</definedName>
    <definedName name="kha">'[2]TEN_DV'!#REF!</definedName>
    <definedName name="kienthieu" localSheetId="2">'[5]TEN_DV'!#REF!</definedName>
    <definedName name="kienthieu" localSheetId="6">'[5]TEN_DV'!#REF!</definedName>
    <definedName name="kienthieu">'[2]TEN_DV'!#REF!</definedName>
    <definedName name="ktct1111A" localSheetId="2">'[7]Tien98'!#REF!</definedName>
    <definedName name="ktct1111A" localSheetId="6">'[7]Tien98'!#REF!</definedName>
    <definedName name="ktct1111A">'[4]Tien98'!#REF!</definedName>
    <definedName name="ktct1111D" localSheetId="2">'[7]Tien98'!#REF!</definedName>
    <definedName name="ktct1111D" localSheetId="6">'[7]Tien98'!#REF!</definedName>
    <definedName name="ktct1111D">'[4]Tien98'!#REF!</definedName>
    <definedName name="lamson" localSheetId="2">'[5]TEN_DV'!#REF!</definedName>
    <definedName name="lamson" localSheetId="6">'[5]TEN_DV'!#REF!</definedName>
    <definedName name="lamson">'[2]TEN_DV'!#REF!</definedName>
    <definedName name="MP" localSheetId="2">'[5]TEN_DV'!#REF!</definedName>
    <definedName name="MP" localSheetId="6">'[5]TEN_DV'!#REF!</definedName>
    <definedName name="MP">'[2]TEN_DV'!#REF!</definedName>
    <definedName name="N_1111" localSheetId="7">#REF!</definedName>
    <definedName name="N_1111">#REF!</definedName>
    <definedName name="N_1112" localSheetId="7">#REF!</definedName>
    <definedName name="N_1112">#REF!</definedName>
    <definedName name="N_1121" localSheetId="7">#REF!</definedName>
    <definedName name="N_1121">#REF!</definedName>
    <definedName name="N_1122" localSheetId="7">#REF!</definedName>
    <definedName name="N_1122">#REF!</definedName>
    <definedName name="N_1131" localSheetId="7">#REF!</definedName>
    <definedName name="N_1131">#REF!</definedName>
    <definedName name="N_1132" localSheetId="7">#REF!</definedName>
    <definedName name="N_1132">#REF!</definedName>
    <definedName name="N_131" localSheetId="7">#REF!</definedName>
    <definedName name="N_131">#REF!</definedName>
    <definedName name="N_1331" localSheetId="7">#REF!</definedName>
    <definedName name="N_1331">#REF!</definedName>
    <definedName name="N_1332" localSheetId="7">#REF!</definedName>
    <definedName name="N_1332">#REF!</definedName>
    <definedName name="N_1338" localSheetId="7">#REF!</definedName>
    <definedName name="N_1338">#REF!</definedName>
    <definedName name="N_1388" localSheetId="7">#REF!</definedName>
    <definedName name="N_1388">#REF!</definedName>
    <definedName name="N_139" localSheetId="7">#REF!</definedName>
    <definedName name="N_139">#REF!</definedName>
    <definedName name="N_141" localSheetId="7">#REF!</definedName>
    <definedName name="N_141">#REF!</definedName>
    <definedName name="N_1421" localSheetId="7">#REF!</definedName>
    <definedName name="N_1421">#REF!</definedName>
    <definedName name="N_1422" localSheetId="7">#REF!</definedName>
    <definedName name="N_1422">#REF!</definedName>
    <definedName name="N_144" localSheetId="7">#REF!</definedName>
    <definedName name="N_144">#REF!</definedName>
    <definedName name="N_152" localSheetId="7">#REF!</definedName>
    <definedName name="N_152">#REF!</definedName>
    <definedName name="N_1531" localSheetId="7">#REF!</definedName>
    <definedName name="N_1531">#REF!</definedName>
    <definedName name="N_1532" localSheetId="7">#REF!</definedName>
    <definedName name="N_1532">#REF!</definedName>
    <definedName name="N_154" localSheetId="7">#REF!</definedName>
    <definedName name="N_154">#REF!</definedName>
    <definedName name="N_155" localSheetId="7">#REF!</definedName>
    <definedName name="N_155">#REF!</definedName>
    <definedName name="N_156" localSheetId="7">#REF!</definedName>
    <definedName name="N_156">#REF!</definedName>
    <definedName name="N_2111" localSheetId="7">#REF!</definedName>
    <definedName name="N_2111">#REF!</definedName>
    <definedName name="N_2112" localSheetId="7">#REF!</definedName>
    <definedName name="N_2112">#REF!</definedName>
    <definedName name="N_2113" localSheetId="7">#REF!</definedName>
    <definedName name="N_2113">#REF!</definedName>
    <definedName name="N_2114" localSheetId="7">#REF!</definedName>
    <definedName name="N_2114">#REF!</definedName>
    <definedName name="N_2115" localSheetId="7">#REF!</definedName>
    <definedName name="N_2115">#REF!</definedName>
    <definedName name="N_2118" localSheetId="7">#REF!</definedName>
    <definedName name="N_2118">#REF!</definedName>
    <definedName name="N_2131" localSheetId="7">#REF!</definedName>
    <definedName name="N_2131">#REF!</definedName>
    <definedName name="N_2132" localSheetId="7">#REF!</definedName>
    <definedName name="N_2132">#REF!</definedName>
    <definedName name="N_2134" localSheetId="7">#REF!</definedName>
    <definedName name="N_2134">#REF!</definedName>
    <definedName name="N_2138" localSheetId="7">#REF!</definedName>
    <definedName name="N_2138">#REF!</definedName>
    <definedName name="N_2141" localSheetId="7">#REF!</definedName>
    <definedName name="N_2141">#REF!</definedName>
    <definedName name="N_2142" localSheetId="7">#REF!</definedName>
    <definedName name="N_2142">#REF!</definedName>
    <definedName name="N_2143" localSheetId="7">#REF!</definedName>
    <definedName name="N_2143">#REF!</definedName>
    <definedName name="N_2411" localSheetId="7">#REF!</definedName>
    <definedName name="N_2411">#REF!</definedName>
    <definedName name="N_2412" localSheetId="7">#REF!</definedName>
    <definedName name="N_2412">#REF!</definedName>
    <definedName name="N_2413" localSheetId="7">#REF!</definedName>
    <definedName name="N_2413">#REF!</definedName>
    <definedName name="N_244" localSheetId="7">#REF!</definedName>
    <definedName name="N_244">#REF!</definedName>
    <definedName name="N_311" localSheetId="7">#REF!</definedName>
    <definedName name="N_311">#REF!</definedName>
    <definedName name="N_315" localSheetId="7">#REF!</definedName>
    <definedName name="N_315">#REF!</definedName>
    <definedName name="N_331" localSheetId="7">#REF!</definedName>
    <definedName name="N_331">#REF!</definedName>
    <definedName name="N_33311" localSheetId="7">#REF!</definedName>
    <definedName name="N_33311">#REF!</definedName>
    <definedName name="N_33312" localSheetId="7">#REF!</definedName>
    <definedName name="N_33312">#REF!</definedName>
    <definedName name="N_3333" localSheetId="7">#REF!</definedName>
    <definedName name="N_3333">#REF!</definedName>
    <definedName name="N_3334" localSheetId="7">#REF!</definedName>
    <definedName name="N_3334">#REF!</definedName>
    <definedName name="N_3337" localSheetId="7">#REF!</definedName>
    <definedName name="N_3337">#REF!</definedName>
    <definedName name="N_3338" localSheetId="7">#REF!</definedName>
    <definedName name="N_3338">#REF!</definedName>
    <definedName name="N_3339" localSheetId="7">#REF!</definedName>
    <definedName name="N_3339">#REF!</definedName>
    <definedName name="N_334" localSheetId="7">#REF!</definedName>
    <definedName name="N_334">#REF!</definedName>
    <definedName name="N_3383" localSheetId="7">#REF!</definedName>
    <definedName name="N_3383">#REF!</definedName>
    <definedName name="N_3384" localSheetId="7">#REF!</definedName>
    <definedName name="N_3384">#REF!</definedName>
    <definedName name="N_3388" localSheetId="7">#REF!</definedName>
    <definedName name="N_3388">#REF!</definedName>
    <definedName name="N_411" localSheetId="7">#REF!</definedName>
    <definedName name="N_411">#REF!</definedName>
    <definedName name="N_412" localSheetId="7">#REF!</definedName>
    <definedName name="N_412">#REF!</definedName>
    <definedName name="N_413" localSheetId="7">#REF!</definedName>
    <definedName name="N_413">#REF!</definedName>
    <definedName name="N_415" localSheetId="7">#REF!</definedName>
    <definedName name="N_415">#REF!</definedName>
    <definedName name="N_416" localSheetId="7">#REF!</definedName>
    <definedName name="N_416">#REF!</definedName>
    <definedName name="N_4211" localSheetId="7">#REF!</definedName>
    <definedName name="N_4211">#REF!</definedName>
    <definedName name="N_4212" localSheetId="7">#REF!</definedName>
    <definedName name="N_4212">#REF!</definedName>
    <definedName name="N_441" localSheetId="7">#REF!</definedName>
    <definedName name="N_441">#REF!</definedName>
    <definedName name="N_5111" localSheetId="7">#REF!</definedName>
    <definedName name="N_5111">#REF!</definedName>
    <definedName name="N_621" localSheetId="7">#REF!</definedName>
    <definedName name="N_621">#REF!</definedName>
    <definedName name="N_622" localSheetId="7">#REF!</definedName>
    <definedName name="N_622">#REF!</definedName>
    <definedName name="N_6271" localSheetId="7">#REF!</definedName>
    <definedName name="N_6271">#REF!</definedName>
    <definedName name="N_6272" localSheetId="7">#REF!</definedName>
    <definedName name="N_6272">#REF!</definedName>
    <definedName name="N_6273" localSheetId="7">#REF!</definedName>
    <definedName name="N_6273">#REF!</definedName>
    <definedName name="N_6274" localSheetId="7">#REF!</definedName>
    <definedName name="N_6274">#REF!</definedName>
    <definedName name="N_6277" localSheetId="7">#REF!</definedName>
    <definedName name="N_6277">#REF!</definedName>
    <definedName name="N_6278" localSheetId="7">#REF!</definedName>
    <definedName name="N_6278">#REF!</definedName>
    <definedName name="N_632" localSheetId="7">#REF!</definedName>
    <definedName name="N_632">#REF!</definedName>
    <definedName name="N_6412" localSheetId="7">#REF!</definedName>
    <definedName name="N_6412">#REF!</definedName>
    <definedName name="N_6417" localSheetId="7">#REF!</definedName>
    <definedName name="N_6417">#REF!</definedName>
    <definedName name="N_6421" localSheetId="7">#REF!</definedName>
    <definedName name="N_6421">#REF!</definedName>
    <definedName name="N_6422" localSheetId="7">#REF!</definedName>
    <definedName name="N_6422">#REF!</definedName>
    <definedName name="N_6423" localSheetId="7">#REF!</definedName>
    <definedName name="N_6423">#REF!</definedName>
    <definedName name="N_6424" localSheetId="7">#REF!</definedName>
    <definedName name="N_6424">#REF!</definedName>
    <definedName name="N_6425" localSheetId="7">#REF!</definedName>
    <definedName name="N_6425">#REF!</definedName>
    <definedName name="N_6427" localSheetId="7">#REF!</definedName>
    <definedName name="N_6427">#REF!</definedName>
    <definedName name="N_6428" localSheetId="7">#REF!</definedName>
    <definedName name="N_6428">#REF!</definedName>
    <definedName name="N_711" localSheetId="7">#REF!</definedName>
    <definedName name="N_711">#REF!</definedName>
    <definedName name="N_721" localSheetId="7">#REF!</definedName>
    <definedName name="N_721">#REF!</definedName>
    <definedName name="N_811" localSheetId="7">#REF!</definedName>
    <definedName name="N_811">#REF!</definedName>
    <definedName name="N_821" localSheetId="7">#REF!</definedName>
    <definedName name="N_821">#REF!</definedName>
    <definedName name="N_911" localSheetId="7">#REF!</definedName>
    <definedName name="N_911">#REF!</definedName>
    <definedName name="N_GTGTKT" localSheetId="7">#REF!</definedName>
    <definedName name="N_GTGTKT">#REF!</definedName>
    <definedName name="N_NPT" localSheetId="7">#REF!</definedName>
    <definedName name="N_NPT">#REF!</definedName>
    <definedName name="N_P" localSheetId="7">#REF!</definedName>
    <definedName name="N_P">#REF!</definedName>
    <definedName name="N_TG" localSheetId="7">#REF!</definedName>
    <definedName name="N_TG">#REF!</definedName>
    <definedName name="N_TM" localSheetId="7">#REF!</definedName>
    <definedName name="N_TM">#REF!</definedName>
    <definedName name="N_TSCD" localSheetId="7">#REF!</definedName>
    <definedName name="N_TSCD">#REF!</definedName>
    <definedName name="N_TSLD" localSheetId="7">#REF!</definedName>
    <definedName name="N_TSLD">#REF!</definedName>
    <definedName name="N_V" localSheetId="7">#REF!</definedName>
    <definedName name="N_V">#REF!</definedName>
    <definedName name="_xlnm.Print_Titles" localSheetId="7">'AE'!$8:$9</definedName>
    <definedName name="_xlnm.Print_Titles" localSheetId="2">'tien te'!$1:$7</definedName>
    <definedName name="_xlnm.Print_Titles" localSheetId="6">'tien te (2)'!$1:$7</definedName>
    <definedName name="_xlnm.Print_Titles" localSheetId="4">'TM'!$1:$6</definedName>
    <definedName name="_xlnm.Print_Titles">$5:$6</definedName>
    <definedName name="SD" localSheetId="2">'[5]TEN_DV'!#REF!</definedName>
    <definedName name="SD" localSheetId="6">'[5]TEN_DV'!#REF!</definedName>
    <definedName name="SD">'[2]TEN_DV'!#REF!</definedName>
    <definedName name="sdo" localSheetId="2">'[5]TEN_DV'!#REF!</definedName>
    <definedName name="sdo" localSheetId="6">'[5]TEN_DV'!#REF!</definedName>
    <definedName name="sdo">'[2]TEN_DV'!#REF!</definedName>
    <definedName name="skc" localSheetId="2">'[5]TEN_DV'!#REF!</definedName>
    <definedName name="skc" localSheetId="6">'[5]TEN_DV'!#REF!</definedName>
    <definedName name="skc">'[2]TEN_DV'!#REF!</definedName>
    <definedName name="SS" localSheetId="2">'[5]TEN_DV'!#REF!</definedName>
    <definedName name="SS" localSheetId="6">'[5]TEN_DV'!#REF!</definedName>
    <definedName name="SS">'[2]TEN_DV'!#REF!</definedName>
    <definedName name="thanhnha" localSheetId="2">'[5]TEN_DV'!#REF!</definedName>
    <definedName name="thanhnha" localSheetId="6">'[5]TEN_DV'!#REF!</definedName>
    <definedName name="thanhnha">'[2]TEN_DV'!#REF!</definedName>
    <definedName name="tienmat1111A" localSheetId="2">'[7]Tien98'!#REF!</definedName>
    <definedName name="tienmat1111A" localSheetId="6">'[7]Tien98'!#REF!</definedName>
    <definedName name="tienmat1111A">'[4]Tien98'!#REF!</definedName>
    <definedName name="tienmat1111D" localSheetId="2">'[7]Tien98'!#REF!</definedName>
    <definedName name="tienmat1111D" localSheetId="6">'[7]Tien98'!#REF!</definedName>
    <definedName name="tienmat1111D">'[4]Tien98'!#REF!</definedName>
    <definedName name="tk1111" localSheetId="7">#REF!</definedName>
    <definedName name="tk1111">#REF!</definedName>
    <definedName name="tk1112" localSheetId="7">#REF!</definedName>
    <definedName name="tk1112">#REF!</definedName>
    <definedName name="tk131" localSheetId="7">#REF!</definedName>
    <definedName name="tk131">#REF!</definedName>
    <definedName name="tk1331" localSheetId="7">#REF!</definedName>
    <definedName name="tk1331">#REF!</definedName>
    <definedName name="tk139" localSheetId="7">#REF!</definedName>
    <definedName name="tk139">#REF!</definedName>
    <definedName name="tk141" localSheetId="7">#REF!</definedName>
    <definedName name="tk141">#REF!</definedName>
    <definedName name="tk142" localSheetId="7">#REF!</definedName>
    <definedName name="tk142">#REF!</definedName>
    <definedName name="tk144" localSheetId="7">#REF!</definedName>
    <definedName name="tk144">#REF!</definedName>
    <definedName name="tk152" localSheetId="7">#REF!</definedName>
    <definedName name="tk152">#REF!</definedName>
    <definedName name="tk153" localSheetId="7">#REF!</definedName>
    <definedName name="tk153">#REF!</definedName>
    <definedName name="tk154" localSheetId="7">#REF!</definedName>
    <definedName name="tk154">#REF!</definedName>
    <definedName name="tk155" localSheetId="7">#REF!</definedName>
    <definedName name="tk155">#REF!</definedName>
    <definedName name="tk159" localSheetId="7">#REF!</definedName>
    <definedName name="tk159">#REF!</definedName>
    <definedName name="tk214" localSheetId="7">#REF!</definedName>
    <definedName name="tk214">#REF!</definedName>
    <definedName name="TK331APC" localSheetId="7">#REF!</definedName>
    <definedName name="TK331APC">#REF!</definedName>
    <definedName name="TK331CB" localSheetId="7">#REF!</definedName>
    <definedName name="TK331CB">#REF!</definedName>
    <definedName name="TK331GT" localSheetId="7">#REF!</definedName>
    <definedName name="TK331GT">#REF!</definedName>
    <definedName name="TK331K" localSheetId="7">#REF!</definedName>
    <definedName name="TK331K">#REF!</definedName>
    <definedName name="TK331KH" localSheetId="7">#REF!</definedName>
    <definedName name="TK331KH">#REF!</definedName>
    <definedName name="TK331MT" localSheetId="7">#REF!</definedName>
    <definedName name="TK331MT">#REF!</definedName>
    <definedName name="TK331NT" localSheetId="7">#REF!</definedName>
    <definedName name="TK331NT">#REF!</definedName>
    <definedName name="TK331PA" localSheetId="7">#REF!</definedName>
    <definedName name="TK331PA">#REF!</definedName>
    <definedName name="TK331PACIFIC" localSheetId="7">#REF!</definedName>
    <definedName name="TK331PACIFIC">#REF!</definedName>
    <definedName name="tk331PD" localSheetId="7">#REF!</definedName>
    <definedName name="tk331PD">#REF!</definedName>
    <definedName name="TK331THN" localSheetId="7">#REF!</definedName>
    <definedName name="TK331THN">#REF!</definedName>
    <definedName name="tk331TKN" localSheetId="7">#REF!</definedName>
    <definedName name="tk331TKN">#REF!</definedName>
    <definedName name="TK331VT" localSheetId="7">#REF!</definedName>
    <definedName name="TK331VT">#REF!</definedName>
    <definedName name="tk3331" localSheetId="7">#REF!</definedName>
    <definedName name="tk3331">#REF!</definedName>
    <definedName name="tk3338TTNCN" localSheetId="7">#REF!</definedName>
    <definedName name="tk3338TTNCN">#REF!</definedName>
    <definedName name="tk334" localSheetId="7">#REF!</definedName>
    <definedName name="tk334">#REF!</definedName>
    <definedName name="tk335" localSheetId="7">#REF!</definedName>
    <definedName name="tk335">#REF!</definedName>
    <definedName name="tk336" localSheetId="7">#REF!</definedName>
    <definedName name="tk336">#REF!</definedName>
    <definedName name="tk3384" localSheetId="7">#REF!</definedName>
    <definedName name="tk3384">#REF!</definedName>
    <definedName name="tk3388K" localSheetId="7">#REF!</definedName>
    <definedName name="tk3388K">#REF!</definedName>
    <definedName name="tk341" localSheetId="7">#REF!</definedName>
    <definedName name="tk341">#REF!</definedName>
    <definedName name="tk344" localSheetId="7">#REF!</definedName>
    <definedName name="tk344">#REF!</definedName>
    <definedName name="tk413" localSheetId="7">#REF!</definedName>
    <definedName name="tk413">#REF!</definedName>
    <definedName name="tk4211" localSheetId="7">#REF!</definedName>
    <definedName name="tk4211">#REF!</definedName>
    <definedName name="tk4212" localSheetId="7">#REF!</definedName>
    <definedName name="tk4212">#REF!</definedName>
    <definedName name="tk511" localSheetId="7">#REF!</definedName>
    <definedName name="tk511">#REF!</definedName>
    <definedName name="tk621" localSheetId="7">#REF!</definedName>
    <definedName name="tk621">#REF!</definedName>
    <definedName name="tk627" localSheetId="7">#REF!</definedName>
    <definedName name="tk627">#REF!</definedName>
    <definedName name="tk632" localSheetId="7">#REF!</definedName>
    <definedName name="tk632">#REF!</definedName>
    <definedName name="tk641" localSheetId="7">#REF!</definedName>
    <definedName name="tk641">#REF!</definedName>
    <definedName name="tk642" localSheetId="7">#REF!</definedName>
    <definedName name="tk642">#REF!</definedName>
    <definedName name="tk711" localSheetId="7">#REF!</definedName>
    <definedName name="tk711">#REF!</definedName>
    <definedName name="tk721" localSheetId="7">#REF!</definedName>
    <definedName name="tk721">#REF!</definedName>
    <definedName name="tk811" localSheetId="7">#REF!</definedName>
    <definedName name="tk811">#REF!</definedName>
    <definedName name="tk821" localSheetId="7">#REF!</definedName>
    <definedName name="tk821">#REF!</definedName>
    <definedName name="tk911" localSheetId="7">#REF!</definedName>
    <definedName name="tk911">#REF!</definedName>
    <definedName name="TN" localSheetId="2">'[5]TEN_DV'!#REF!</definedName>
    <definedName name="TN" localSheetId="6">'[5]TEN_DV'!#REF!</definedName>
    <definedName name="TN">'[2]TEN_DV'!#REF!</definedName>
    <definedName name="tngan" localSheetId="2">'[5]TEN_DV'!#REF!</definedName>
    <definedName name="tngan" localSheetId="6">'[5]TEN_DV'!#REF!</definedName>
    <definedName name="tngan">'[2]TEN_DV'!#REF!</definedName>
    <definedName name="tnha" localSheetId="2">'[5]TEN_DV'!#REF!</definedName>
    <definedName name="tnha" localSheetId="6">'[5]TEN_DV'!#REF!</definedName>
    <definedName name="tnha">'[2]TEN_DV'!#REF!</definedName>
    <definedName name="tp" localSheetId="2">'[5]TEN_DV'!#REF!</definedName>
    <definedName name="tp" localSheetId="6">'[5]TEN_DV'!#REF!</definedName>
    <definedName name="tp">'[2]TEN_DV'!#REF!</definedName>
    <definedName name="tungoc" localSheetId="2">'[5]TEN_DV'!#REF!</definedName>
    <definedName name="tungoc" localSheetId="6">'[5]TEN_DV'!#REF!</definedName>
    <definedName name="tungoc">'[2]TEN_DV'!#REF!</definedName>
    <definedName name="Vinhhung" localSheetId="2">'[5]TEN_DV'!#REF!</definedName>
    <definedName name="Vinhhung" localSheetId="6">'[5]TEN_DV'!#REF!</definedName>
    <definedName name="Vinhhung">'[2]TEN_DV'!#REF!</definedName>
    <definedName name="VT" localSheetId="2">'[5]TEN_DV'!#REF!</definedName>
    <definedName name="VT" localSheetId="6">'[5]TEN_DV'!#REF!</definedName>
    <definedName name="VT">'[2]TEN_DV'!#REF!</definedName>
    <definedName name="VTRU" localSheetId="2">'[5]TEN_DV'!#REF!</definedName>
    <definedName name="VTRU" localSheetId="6">'[5]TEN_DV'!#REF!</definedName>
    <definedName name="VTRU">'[2]TEN_DV'!#REF!</definedName>
  </definedNames>
  <calcPr fullCalcOnLoad="1"/>
</workbook>
</file>

<file path=xl/comments1.xml><?xml version="1.0" encoding="utf-8"?>
<comments xmlns="http://schemas.openxmlformats.org/spreadsheetml/2006/main">
  <authors>
    <author>anh thang</author>
  </authors>
  <commentList>
    <comment ref="I119" authorId="0">
      <text>
        <r>
          <rPr>
            <b/>
            <sz val="8"/>
            <rFont val="Tahoma"/>
            <family val="0"/>
          </rPr>
          <t>anh thang:</t>
        </r>
        <r>
          <rPr>
            <sz val="8"/>
            <rFont val="Tahoma"/>
            <family val="0"/>
          </rPr>
          <t xml:space="preserve">
xem lai qd 15 xem de o cp phai tra hay de o day?</t>
        </r>
      </text>
    </comment>
  </commentList>
</comments>
</file>

<file path=xl/comments4.xml><?xml version="1.0" encoding="utf-8"?>
<comments xmlns="http://schemas.openxmlformats.org/spreadsheetml/2006/main">
  <authors>
    <author>anh thang</author>
  </authors>
  <commentList>
    <comment ref="I119" authorId="0">
      <text>
        <r>
          <rPr>
            <b/>
            <sz val="8"/>
            <rFont val="Tahoma"/>
            <family val="0"/>
          </rPr>
          <t>anh thang:</t>
        </r>
        <r>
          <rPr>
            <sz val="8"/>
            <rFont val="Tahoma"/>
            <family val="0"/>
          </rPr>
          <t xml:space="preserve">
xem lai qd 15 xem de o cp phai tra hay de o day?</t>
        </r>
      </text>
    </comment>
  </commentList>
</comments>
</file>

<file path=xl/comments5.xml><?xml version="1.0" encoding="utf-8"?>
<comments xmlns="http://schemas.openxmlformats.org/spreadsheetml/2006/main">
  <authors>
    <author>Administrator</author>
  </authors>
  <commentList>
    <comment ref="B37" authorId="0">
      <text>
        <r>
          <rPr>
            <b/>
            <sz val="8"/>
            <rFont val="Tahoma"/>
            <family val="0"/>
          </rPr>
          <t>Administrator:</t>
        </r>
        <r>
          <rPr>
            <sz val="8"/>
            <rFont val="Tahoma"/>
            <family val="0"/>
          </rPr>
          <t xml:space="preserve">
</t>
        </r>
      </text>
    </comment>
    <comment ref="B57" authorId="0">
      <text>
        <r>
          <rPr>
            <b/>
            <sz val="8"/>
            <rFont val="Tahoma"/>
            <family val="0"/>
          </rPr>
          <t>Administrator:</t>
        </r>
        <r>
          <rPr>
            <sz val="8"/>
            <rFont val="Tahoma"/>
            <family val="0"/>
          </rPr>
          <t xml:space="preserve">
</t>
        </r>
      </text>
    </comment>
  </commentList>
</comments>
</file>

<file path=xl/sharedStrings.xml><?xml version="1.0" encoding="utf-8"?>
<sst xmlns="http://schemas.openxmlformats.org/spreadsheetml/2006/main" count="1587" uniqueCount="785">
  <si>
    <t>âTæ leä chieát khaáu ñeå tính giaù trò hieän taïi cuûa khoaûn thanh toaùn tieàn thueâ toái thieåu cho vieäc thueâ taøi saûn laø laõi suaát ngaàm ñònh trong hôïp ñoàng thueâ taøi saûn hoaëc laõi suaát ghi trong hôïp ñoàng. Trong tröôøng hôïp khoâng theå xaùc ñònh laõi suaát ngaàm ñònh trong hôïp ñoàng thueâ thì söû duïng laõi suaát tieàn vay taïi thôøi ñieåm khôûi ñaàu vieäc thueâ taøi saûn.</t>
  </si>
  <si>
    <t>05  - 10</t>
  </si>
  <si>
    <t>05  - 07</t>
  </si>
  <si>
    <t>Trong naêm 2007, Coâng ty ñaõ baùn taøu Asean sea 02; ñaàu tö môùi vaø khai thaùc theâm 2 taøu vaän taûi quoác teá laø taøu Vinashin Iron troïng taûi 22.828 taán vaø taøu Moonstone troïng taûi 63.321 DWT laøm cho lôïi nhuaän Coâng ty taêng leân ñaùng keå so vôùi cuøng kyø naêm 2006.</t>
  </si>
  <si>
    <t xml:space="preserve">Phöông phaùp voán chuû sôû höõu laø phöông phaùp keá toaùn maø khoaûn ñaàu tö ñöôïc ghi nhaän ban ñaàu theo giaù goác, sau ñoù ñieàu chænh theo nhöõng thay ñoåi cuûa phaàn sôû höõu cuûa nhaø ñaàu tö trong taøi saûn thuaàn cuûa beân nhaän ñaàu tö. Baùo caùo keát quaû hoaït ñoäng kinh doanh phaûn aùnh lôïi ích cuûa beân goùp voán töøø keát quaû hoaït ñoäng kinh doanh cuûa beân nhaän ñaàu tö. </t>
  </si>
  <si>
    <t>(*) Theo  quyeát ñònh soá 196/UBCK-GCN ngaøy 16 thaùng 10 naêm 2007 cuûa UÛy ban Chöùng khoaùn Nhaø nöôùc vaø nghò quyeát ñaïi hoäi ñoàng coå ñoâng ngaøy 05 thaùng 12 naêm 2007, coâng ty ñaõ tieán haønh ñaêng kyù phaùt haønh vaø chaøo baùn theâm 9.800.000 coå phieáu, trong ñoù:</t>
  </si>
  <si>
    <t>Nôï TK411</t>
  </si>
  <si>
    <t>Coù TK 211</t>
  </si>
  <si>
    <t>51</t>
  </si>
  <si>
    <t>52</t>
  </si>
  <si>
    <t>60</t>
  </si>
  <si>
    <t>70</t>
  </si>
  <si>
    <t>V.14</t>
  </si>
  <si>
    <t>14.1</t>
  </si>
  <si>
    <t>14.2</t>
  </si>
  <si>
    <t>14.3</t>
  </si>
  <si>
    <t>CÔNG TY CỔ PHẦN ĐẦU TƯ VÀ VẬN TẢI DẦU KHÍ VINASHIN VÀ CÔNG TY CON</t>
  </si>
  <si>
    <t>BẢNG CÂN ĐỐI KẾ TOÁN HỢP NHẤT</t>
  </si>
  <si>
    <t>Ngày 31 tháng 12 năm 2007</t>
  </si>
  <si>
    <t>Đơn vị tính: VNĐ</t>
  </si>
  <si>
    <t>TÀI SẢN</t>
  </si>
  <si>
    <t>MÃ SỐ</t>
  </si>
  <si>
    <t>Thuyết minh</t>
  </si>
  <si>
    <t>Vphòng</t>
  </si>
  <si>
    <t>Phương Bắc</t>
  </si>
  <si>
    <t>TÀI SẢN NGẮN HẠN</t>
  </si>
  <si>
    <t>Tiền và các khoản tương đương tiền</t>
  </si>
  <si>
    <t xml:space="preserve">Tiền </t>
  </si>
  <si>
    <t>Các khoản tương đương tiền</t>
  </si>
  <si>
    <t>Các khoản đầu tư tài chính ngắn hạn</t>
  </si>
  <si>
    <t xml:space="preserve">Đầu tư ngắn hạn </t>
  </si>
  <si>
    <t>Dự phòng giảm giá chứng khoán, đầu tư ngắn hạn</t>
  </si>
  <si>
    <t>Các khoản phải thu ngắn hạn</t>
  </si>
  <si>
    <t>Phải thu khách hàng</t>
  </si>
  <si>
    <t>Trả trước cho người bán</t>
  </si>
  <si>
    <t>Phải thu nội bộ</t>
  </si>
  <si>
    <t>Phải thu theo tiến độ kế hoạch hợp đồng xây dựng</t>
  </si>
  <si>
    <t>Các khoản phải thu khác</t>
  </si>
  <si>
    <t>Dự phòng các khoản phải thu khó đòi</t>
  </si>
  <si>
    <t>Hàng tồn kho</t>
  </si>
  <si>
    <t>Dự phòng giảm giá hàng tồn kho</t>
  </si>
  <si>
    <t>Tài sản ngắn hạn khác</t>
  </si>
  <si>
    <t>Chi phí trả trước ngắn hạn</t>
  </si>
  <si>
    <t>Thuế giá trị gia tăng được khấu trừ</t>
  </si>
  <si>
    <t>Các khoản thuế phải thu</t>
  </si>
  <si>
    <t>TÀI SẢN DÀI HẠN</t>
  </si>
  <si>
    <t>Các khoản phải thu dài hạn</t>
  </si>
  <si>
    <t>Phải thu dài hạn của khách hàng</t>
  </si>
  <si>
    <t>Phải thu nội bộ dài hạn</t>
  </si>
  <si>
    <t>Phải thu dài hạn khác</t>
  </si>
  <si>
    <t>Dự phòng phải thu dài hạn khó đòi</t>
  </si>
  <si>
    <t>Chi sự nghiệp</t>
  </si>
  <si>
    <t>Chi sự nghiệp năm trước</t>
  </si>
  <si>
    <t>Chi sự nghiệp năm sau</t>
  </si>
  <si>
    <t>Tài sản cố định</t>
  </si>
  <si>
    <t>Tài sản cố định hữu hình</t>
  </si>
  <si>
    <t>- Nguyên giá</t>
  </si>
  <si>
    <t>- Giá trị hao mòn lũy kế</t>
  </si>
  <si>
    <t>Tài sản cố định thuê tài chính</t>
  </si>
  <si>
    <t>Tài sản cố định vô hình</t>
  </si>
  <si>
    <t>Chi phí xây dựng cơ bản dở dang</t>
  </si>
  <si>
    <t>BẢNG CÂN ĐỐI KẾ TOÁN HỢP NHẤT (TIẾP THEO)</t>
  </si>
  <si>
    <t>Bất động sản đầu tư</t>
  </si>
  <si>
    <t>Các khoản đầu tư tài chính dài hạn</t>
  </si>
  <si>
    <t>Đầu tư vào công ty con</t>
  </si>
  <si>
    <t>Đầu tư vào công ty liên kết, liên doanh</t>
  </si>
  <si>
    <t>Đầu tư dài hạn khác</t>
  </si>
  <si>
    <t>Dự phonøg giảm giá đầu tư chứng khoán dài hạn</t>
  </si>
  <si>
    <t>Lợi thế thương mại</t>
  </si>
  <si>
    <t>Tài sản dài hạn khác</t>
  </si>
  <si>
    <t>Chi phí trả trước dài hạn</t>
  </si>
  <si>
    <t>Tài sản thuế thu nhập hoãn lại</t>
  </si>
  <si>
    <t>TỔNG CỘNG TÀI SẢN</t>
  </si>
  <si>
    <t>NGUỒN VỐN</t>
  </si>
  <si>
    <t>NỢ PHẢI TRẢ</t>
  </si>
  <si>
    <t>Nợ phải trả</t>
  </si>
  <si>
    <t>Vay và nợ ngắn hạn</t>
  </si>
  <si>
    <t>Phải trả cho người bán</t>
  </si>
  <si>
    <t>Người mua trả tiền trước</t>
  </si>
  <si>
    <t>Thuế và các khoản phải nộp Nhà nước</t>
  </si>
  <si>
    <t>Phải trả công nhân viên</t>
  </si>
  <si>
    <t>Chi phí phải trả</t>
  </si>
  <si>
    <t>Phải trả cho các đơn vị nội bộ</t>
  </si>
  <si>
    <t>Phải trả theo tiến độ kế hoạch hợp đồng xây dựng</t>
  </si>
  <si>
    <t>Các khoản phải trả, phải nộp khác</t>
  </si>
  <si>
    <t>Dự phòng phải trả ngắn hạn</t>
  </si>
  <si>
    <t>Nợ dài hạn</t>
  </si>
  <si>
    <t>Phải trả dài hạn ngưới bán</t>
  </si>
  <si>
    <t>Phải trả dài hạn nội bộ</t>
  </si>
  <si>
    <t>Phải trả dài hạn khác</t>
  </si>
  <si>
    <t>Vay và nợ dài hạn</t>
  </si>
  <si>
    <t>Thuế thu nhập hoãn lại phải trả</t>
  </si>
  <si>
    <t>Dự phòng trợ cấp mất việc làm</t>
  </si>
  <si>
    <t>Dự phòng phải trả dài hạn</t>
  </si>
  <si>
    <t>NGUỒN VỐN CHỦ SỞ HỮU</t>
  </si>
  <si>
    <t>Vốn chủ sở hữu</t>
  </si>
  <si>
    <t>Vốn đầu tư của chủ sở hữu</t>
  </si>
  <si>
    <t>Thặng dư vốn cổ phần</t>
  </si>
  <si>
    <t>Vốn khác thuộc chủ sở hữu</t>
  </si>
  <si>
    <t>Cổ phiếu ngân quỹ</t>
  </si>
  <si>
    <t>Chênh lệch đánh giá lại tài sản</t>
  </si>
  <si>
    <t>Chênh lệch tỉ giá hối đoái</t>
  </si>
  <si>
    <t>Quỹ đầu tư phát triển</t>
  </si>
  <si>
    <t>Quỹ dự phòng tài chính</t>
  </si>
  <si>
    <t>Quỹ khác thuộc vốn chủ sở hữu</t>
  </si>
  <si>
    <t>Lợi nhuận chưa phân phối</t>
  </si>
  <si>
    <t>Nguồn kinh phí, quỹ khác</t>
  </si>
  <si>
    <t>Quỹ khen thưởng phúc lợi</t>
  </si>
  <si>
    <t>Nguồn kinh phí</t>
  </si>
  <si>
    <t>Nguồn kinh phí đã hình thành TSCĐ</t>
  </si>
  <si>
    <t>TỔNG CỘNG NGUỒN VỐN</t>
  </si>
  <si>
    <t>Ngày 31 tháng 12 năm 2006</t>
  </si>
  <si>
    <t>CÁC CHỈ TIÊU NGOÀI BẢNG CÂN ĐỐI KẾ TOÁN</t>
  </si>
  <si>
    <t>CHỈ TIÊU</t>
  </si>
  <si>
    <t>Tài sản thuê ngoài</t>
  </si>
  <si>
    <t>Vật tư hàng hoá nhận giữ hộ, nhận gia công</t>
  </si>
  <si>
    <t>Hàng hoá nhận bán hộ, nhận ký gửi</t>
  </si>
  <si>
    <t>Nợ khó đòi đã xử lý</t>
  </si>
  <si>
    <t>Ngoại tệ các loại (USD)</t>
  </si>
  <si>
    <t>Dự toán chi hoạt động</t>
  </si>
  <si>
    <t>Nguồn vốn khấu hao cơ bản hiện có</t>
  </si>
  <si>
    <t xml:space="preserve">    Kế toán trưởng</t>
  </si>
  <si>
    <t>TP. Hồ Chí Minh, ngày 22 tháng 1 năm 2008</t>
  </si>
  <si>
    <t>Tổng Giám đốc</t>
  </si>
  <si>
    <t>LÊ NGỌC BÍCH</t>
  </si>
  <si>
    <t>NGUYỄN DUY HÙNG</t>
  </si>
  <si>
    <t>BÁO CÁO KẾT QUẢ HOẠT ĐỘNG KINH DOANH HỢP NHẤT</t>
  </si>
  <si>
    <t>Cho niên độ kết thúc ngày 31 tháng 12 năm 2007</t>
  </si>
  <si>
    <t>Chỉ tiêu</t>
  </si>
  <si>
    <t>Mã số</t>
  </si>
  <si>
    <t>Năm 2007</t>
  </si>
  <si>
    <t>Năm 2006</t>
  </si>
  <si>
    <t>Doanh thu bán hàng, cung cấp dịch vụ</t>
  </si>
  <si>
    <t>Trong đó: doanh thu xuất khẩu</t>
  </si>
  <si>
    <t xml:space="preserve">Các khoản giảm trừ </t>
  </si>
  <si>
    <t>Döï phoøng giaûm giaù haøng toàn kho ñöôïc ghi nhaän khi giaù goác lôùn hôn giaù trò thuaàn coù theå thöïc hieän ñöôïc. Giaù trò thuaàn coù theå thöïc hieän ñöôïc laø giaù baùn öôùc tính cuûa haøng toàn kho tröø chi phí öôùc tính ñeå hoaøn thaønh saûn phaåm vaø chi phí öôùc tính caàn thieát cho vieäc tieâu thuï chuùng.</t>
  </si>
  <si>
    <t>Coâng ty coù nghóa vuï noäp thueá TNDN vôùi thueá suaát 28% treân thu nhaäp chòu thueá, rieâng thueá suaát cuûa hoaït ñoäng vaän taûi laø 20%. Coâng ty ñöôïc mieãn, giaûm thueá TNDN theo nghò ñònh soá 164/2003/NÑ-CP ngaøy 22 thaùng 12 naêm 2003 cuûa Chính phuû veà " Quy ñònh chi tieát thi haønh luaät thueá TNDN".</t>
  </si>
  <si>
    <t>Thueá TNDN hieän haønh laø khoaûn thueá ñöôïc tính döïa treân thu nhaäp chòu thueá trong naêm vôùi thueáâ suaát aùp duïng taïi ngaøy cuoái naêm. Thu nhaäp chòu thueá cheânh leäch so vôùi lôïi nhuaän keá toaùn laø do ñieàu chænh caùc khoaûn cheânh leäch taïm thôøi giöõa thueá vaø keá toaùn cuõng nhö ñieàu chænh caùc khoaûn thu nhaäp vaø chi phí khoâng phaûi chòu thueá hay khoâng ñöôïc khaáu tröø.</t>
  </si>
  <si>
    <t>Thueá thu nhaäp hoaõn laïi laø khoaûn thueá TNDN seõ phaûi noäp hoaëc seõ ñöôïc hoaøn laïi do cheânh leäch taïm thôøi giöõa giaù trò ghi soå cuûa taøi saûn vaø nôï phaûi traû cho muïc ñích Baùo caùo taøi chính vaø caùc giaù trò duøng cho muïc ñích thueá. Thueá thu nhaäp hoaõn laïi phaûi traû ñöôïc ghi nhaän cho taát caû caùc khoaûn cheânh leäch taïm thôøi chòu thueá. Taøi saûn thueá thu nhaäp hoaõn laïi chæ ñöôïc ghi nhaän khi chaéc chaén trong töông lai seõ coù lôïi nhuaän tính thueá ñeå söû duïng nhöõng cheânh leäch taïm thôøi ñöôïc khaáu tröø naøy.</t>
  </si>
  <si>
    <t>Taøi saûn thueá thu nhaäp hoaõn laïi vaø thueá thu nhaäp hoaõn laïi phaûi traû ñöôïc xaùc ñònh theo thueá suaát döï tính ñöôïc aùp duïng cho naêm taøi saûn ñöôïc thu hoài hay nôï phaûi traû ñöôïc thanh toaùn döïa treân caùc möùc thueá suaát coù hieäu löïc taïi ngaøy keát thuùc naêm taøi chính. Thueá thu nhaäp hoaõn laïi ñöôïc ghi nhaän trong baùo caùo keát quaû hoaït ñoäng kinh doanh tröø khi lieân quan ñeán caùc khoaûn muïc ñöôïc ghi thaúng vaøo voán chuû sôû höõu khi ñoù thueá TNDN seõ ñöôïc ghi thaúng vaøo voán chuû sôû höõu.</t>
  </si>
  <si>
    <t>07  - 15</t>
  </si>
  <si>
    <t>(*)  Khoaûn goùp voán cuûa coâng ty Taøi chính coâng nghieäp taøu thuûy ñeå ñaàu tö xaây döïng khu ñoâ thò, thöông maïi vaø dòch vuï taïi Vónh Phuùc theo hôïp ñoàng goùp voán ñaàu tö soá 01/VNS-Shinpetrol-VFC ngaøy 16 thaùng 08 naêm 2004 giöõa coâng ty vôùi coâng ty Taøi chính coâng nghieäp taøu thuûy</t>
  </si>
  <si>
    <t>Thaùng 3 naêm 2006 taøu Asean Sea 01 cuûa Coâng ty ñaõ bò chính quyeàn thaønh phoá Durban, Nam Phi giam giöõ do lieân quan ñeán moät vuï tranh chaáp vaän chuyeån vôùi ñoái taùc nöôùc ngoaøi. Coâng ty ñaõ ñaët coïc moät soá tieàn coù giaù trò laø 510.000 USD cho toøa aùn ôû TP. Durban, Nam Phi ñeå giaûi phoùng taøu, ñoàng thôøi ñang tieán haønh thuû tuïc khôûi kieän ñoái taùc nöôùc ngoaøi naøy.</t>
  </si>
  <si>
    <t>Nhaèm ñaûm baûo cho söï bình oån giaù caû coå phieáu vaø döï phoøng bieán ñoäng chi phí, trong naêm 2007, Coâng ty ñaõ trích laäp döï phoøng phaûi thu khoù ñoøi theo thoâng tö soá 13/2006/TT-BTC ngaøy 27 thaùng 02 naêm 2006 vaøo khoaûng 70% khoaûn tieàn chuyeån baûo laõnh taïi hieäp hoäi baûo hieåm caùc chuû taøu WOE ñeå giaûi phoùng taøu Asean Sea 01. Soá trích laäp cuï theå laø 6.000.000.000 ñoàng.</t>
  </si>
  <si>
    <t>Khi cung caáp dòch vuï, doanh thu ñöôïc ghi nhaän khi khoâng coøn nhöõng yeáu toá khoâng chaéc chaén ñaùng keå lieân quan ñeán vieäc thanh toaùn tieàn vaø chi phí keøm theo. Tröôøng hôïp dòch vuï ñöôïc thöïc hieän trong nhieàu kyø keá toaùn thì vieäc xaùc ñònh doanh thu trong töøng kyø ñöôïc thöïc hieän caên cöù vaøo tyû leä hoaøn thaønh dòch vuï taïi ngaøy keát thuùc naêm taøi chính.</t>
  </si>
  <si>
    <t>A.</t>
  </si>
  <si>
    <t>I.</t>
  </si>
  <si>
    <t>1.</t>
  </si>
  <si>
    <t>2.</t>
  </si>
  <si>
    <t>Vaøo thaùng 11 naêm 2007, coâng ty ñaõ tieán haønh phaùt haønh theâm 9.800.000 coå phieáu ( xem thuyeát minh phaàn V.13.3) vaø döï kieán keát thuùc chuyeån giao vaøo thaùng 2 naêm 2008. Do ñoù soá coå phieáu döï kieán taïi thôøi ñieåm ñöôïc chia coå töùc laø 13.800.000. Laõi cô baûn treân coå phieáu naêm 2007 ñöôïc tính döïa treân soá coå phieáu bình quaân trong naêm 2007 nhö sau:</t>
  </si>
  <si>
    <t>Baùo caùo taøi chính ñaõ ñöôïc trình baøy moät caùch trung thöïc vaø hôïp lyù tình hình taøi chính, tình hình vaø keát quaû kinh doanh cuûa doanh nghieäp. Ñeå ñaûm baûo yeâu caàu trung thöïc vaø hôïp lyù, caùc baùo caùo taøi chính ñaõ laäp vaø trình baøy treân cô sôû tuaân thuû caùc chuaån möïc keá toaùn, cheá ñoä keá toaùn vaø caùc quy ñònh coù lieân quan hieän haønh.</t>
  </si>
  <si>
    <t>- Nguyeân taéc ñaùnh giaù haøng toàn kho: Haøng toàn kho ñöôïc tính theo giaù goác - bao goàm chi phí mua, chi phí cheá bieán vaø caùc chi phí lieân quan tröïc tieáp khaùc phaùt sinh ñeå coù ñöôïc haøng toàn kho ôû ñòa ñieåm vaø traïng thaùi hieän taïi - tröø döï phoøng giaûm giaù haøng toàn kho.</t>
  </si>
  <si>
    <t>3.</t>
  </si>
  <si>
    <t>II.</t>
  </si>
  <si>
    <t>III.</t>
  </si>
  <si>
    <t>4.</t>
  </si>
  <si>
    <t>5.</t>
  </si>
  <si>
    <t>6.</t>
  </si>
  <si>
    <t>IV.</t>
  </si>
  <si>
    <t>7.</t>
  </si>
  <si>
    <t>8.</t>
  </si>
  <si>
    <t>150</t>
  </si>
  <si>
    <t>VI.</t>
  </si>
  <si>
    <t>160</t>
  </si>
  <si>
    <t>161</t>
  </si>
  <si>
    <t>162</t>
  </si>
  <si>
    <t>B.</t>
  </si>
  <si>
    <t>200</t>
  </si>
  <si>
    <t>210</t>
  </si>
  <si>
    <t>211</t>
  </si>
  <si>
    <t>220</t>
  </si>
  <si>
    <t>221</t>
  </si>
  <si>
    <t>222</t>
  </si>
  <si>
    <t>228</t>
  </si>
  <si>
    <t>229</t>
  </si>
  <si>
    <t>- Ñaàu tö xaây döïng coâng trình giao thoâng, thuûy lôïi, coâng nghieäp vaø daân duïng; Hoaït ñoäng vaän taûi treân caùc tuyeán ñöôøng thuyû noäi ñòa vaø quoác teá; Saûn xuaát vaø kinh doanh caùc saûn phaåm daàu khí; Cung caáp vaät tö  thieát bò maùy moùc toång hôïp cho nhu caàu saûn xuaát vaø tieâu duøng; Ñaïi lyù khai thaùc dòch vuï vaø hoa tieâu haøng haûi; Dòch vuï ñaïi lyù taøu bieån, ñaïi lyù vaän taûi ñöôøng bieån; Moâi giôùi haøng haûi; Cung öùng taøu bieån vaø dòch vuï lai daét taøu bieån; Sang chieát gas; Ñaàu tö xaây döïng, kinh doanh haï taàng khu daân cö, khu coâng nghieäp, caàu caûng, kho baõi; Moâi giôùi baát ñoäng saûn, kinh doanh nhaø; Kinh doanh dòch vuï löõ haønh noäi ñòa, quoác teá; Hoaït ñoäng caùc caâu laïc boä theå hình, nhòp dieäu, bôi loäi, theå thao döôùi nöôùc, ñua thuyeàn, saân goân, quaàn vôït; Kinh doanh caâu laïc boä giaûi trí, troø chôi ñieän töû hoà bôi, caâu caù, baõi bieån ( khoâng hoaït ñoäng taïi Thaønh phoá Hoà Chí Minh)</t>
  </si>
  <si>
    <t>31/12/2007</t>
  </si>
  <si>
    <t>01/01/2007</t>
  </si>
  <si>
    <t>31/12/2006</t>
  </si>
  <si>
    <t>230</t>
  </si>
  <si>
    <t>240</t>
  </si>
  <si>
    <t>250</t>
  </si>
  <si>
    <t>300</t>
  </si>
  <si>
    <t>310</t>
  </si>
  <si>
    <t>311</t>
  </si>
  <si>
    <t>313</t>
  </si>
  <si>
    <t>314</t>
  </si>
  <si>
    <t>315</t>
  </si>
  <si>
    <t>316</t>
  </si>
  <si>
    <t>317</t>
  </si>
  <si>
    <t>318</t>
  </si>
  <si>
    <t>320</t>
  </si>
  <si>
    <t>400</t>
  </si>
  <si>
    <t>410</t>
  </si>
  <si>
    <t>411</t>
  </si>
  <si>
    <t>412</t>
  </si>
  <si>
    <t>413</t>
  </si>
  <si>
    <t>(**)</t>
  </si>
  <si>
    <t>VI.5</t>
  </si>
  <si>
    <t>VI.7</t>
  </si>
  <si>
    <t>VI.8</t>
  </si>
  <si>
    <t>414</t>
  </si>
  <si>
    <t>415</t>
  </si>
  <si>
    <t>430</t>
  </si>
  <si>
    <t>241</t>
  </si>
  <si>
    <t>01</t>
  </si>
  <si>
    <t>03</t>
  </si>
  <si>
    <t>05</t>
  </si>
  <si>
    <t>06</t>
  </si>
  <si>
    <t>07</t>
  </si>
  <si>
    <t>10</t>
  </si>
  <si>
    <t>11</t>
  </si>
  <si>
    <t>20</t>
  </si>
  <si>
    <t>21</t>
  </si>
  <si>
    <t>22</t>
  </si>
  <si>
    <t>30</t>
  </si>
  <si>
    <t>31</t>
  </si>
  <si>
    <t>32</t>
  </si>
  <si>
    <t>9.</t>
  </si>
  <si>
    <t>10.</t>
  </si>
  <si>
    <t>11.</t>
  </si>
  <si>
    <t>50</t>
  </si>
  <si>
    <t>12.</t>
  </si>
  <si>
    <t>13.</t>
  </si>
  <si>
    <t>24</t>
  </si>
  <si>
    <t>25</t>
  </si>
  <si>
    <t xml:space="preserve">1. </t>
  </si>
  <si>
    <t>08</t>
  </si>
  <si>
    <t>09</t>
  </si>
  <si>
    <t>12</t>
  </si>
  <si>
    <t>Nôï TK 331</t>
  </si>
  <si>
    <t>Coù TK 335</t>
  </si>
  <si>
    <t>- Phöông phaùp khaáu hao aùp duïng vaø caùc tröôøng hôïp khaáùu hao ñaëc bieät: Phöông phaùp ñöôøng thaúng, döïa vaøo thôøi gian höõu duïng öôùc tính cuûa taøi saûn trong phaïm vi quyeát ñònh 206/2003/QÑ/BTC ngaøy 12 thaùng 12 naêm 2003 cuûa Boä Taøi Chính. Thôøi gian söû duïng bình quaân öôùc tính cho caùc nhoùm taøi saûn nhö sau:</t>
  </si>
  <si>
    <t>40</t>
  </si>
  <si>
    <t>02</t>
  </si>
  <si>
    <t>Bunker Fuels</t>
  </si>
  <si>
    <t>Dalian Longsailing Ship Engine</t>
  </si>
  <si>
    <t>Petredec Limited</t>
  </si>
  <si>
    <t>Tramp Maritime Enterprises limited</t>
  </si>
  <si>
    <t xml:space="preserve">BÁO CÁO LƯU CHUYỂN TIỀN TỆ </t>
  </si>
  <si>
    <t>Thuế TNDN phải nộp và lợi nhuận sau thuế trong kỳ</t>
  </si>
  <si>
    <t>Thuế TNDN trong năm được tính như sau:</t>
  </si>
  <si>
    <t>Tổng lợi nhuận (Lỗ) kế toán trước thuế</t>
  </si>
  <si>
    <t>Các khoản ĐC tăng hoặc giảm LN kế toán để XĐ lợi nhuận chịu thuế TNDN</t>
  </si>
  <si>
    <t>Các khoản điều chỉnh tăng</t>
  </si>
  <si>
    <t>Các khoản điều chỉnh giảm</t>
  </si>
  <si>
    <t>Tổng thu nhập chịu thuế</t>
  </si>
  <si>
    <t>Họat động chịu thuế 20%</t>
  </si>
  <si>
    <t>Họat động chịu thuế 28%</t>
  </si>
  <si>
    <t>Thuế TNDN hiện hành phải nộp ( giảm 50%)</t>
  </si>
  <si>
    <t>Lợi nhuận (Lỗ) sau thuế TNDN hiện hành</t>
  </si>
  <si>
    <t>Chi phí thuế TNDN hoãn lại</t>
  </si>
  <si>
    <t>Chênh lệch tạm thời chịu thuế TNDN</t>
  </si>
  <si>
    <t>Thuế TNDN hoãn lại</t>
  </si>
  <si>
    <t>Thuế TNDN hoãn lại đã trích</t>
  </si>
  <si>
    <t>Chi phí thuế TNDN hoãn lại trong năm</t>
  </si>
  <si>
    <t>THÔNG TIN BỔ SUNG CHO CÁC KHOẢN MỤC TRÌNH BÀY TRONG BÁO CÁO LƯU CHUYỂN TIỀN TỆ</t>
  </si>
  <si>
    <t>Các giao dịch không bằng tiền ảnh hưởng đến báo cáo lưu chuyển tiền tệ và các khoản tiền do doanh nghiệp nắm giữ nhưng không được sử dụng: không có.</t>
  </si>
  <si>
    <t>NHỮNG THÔNG TIN KHÁC</t>
  </si>
  <si>
    <t>Những khoản nợ tiềm tàng, khoản cam kết và những thông tin tài chính khác</t>
  </si>
  <si>
    <t>Những sự kiện phát sinh sau ngày kết thúc niên độø kế toán</t>
  </si>
  <si>
    <t>Công ty hiện đang tiến hành hoàn tất thủ tục phát hành thêm 9.800.000 cổ phiếu tăng vốn. Dự tính sẽ hoàn tất chuyển giao các cổ phiếu phát hành thêm vào tháng 2 năm 2008.</t>
  </si>
  <si>
    <t>Thông tin về các bên liên quan</t>
  </si>
  <si>
    <t>Giao dịch với các bên liên quan trong kỳ gồm:</t>
  </si>
  <si>
    <t>Phát sinh trong kỳ</t>
  </si>
  <si>
    <t>Số dư cuối kỳ</t>
  </si>
  <si>
    <t>Mối quan hệ</t>
  </si>
  <si>
    <t>Công ty đầu tư vốn</t>
  </si>
  <si>
    <t xml:space="preserve">Nghiệp vụ </t>
  </si>
  <si>
    <t>Vay ngắn hạn</t>
  </si>
  <si>
    <t>Vay dài hạn</t>
  </si>
  <si>
    <t>Trả tiền vay</t>
  </si>
  <si>
    <t>Ứng trước tiền hàng</t>
  </si>
  <si>
    <t>Công ty con cùng Tổng công ty công nghiệp tàu thủy Việt Nam</t>
  </si>
  <si>
    <t>Công ty TNHH Phương Bắc</t>
  </si>
  <si>
    <t>Công ty con</t>
  </si>
  <si>
    <t>Thanh toán hộ công nợ</t>
  </si>
  <si>
    <t>Thu tiền hộ</t>
  </si>
  <si>
    <t>Chi phí chi hộ nhưng chưa bàn giao góp vốn</t>
  </si>
  <si>
    <r>
      <t>Thông tin so sánh (những thay đổi về thông tin trong báo cáo tài chính của các niên độ kế toán trước):</t>
    </r>
    <r>
      <rPr>
        <b/>
        <sz val="10.5"/>
        <rFont val="Times New Roman"/>
        <family val="1"/>
      </rPr>
      <t xml:space="preserve"> </t>
    </r>
    <r>
      <rPr>
        <sz val="10.5"/>
        <rFont val="Times New Roman"/>
        <family val="1"/>
      </rPr>
      <t>không phát sinh</t>
    </r>
  </si>
  <si>
    <r>
      <t>Thông tin về hoạt động liên tục:</t>
    </r>
    <r>
      <rPr>
        <sz val="10.5"/>
        <rFont val="Times New Roman"/>
        <family val="1"/>
      </rPr>
      <t xml:space="preserve"> không phát sinh.</t>
    </r>
  </si>
  <si>
    <t>Một số chỉ tiêu về tình hình tài chính</t>
  </si>
  <si>
    <t>Đơn vị tính</t>
  </si>
  <si>
    <t>*Bố trí cơ cấu tài sản và cơ cấu nguồn vốn</t>
  </si>
  <si>
    <t xml:space="preserve">    - Bố trí cơ cấu tài sản</t>
  </si>
  <si>
    <t>Tài sản ngắn hạn/Tổng số tài sản</t>
  </si>
  <si>
    <t>Tài sản dài hạn/Tổng số tài sản</t>
  </si>
  <si>
    <t xml:space="preserve">     - Bố trí cơ cấu nguồn vốn</t>
  </si>
  <si>
    <t>Nợ phải trả/Tổng nguồn vốn</t>
  </si>
  <si>
    <t>Nguồn vốn chủ sở hữu/Tổng nguồn vốn</t>
  </si>
  <si>
    <t>*Khả năng thanh toán</t>
  </si>
  <si>
    <t>Khả năng thanh toán hiện hành</t>
  </si>
  <si>
    <t>Khả năng thanh toán nợ ngắn hạn</t>
  </si>
  <si>
    <t>Khả năng thanh toán nhanh</t>
  </si>
  <si>
    <t>Lần</t>
  </si>
  <si>
    <t>*Tỉ suất sinh lời</t>
  </si>
  <si>
    <t xml:space="preserve">     - Tỉ suất lợi nhuận trên doanh thu</t>
  </si>
  <si>
    <t>Tỷ suất lợi nhuận trước thuế trên DT</t>
  </si>
  <si>
    <t>Tỷ suất lợi nhuận sau thuế trên doanh thu</t>
  </si>
  <si>
    <t xml:space="preserve">     - Tỉ suất lợi nhuận trên tổng tài sản</t>
  </si>
  <si>
    <t>Tỷ suất lợi nhuận trước thuế trên tổng TS</t>
  </si>
  <si>
    <t>Tỷ suất lợi nhuận sau thuế trên tổng TS</t>
  </si>
  <si>
    <t xml:space="preserve">     - Tỉ suất lợi nhuận sau thuế trên nguồn vốn chủ sở hữu</t>
  </si>
  <si>
    <t>Tỉ suất lợi nhuận sau thuế trên NVCSH</t>
  </si>
  <si>
    <t xml:space="preserve">BÁO CÁO KẾT QUẢ HOẠT ĐỘNG KINH DOANH </t>
  </si>
  <si>
    <t>(*) Công ty nộp thuế GTGT theo phương pháp khấu trừ. Thuế suất thuế GTGT như sau:</t>
  </si>
  <si>
    <t>Hoạt động kinh doanh gas</t>
  </si>
  <si>
    <t>Hoạt động vận tải nội địa</t>
  </si>
  <si>
    <t>Hoạt động vận tải quốc tế</t>
  </si>
  <si>
    <t>Riêng hoạt động bán tàu do không nhập khẩu vào Việt Nam nên không thuộc đối tượng chịu thuế GTGT.</t>
  </si>
  <si>
    <t>Chi phí lãi vay</t>
  </si>
  <si>
    <t>Chi phí cho các tàu</t>
  </si>
  <si>
    <t>Chi phí phải trả khác</t>
  </si>
  <si>
    <t>Phải trả phải nộp khác</t>
  </si>
  <si>
    <t>Phải trả ngắn hạn khác</t>
  </si>
  <si>
    <t>Bảo hiểm xã hội, bảo hiểm y tế, kinh phí công đoàn</t>
  </si>
  <si>
    <t>Tiền thu từ các cổ đông mua cổ phiếu đợt 2</t>
  </si>
  <si>
    <t>Công ty Tài chính công nghiệp tàu thủy</t>
  </si>
  <si>
    <t>Nhận ký quỹ dài hạn</t>
  </si>
  <si>
    <t>(**) Khoản ký quỹ vỏ bình gas.</t>
  </si>
  <si>
    <t>Tổng công ty công nghiệp tàu thủy Việt Nam</t>
  </si>
  <si>
    <t>(*) Các khoản vay dài hạn tại các ngân hàng để đầu tư tài sản cố định. Các khoản vay này được đảm bảo bằng việc thế chấp tài sản hình thành từ vốn vay</t>
  </si>
  <si>
    <t>(**) Khoản vay công ty tài chính Công nghiệp  tàu thủy từ nguồn vốn vay trái phiếu quốc tế theo lãi suất từng lần giải ngân.</t>
  </si>
  <si>
    <r>
      <t>Bảng đối chiếu biến động của Vốn chủ sở hữu</t>
    </r>
  </si>
  <si>
    <t>Vốn đầu tư của    Chủ sở hữu</t>
  </si>
  <si>
    <t xml:space="preserve">Lợi nhuận sau thuế chưa phân phối </t>
  </si>
  <si>
    <t xml:space="preserve">Số dư đầu năm trước </t>
  </si>
  <si>
    <t xml:space="preserve"> - Tăng vốn năm trước</t>
  </si>
  <si>
    <t xml:space="preserve"> - Lợi nhuận năm trước</t>
  </si>
  <si>
    <t xml:space="preserve"> - Trích lập các quỹ</t>
  </si>
  <si>
    <t xml:space="preserve"> - Các khoản giảm khác </t>
  </si>
  <si>
    <t xml:space="preserve">Số dư cuối năm trước </t>
  </si>
  <si>
    <t>Số dư đầu năm nay</t>
  </si>
  <si>
    <t xml:space="preserve"> - Tăng vốn năm nay</t>
  </si>
  <si>
    <t xml:space="preserve"> - Lợi nhuận năm nay</t>
  </si>
  <si>
    <t xml:space="preserve"> - Chia cổ tức năm 2006</t>
  </si>
  <si>
    <t>Số dư cuối năm</t>
  </si>
  <si>
    <t>Chi tiết vốn đầu tư của chủ sở hữu</t>
  </si>
  <si>
    <t>Vốn góp</t>
  </si>
  <si>
    <t>Tỉ lệ</t>
  </si>
  <si>
    <t>Cổ đông khác</t>
  </si>
  <si>
    <t>Công ty đang hoàn tất hồ sơ để tăng vốn điều lệ lên 138 tỷ đồng.</t>
  </si>
  <si>
    <t>Cổ phiếu</t>
  </si>
  <si>
    <t>Số lượng cổ phiếu đăng ký phát hành</t>
  </si>
  <si>
    <t>Số lượng cổ phiếu đã bán ra công chúng</t>
  </si>
  <si>
    <t>Cổ phiếu phổ thông</t>
  </si>
  <si>
    <t>Cổ phiếu ưu đãi</t>
  </si>
  <si>
    <t>Số lượng cổ phiếu được mua lại</t>
  </si>
  <si>
    <t>Số lượng cổ phiếu đang lưu hành</t>
  </si>
  <si>
    <t>Số lượng cổ phiếu đang hòan tất hồ sơ phát hành thêm</t>
  </si>
  <si>
    <t>Mệnh giá cổ phiếu đang lưu hành : 10.000VNĐ/ cổ phiếu</t>
  </si>
  <si>
    <t>Cổ phiếu trả cổ tức</t>
  </si>
  <si>
    <t>Cổ phiếu bán cho cổ đông hiện hữu</t>
  </si>
  <si>
    <t>Cổ phiếu thưởng cho cán bộ công nhân viên</t>
  </si>
  <si>
    <t>Cổ phiếu bán cho đối tác chiến lược</t>
  </si>
  <si>
    <t>Công ty đang tiến hành các thủ tục hoàn tất cho đợt phát hành cổ phiếu này. Dự kiến vào tháng 2 năm 2008 kết thúc chuyển giao cổ phiếu.</t>
  </si>
  <si>
    <t>THÔNG TIN BỔ SUNG CHO CÁC KHOẢN MỤC TRÌNH BÀY TRONG BÁO CÁO KẾT QUẢ HOẠT ĐỘNG KINH DOANH</t>
  </si>
  <si>
    <t>Doanh thu bán hàng hóa</t>
  </si>
  <si>
    <t xml:space="preserve">Doanh thu cung cấp dịch vụ vận tải </t>
  </si>
  <si>
    <t>Doanh thu bán tàu</t>
  </si>
  <si>
    <t>Tổng doanh thu</t>
  </si>
  <si>
    <t>Các khoản giảm trừ doanh thu</t>
  </si>
  <si>
    <t>Thu lãi tiền gởi</t>
  </si>
  <si>
    <t>Lãi (lỗ) chênh lệch tỉ giá</t>
  </si>
  <si>
    <t>Doanh thu hoạt động tài chính khác</t>
  </si>
  <si>
    <t>Giá vốn của hàng hóa</t>
  </si>
  <si>
    <t>Giá vốn của dịch vụ đã cung cấp</t>
  </si>
  <si>
    <t>Giá vốn bán tàu</t>
  </si>
  <si>
    <t>Chi phí hoạt động tài chính</t>
  </si>
  <si>
    <t>Chi phí lãi tiền vay</t>
  </si>
  <si>
    <t>Lãi thuê tài chính</t>
  </si>
  <si>
    <t>Lỗ do chênh lệch tỉ giá</t>
  </si>
  <si>
    <t>Lợi nhuận sau thuế</t>
  </si>
  <si>
    <t>Số cổ phiếu bình quân</t>
  </si>
  <si>
    <t>Chi phí sản xuất kinh doanh theo yếu tố</t>
  </si>
  <si>
    <t>Chi phí nhân viên</t>
  </si>
  <si>
    <t>Chi phí nguyên vật liệu</t>
  </si>
  <si>
    <t>Chi phí công cụ dụng cụ</t>
  </si>
  <si>
    <t>Chi phí khấu hao</t>
  </si>
  <si>
    <t>Chi phí dịch vụ mua ngoài</t>
  </si>
  <si>
    <t>Chi phí bằng tiền khác</t>
  </si>
  <si>
    <t>Thuế TNDN hiện hành</t>
  </si>
  <si>
    <t>Giá trị thuần có thể thực hiện được của hàng tồn kho.</t>
  </si>
  <si>
    <t>Chi phí công cụ dụng cụ chờ phân bổ</t>
  </si>
  <si>
    <t>Chi phí chờ phân bổ khác</t>
  </si>
  <si>
    <t>Thuế GTGT còn được khấu trừ</t>
  </si>
  <si>
    <t>Thuế thu nhập nộp thừa</t>
  </si>
  <si>
    <t>Tạm ứng</t>
  </si>
  <si>
    <t>Cầm cố, ký qũy, ký cược ngắn hạn</t>
  </si>
  <si>
    <t>5.1 Tài sản cố định hữu hình</t>
  </si>
  <si>
    <t>Tăng trong kỳ</t>
  </si>
  <si>
    <t>Giảm trong kỳ</t>
  </si>
  <si>
    <t>Nguyên giá</t>
  </si>
  <si>
    <t>Nhà cửa vật kiến trúc</t>
  </si>
  <si>
    <t xml:space="preserve">Phương tiện vận tải </t>
  </si>
  <si>
    <t>Thiết bị quản lý</t>
  </si>
  <si>
    <t>TSCĐ khác</t>
  </si>
  <si>
    <t>Khấu hao tích lũy</t>
  </si>
  <si>
    <t>Giá trị còn lại</t>
  </si>
  <si>
    <t>* Giá trị còn lại cuối kỳ của TSCĐ hữu hình đã dùng thế chấp, cầm cố các khoản vay: 689.648.592.528 VNĐ.</t>
  </si>
  <si>
    <t>* Nguyên giá TSCĐ cuối kỳ đã khấu hao hết nhưng vẫn còn sử dụng: không</t>
  </si>
  <si>
    <t>* Nguyên giá TSCĐ cuối kỳ chờ thanh lý: 0 VNĐ.</t>
  </si>
  <si>
    <t>* Các cam kết về việc mua, bán TSCĐ hữu hình có giá trị lớn chưa thực hiện: không.</t>
  </si>
  <si>
    <t>5.2 Tài sản cố định thuê tài chính</t>
  </si>
  <si>
    <t>5.3 Tài sản cố định vô hình</t>
  </si>
  <si>
    <t>Phần mềm kế toán</t>
  </si>
  <si>
    <t>Xây dựng cơ bản dở dang</t>
  </si>
  <si>
    <t>Sửa chữa lớn TSCĐ</t>
  </si>
  <si>
    <t>(*) Trong đó, chi phí đền bù giải tỏa cho dự án xây dựng khu đô thị mới tại Vĩnh Phúc là: 67.553.310.371VNĐ.</t>
  </si>
  <si>
    <t xml:space="preserve">Năm 2007, Công ty đẩy mạnh hoạt động đầu tư xây dựng cơ bản cho các dự án như: </t>
  </si>
  <si>
    <t>Dự án khu đô thị golf Mê Linh - Vĩnh Phúc</t>
  </si>
  <si>
    <t>Dự án Tổng kho Đình Vũ</t>
  </si>
  <si>
    <t>Dự án đóng tàu hàng rời 54.000 DWT</t>
  </si>
  <si>
    <t>Dự án đóng 2 tàu hàng rời 22.500 DWT</t>
  </si>
  <si>
    <t>Dự án khu công nghiệp Long An</t>
  </si>
  <si>
    <t>Theo hợp đồng quản lý danh mục đầu tư số 22/HĐ-QLDM ngày 27 tháng 12 năm 2007 ký với công ty cổ phần đầu tư IPA, Công ty đã ủy thác giao cho công ty IPA quản lý số vốn trên để dùng vào các khoản đầu tư tài chính tạm thời.</t>
  </si>
  <si>
    <t>Vay ngân hàng</t>
  </si>
  <si>
    <t>Ngân hàng BIDV - Bắc Hà Nội</t>
  </si>
  <si>
    <t>Ngân hàng BIDV - Sở giao dịch 2</t>
  </si>
  <si>
    <t>Ngân hàng Công thương Ba Đình</t>
  </si>
  <si>
    <t>Ngân hàng Đông Á</t>
  </si>
  <si>
    <t>Ngân hàng TMCP nhà Hà Nội - CN TP.HCM</t>
  </si>
  <si>
    <t>Ngân hàng Hàng hải</t>
  </si>
  <si>
    <t>Vay các tổ chức cá nhân khác</t>
  </si>
  <si>
    <t>Tập đoàn công nghiệp tàu thủy Việt Nam</t>
  </si>
  <si>
    <t xml:space="preserve">Nợ dài hạn đến hạn trả </t>
  </si>
  <si>
    <t>Vay dài hạn đến hạn trả</t>
  </si>
  <si>
    <t>Nợ thuê tài chính đến hạn trả</t>
  </si>
  <si>
    <t xml:space="preserve">(*) Các khoản vay ngắn hạn tại các ngân hàng để bổ sung vốn lưu động. </t>
  </si>
  <si>
    <t>Phải trả người bán và người mua trả tiền trước</t>
  </si>
  <si>
    <t>Phải trả người bán</t>
  </si>
  <si>
    <t>Công ty Barber Ship Management</t>
  </si>
  <si>
    <t>Công ty công nghiệp tàu thủy Nam Triệu</t>
  </si>
  <si>
    <t>Công ty cổ phần gas Petrolimex</t>
  </si>
  <si>
    <t>Công ty năng lượng Bình An</t>
  </si>
  <si>
    <t>Công ty Cổ phần sơn tàu biển Vinashin</t>
  </si>
  <si>
    <t>Các Công ty khác</t>
  </si>
  <si>
    <t>Thuế và các khoản phải nộp nhà nước</t>
  </si>
  <si>
    <t>Thuế phải nộp nhà nước</t>
  </si>
  <si>
    <t>Thuế GTGT</t>
  </si>
  <si>
    <t>Thuế xuất, nhập khẩu</t>
  </si>
  <si>
    <t>Thuế TNDN</t>
  </si>
  <si>
    <t>Thuế thu nhập cá nhân</t>
  </si>
  <si>
    <t>Thuế khác</t>
  </si>
  <si>
    <t>Các bên được coi là liên quan nếu một bên có khả năng kiểm soát hoặc có ảnh hưởng đáng kể đối với bên kia trong việc ra quyết định các chính sách tài chính và hoạt động.</t>
  </si>
  <si>
    <t>THÔNG TIN BỔ SUNG CHO CÁC KHOẢN MỤC TRÌNH BÀY TRONG BẢNG CÂN ĐỐI KẾ TOÁN</t>
  </si>
  <si>
    <t>Tiền mặt tại quỹ</t>
  </si>
  <si>
    <t>Tiền gởi Ngân hàng</t>
  </si>
  <si>
    <t xml:space="preserve">     - Tiền gởi bằng Việt Nam đồng</t>
  </si>
  <si>
    <t xml:space="preserve">     - Tiền gởi bằng USD</t>
  </si>
  <si>
    <t xml:space="preserve">     - Tiền gởi bằng RUP</t>
  </si>
  <si>
    <t>Tiền đang chuyển</t>
  </si>
  <si>
    <t>Tổng cộng</t>
  </si>
  <si>
    <t>Các khách hàng mua hàng hóa</t>
  </si>
  <si>
    <t>Các khách hàng dịch vụ vận chuyển</t>
  </si>
  <si>
    <t>Các khách hàng mua tàu</t>
  </si>
  <si>
    <t>Tập đoàn công nghiệp tàu thủy</t>
  </si>
  <si>
    <t>Công ty TNHH Nhà nước 1 thành viên đóng tàu Bạch Đằng</t>
  </si>
  <si>
    <t>Công ty CP đầu tư và xây dựng giao thông Hồng Lĩnh</t>
  </si>
  <si>
    <t>Công ty TNHH 1 thành viên công nghiệp tàu thủy Dung Quốc</t>
  </si>
  <si>
    <t>Công ty TNHH 1 thành viên đóng tàu Cam Ranh</t>
  </si>
  <si>
    <t>Các khách hàng khác</t>
  </si>
  <si>
    <t>Phải thu khác</t>
  </si>
  <si>
    <t>Công ty Tài chính Công nghiệp tàu thủy</t>
  </si>
  <si>
    <t>Chi phí đã chi cho công ty gas Phương Bắc</t>
  </si>
  <si>
    <t>Công ty cổ phần vận tải biển Đại Hải</t>
  </si>
  <si>
    <t>Công ty cổ phần lọc hóa dầu Nam Việt</t>
  </si>
  <si>
    <t>Tiền đặt cọc</t>
  </si>
  <si>
    <t>Khoản phải thu khác</t>
  </si>
  <si>
    <t xml:space="preserve">Tổng các khoản phải thu thương mại và phải thu khác </t>
  </si>
  <si>
    <t xml:space="preserve">Dự phòng phải thu khó đòi </t>
  </si>
  <si>
    <t>Giá trị thuần của phải thu thương mại và phải thu khác</t>
  </si>
  <si>
    <t>(1) Phải thu khác của công ty Tài chính công nghiệp tàu thủy gồm 2 khoản:</t>
  </si>
  <si>
    <t>Khoản tiền góp vốn còn phải thu của công ty Tài chính Công nghiệp tàu thủy để đầu tư xây dựng khu đô thị, thương mại và dịch vụ tại  Vĩnh Phúc : 1.923.432.036 VNĐ.</t>
  </si>
  <si>
    <t>Số dư còn lại: 51.454.028.214 VNĐ là khoản dư nợ từ nguồn trái phiếu quốc tế cho vay nhưng công ty chưa sử dụng, theo hợp đồng tín dụng số D/05/24-TPQT ngày 18 tháng 11 năm 2005 với công ty Tài chính Công nghiệp Tàu thủy.</t>
  </si>
  <si>
    <t>(2) Khoản tiền đặt cọc cho tòa án ở Tp. Durban, Nam Phi để giải phóng tàu Asean sea 01. Trong năm công ty đã tiến hành lập dựï phòng khoảng 70% số tiền liên quan đến tàu Asean sea 01</t>
  </si>
  <si>
    <t>Nguyên vật liệu tồn kho</t>
  </si>
  <si>
    <t>Công cụ, dụng cụ trong kho</t>
  </si>
  <si>
    <t>Chi phí sản xuất kinh doanh dỡ dang</t>
  </si>
  <si>
    <t>Hàng hóa tồn kho</t>
  </si>
  <si>
    <t>Hàng gửi đi bán</t>
  </si>
  <si>
    <t>Giá gốc của hàng hóa tồn kho</t>
  </si>
  <si>
    <t>Chi phí trả trước ngắn hạn phản ánh chi phí công cụ dụng cụ và được phân bổ vào chi phí theo phương pháp đường thẳng trong thời gian 12 tháng.</t>
  </si>
  <si>
    <t>Nguồn vốn chủ sở hữu -quỹ</t>
  </si>
  <si>
    <t>Nguồn vốn chủ sở hữu của Công ty bao gồm:</t>
  </si>
  <si>
    <t>Vốn đầu tư của chủ sở hữu: được ghi nhận theo số thực tế đã đầu tư của các cổ đông.</t>
  </si>
  <si>
    <t>Vốn khác: hình thành do bổ sung từ kết quả hoạt động kinh doanh, giá trị các tài sản được tặng, biếu, tài trợ và đánh giá lại tài sản.</t>
  </si>
  <si>
    <t>Lợi nhuận thực hiện của công ty sau khi trừ các chi phí theo quy định của Luật thuế thu nhập doanh nghiệp và nộp thuế thu nhập doanh nghiệp được phân phối cho các quỹ theo điều lệ của công ty như sau:</t>
  </si>
  <si>
    <t>- Trích 5% vào quỹ dự phòng tài chính</t>
  </si>
  <si>
    <t>- Trích 10% vào quỹ đầu tư phát triển.</t>
  </si>
  <si>
    <t>- Trích 10% vào quỹ khen thưởng.</t>
  </si>
  <si>
    <t>- Trích 5% vào quỹ phúc lợi.</t>
  </si>
  <si>
    <t xml:space="preserve">Tuy nhiên trong năm 2007, căn cứ vào tình hình tài chính, đầu tư và phát triển của công ty, Công ty đã tạm trích lợi nhuận sau thuế vào các quỹ như sau: </t>
  </si>
  <si>
    <t>- Trích 10% vào quỹ dự phòng tài chính</t>
  </si>
  <si>
    <t>Các khoản tạm trích quỹ này sẽ được trình Đại hội dồng cổ đông, nếu có thay đổi sẽ điều chỉnh ngay sau khi có nghị quyết của Đại hội đồng cổ đông.</t>
  </si>
  <si>
    <t>Thuế thu nhập doanh nghiệp</t>
  </si>
  <si>
    <t>Chi phí thuế TNDN trong năm bao gồm thuế TNDN hiện hành và thuế TNDN hoãn lại.</t>
  </si>
  <si>
    <t>Nguyên tắc ghi nhận doanh thu</t>
  </si>
  <si>
    <t>Bên liên quan</t>
  </si>
  <si>
    <t xml:space="preserve">Nguyên giá tài sản cố định thuê tài chính là giá thấp hơn giữa giá trị hợp lý của tài sản thuê tại thời điểm khởi đầu của hợp đồng thuê và giá trị hiện tại của khoản thanh toán tiền thuê tối thiểu. </t>
  </si>
  <si>
    <t>- Phương pháp khấu hao áp dụng và các trường hợp khấùu hao đặc biệt: Phương pháp đường thẳng, dựa vào thời gian hữu dụng ước tính của tài sản.</t>
  </si>
  <si>
    <t>Kế toán các khoản đầu tư tài chính</t>
  </si>
  <si>
    <t xml:space="preserve">- Nguyên tắc ghi nhận các khoản đầu tư vào công ty con: </t>
  </si>
  <si>
    <t>Khoản đầu tư vào công ty con được ghi nhận theo phương pháp vốn chủ sở hữu.</t>
  </si>
  <si>
    <t>- Nguyên tắc ghi nhận các khoản đầu tư khác: Các khoản đầu tư khác được thể hiện theo nguyên giá, bao gồm giá mua cộng các chi phí mua phát sinh liên quan.</t>
  </si>
  <si>
    <t>- Phương pháp lập dự phòng giảm giá các khoản đầu tư: Dự phòng giảm giá đầu tư được lập khi Ban Giám đốc cho rằng việc giảm giá này không mang tính tạm thời.</t>
  </si>
  <si>
    <t>Kế toán các hoạt động liên doanh vào cơ sở kinh doanh đồng kiểm soát</t>
  </si>
  <si>
    <t>Ghi nhận các khoản phải trả thương mại và phải trả khác</t>
  </si>
  <si>
    <t>Các khoản phải trả thương mại và phải trả khác được ghi nhận theo giá gốc.</t>
  </si>
  <si>
    <t>Ghi nhận chi phí phải trả</t>
  </si>
  <si>
    <t>Chi phí phải trả được ghi nhận dựa trên các ước tính hợp lý về số tiền phải trả cho các hàng hóa, dịch vụ đã sử dụng trong năm.</t>
  </si>
  <si>
    <t>Ghi nhận các khoản chi phí trả trước</t>
  </si>
  <si>
    <t>Lập dự phòng phải thu khó đòi: dựa vào đánh giá của Hội đồng Quản trị hoặc Ban Giám đốc về các khoản nợ có dấu hiệu không có khả năng thu hồi.</t>
  </si>
  <si>
    <t>Nguyên tắc xác định các khoản phải thu , phải trả theo tiến độ kế hoạch hợp đồng xây dựng</t>
  </si>
  <si>
    <t>Nguyên tắc xác định khoản phải thu theo tiến độ kế hoạch hợp đồng xây dựng: ghi nhận doanh thu hợp đồng xây dựng theo tiến độ kế hoạch.</t>
  </si>
  <si>
    <t>Nguyên tắc xác định khoản phải trả theo tiến độ kế hoạch hợp đồng xây dựng: ghi nhận chi phí hợp đồng xây dựng theo tiến độ kế hoạch.</t>
  </si>
  <si>
    <t>Ghi nhận và khấu hao TSCĐ hữu hình, vô hình</t>
  </si>
  <si>
    <t>- Nguyên tắc ghi nhận TSCĐ hữu hình, vô hình:</t>
  </si>
  <si>
    <t xml:space="preserve">Tài sản cố định được thể hiện theo nguyên giá trừ khấu hao tích lũy. </t>
  </si>
  <si>
    <t>Nguyên giá tài sản cố định bao gồm giá mua và các chi  phí có liên quan trực tiếp để đưa tài sản vào hoạt động theo dự tính sử dụng.</t>
  </si>
  <si>
    <t>Thương hiệu Vinashin là giá trị do cổ đông Tổng công ty Công nghiệp tàu thủy Việt Nam góp vốn theo thỏa thuận thành lập công ty.</t>
  </si>
  <si>
    <t>Số năm khấu hao</t>
  </si>
  <si>
    <t xml:space="preserve">Loại tài sản                                                            </t>
  </si>
  <si>
    <t>Máy móc thiết bị</t>
  </si>
  <si>
    <t xml:space="preserve">Phương tiện vận tải, truyền dẫn                                                            </t>
  </si>
  <si>
    <t xml:space="preserve">Trang thiết bị văn phòng                                                  </t>
  </si>
  <si>
    <t>Thương hiệu Vinashin</t>
  </si>
  <si>
    <t>Phần mềm máy tính</t>
  </si>
  <si>
    <t>Ghi nhận và khấu hao TSCĐ thuê tài chính</t>
  </si>
  <si>
    <t>- Nguyên tắc ghi nhận TSCĐ hữu hình:</t>
  </si>
  <si>
    <t>Các báo cáo được lập trên cơ sở dồn tích. Các chính sách kế toán của Tập đoàn và Công ty áp dụng nhất quán và phù hợp với các chính sách kế toán đã được sử dụng trong các năm trước.</t>
  </si>
  <si>
    <t>Báo cáo kết quả kinh doanh hợp nhất bao gồm cả kết quả hoạt động của các Công ty con</t>
  </si>
  <si>
    <t>Toàn bộ các tài khoản và các nghiệp vụ giao dịch trong nội bộ tập đoàn đã được loại trừ.</t>
  </si>
  <si>
    <t xml:space="preserve">Nguyên tắc xác định các khoản tiền </t>
  </si>
  <si>
    <t>Tiền bao gồm: tiền mặt, tiền gửi ngân hàng, tiền đang chuyển và các khoản tương đương tiền.</t>
  </si>
  <si>
    <t>Nguyên tắc và phương pháp chuyển đổi các đồng tiền khác ra đồng tiền sử dụng trong kế toán:</t>
  </si>
  <si>
    <r>
      <t xml:space="preserve">Tỉ giá quy đổi để sử dụng tại thời điểm ngày: 31/12/2006: 16.051 VNĐ/USD
                                                                              31/12/2007: </t>
    </r>
    <r>
      <rPr>
        <sz val="10.5"/>
        <color indexed="10"/>
        <rFont val="Times New Roman"/>
        <family val="1"/>
      </rPr>
      <t>16.015</t>
    </r>
    <r>
      <rPr>
        <sz val="10.5"/>
        <rFont val="Times New Roman"/>
        <family val="1"/>
      </rPr>
      <t xml:space="preserve"> VNĐ/USD</t>
    </r>
  </si>
  <si>
    <t>Chính sách kế toán hàng tồn kho</t>
  </si>
  <si>
    <t>- Phương pháp xác định giá trị hàng tồn kho cuối kỳ: 
Đối với hàng hóa: được xác định theo phương pháp bình quân gia quyền.
Đối với nguyên vật liệu: được xác định theo phương pháp nhập trước xuất trước.</t>
  </si>
  <si>
    <t>- Phương pháp hạch toán hàng tồn kho: Kê khai thường xuyên.</t>
  </si>
  <si>
    <t>- Lập dự phòng giảm giá hàng tồn kho:</t>
  </si>
  <si>
    <t>Nguyên tắc ghi nhận các khoản phải thu thương mại và phải thu khác</t>
  </si>
  <si>
    <t xml:space="preserve">Nguyên tắc ghi nhận: theo giá gốc trừ đi dự phòng phải thu khó đòi. </t>
  </si>
  <si>
    <t>Niên độ kế toán của Công ty bắt đầu từ ngày 01 tháng 01 và kết thúc ngày 31 tháng 12 hàng năm.</t>
  </si>
  <si>
    <t>Đơn vị tiền tệ sử dụng trong kế toán</t>
  </si>
  <si>
    <t>Đồng Việt Nam được sử dụng làm đơn vị tiền tệ để ghi sổ kế toán.</t>
  </si>
  <si>
    <t xml:space="preserve">III. CHUẨN MỰC KẾ TOÁN ÁP DỤNG </t>
  </si>
  <si>
    <t>Chế độ kế toán áp dụng</t>
  </si>
  <si>
    <t>Công ty áp dụng hệ thống chế độ kế toán Việt Nam ban hành theo Quyết định số 15 TC/QĐ/CĐKT, ngày 20/03/2006 của Bộ Tài Chính Việt Nam và các thông tư hướng dẫn sửa đổi, bổ sung khác.</t>
  </si>
  <si>
    <t>Tuyên bố về việc tuân thủ Chuẩn mực kế toán và Chế độ kế toán</t>
  </si>
  <si>
    <t xml:space="preserve">Chúng tôi đã thực hiện công việc kế toán theo quy định của Nhà nước về chế độ kế toán, chuẩn mực kế toán Việt Nam. </t>
  </si>
  <si>
    <t>Việc lựa chọn số liệu và thông tin cần phải trình bày trong Bản Thuyết Minh Báo Cáo Tài Chính được thực hiện theo nguyên tắc trọng yếu qui định tại Chuẩn mực số 21 - Trình bày Báo Cáo Tài Chính.</t>
  </si>
  <si>
    <t>Hình thức kế toán áp dụng</t>
  </si>
  <si>
    <t>Nhật ký chứng từ</t>
  </si>
  <si>
    <t>CÁC CHÍNH SÁCH KẾ TOÁN ÁP DỤNG</t>
  </si>
  <si>
    <t>Cơ sở lập báo cáo tài chính hợp nhất</t>
  </si>
  <si>
    <t xml:space="preserve">CÔNG TY CỔ PHẦN ĐẦU TƯ VÀ VẬN TẢI DẦU KHÍ VINASHIN </t>
  </si>
  <si>
    <t xml:space="preserve">BẢNG CÂN ĐỐI KẾ TOÁN </t>
  </si>
  <si>
    <t>BẢNG CÂN ĐỐI KẾ TOÁN  (TIẾP THEO)</t>
  </si>
  <si>
    <t>THUYẾT MINH CÁC BÁO CÁO TÀI CHÍNH HỢP NHẤT</t>
  </si>
  <si>
    <t xml:space="preserve">ĐẶC ĐIỂM HOẠT ĐỘNG </t>
  </si>
  <si>
    <t>Đặc điểm hoạt động của Công ty</t>
  </si>
  <si>
    <t>Hình thức sở hữu vốn</t>
  </si>
  <si>
    <t>Công ty cổ phần</t>
  </si>
  <si>
    <t>Lĩnh vực kinh doanh</t>
  </si>
  <si>
    <t>Thương mại, dịch vụ, xây dựng, sản xuất</t>
  </si>
  <si>
    <t>Ngành nghề kinh doanh</t>
  </si>
  <si>
    <t>Đặc điểm hoạt động kinh doanh của doanh nghiệp trong năm kế toán có ảnh hưởng đến Báo cáo Tài chính</t>
  </si>
  <si>
    <t>Năm 2007, Công ty mở rộng hoạt động kinh doanh gas bình với thương hiệu Vinashin gas.</t>
  </si>
  <si>
    <t>Tháng 11 năm 2007, Công ty thành lập Công ty TNHH 1 thành viên Dầu khí phương Bắc Vinashin với 100% vốn đầu tư để đẩy mạnh hoạt động kinh doanh gas ở thị trường phía Bắc.</t>
  </si>
  <si>
    <t>Công ty cũng đã đầu tư mở rộng thị trường kinh doanh gas bình, thiết lập hệ thống bán lẻ thông qua các đại lý từ Nam ra Bắc.</t>
  </si>
  <si>
    <t>NIÊN ĐỘ KẾ TOÁN, ĐƠN VỊ TIỀN TỆ SỬ DỤNG TRONG KẾ TOÁN</t>
  </si>
  <si>
    <t>Niên độ kế toán</t>
  </si>
  <si>
    <t>PTT Public Company Limited</t>
  </si>
  <si>
    <t>Ñieàu chænh löông vaøo 334</t>
  </si>
  <si>
    <t>Nôï TK 335</t>
  </si>
  <si>
    <t>Coù TK 334</t>
  </si>
  <si>
    <t>%</t>
  </si>
  <si>
    <t>416</t>
  </si>
  <si>
    <t>420</t>
  </si>
  <si>
    <t>423</t>
  </si>
  <si>
    <t>23</t>
  </si>
  <si>
    <t>152</t>
  </si>
  <si>
    <t>15.</t>
  </si>
  <si>
    <t>TN</t>
  </si>
  <si>
    <t>Prepared by:</t>
  </si>
  <si>
    <t>Year-end : 31/12/2007</t>
  </si>
  <si>
    <t>154</t>
  </si>
  <si>
    <t>14.</t>
  </si>
  <si>
    <t>18.</t>
  </si>
  <si>
    <t>HAÈNG</t>
  </si>
  <si>
    <t>Index :</t>
  </si>
  <si>
    <t>Subject : Summary Errors</t>
  </si>
  <si>
    <t xml:space="preserve">Dated :  </t>
  </si>
  <si>
    <t>Page : 1</t>
  </si>
  <si>
    <t>Previewed by :</t>
  </si>
  <si>
    <t>P.V.VINH</t>
  </si>
  <si>
    <t>BAÛNG TOÅNG HÔÏP CAÙC BUÙT TOAÙN ÑIEÀU CHÆNH</t>
  </si>
  <si>
    <t>(RECORD OF PROPOSED JOURNAL IN RESPECT OF ERRORS FOUND DURING THE AUDIT)</t>
  </si>
  <si>
    <t>No</t>
  </si>
  <si>
    <t>Ref</t>
  </si>
  <si>
    <t>Description</t>
  </si>
  <si>
    <t>Profit &amp; Loss</t>
  </si>
  <si>
    <t>Balance Sheet</t>
  </si>
  <si>
    <t>Dr</t>
  </si>
  <si>
    <t>Cr</t>
  </si>
  <si>
    <t>Laõi (loã) tröôùc dieàu chænh</t>
  </si>
  <si>
    <t>TOÅNG COÄNG</t>
  </si>
  <si>
    <t>Laõi (loã) sau ñieàu chænh</t>
  </si>
  <si>
    <t>Thueá thu nhaäp doanh nghieäp phaûi noäp :</t>
  </si>
  <si>
    <t>Lôïi nhuaän sau thueá</t>
  </si>
  <si>
    <t/>
  </si>
  <si>
    <t>330</t>
  </si>
  <si>
    <t>331</t>
  </si>
  <si>
    <t>332</t>
  </si>
  <si>
    <t>333</t>
  </si>
  <si>
    <t>334</t>
  </si>
  <si>
    <t>335</t>
  </si>
  <si>
    <t>336</t>
  </si>
  <si>
    <t>337</t>
  </si>
  <si>
    <t>431</t>
  </si>
  <si>
    <t>432</t>
  </si>
  <si>
    <t>B01-DN</t>
  </si>
  <si>
    <t>B02-DN</t>
  </si>
  <si>
    <t>04</t>
  </si>
  <si>
    <t>Haøng toàn kho ñöôïc laäp döï phoøng giaûm giaù laø nhöõng vaät tö, haøng hoaù thuoäc quyeàn sôû höõu cuûa doanh nghieäp toàn kho taïi thôøi ñieåm laäp baùo caùo taøi chính coù giaù trò thu hoài hoaëc giaù trò thò tröôøng thaáp hôn giaù trò treân soå keá toaùn.</t>
  </si>
  <si>
    <t>Khi baùn haøng hoùa thaønh phaåm, doanh thu ñöôïc ghi nhaän khi phaàn lôùn ruûi ro vaø lôïi ích gaén lieàn vôùi vieäc sôû höõu haøng hoaù ñoù ñöôïc chuyeån giao cho ngöôøi mua vaø khoâng coøn toàn taïi yeáu toá khoâng chaéc chaén ñaùng keå lieân quan ñeán vieäc thanh toaùn tieàn, chi phí keøm theo hoaëc khaû naêng haøng baùn bò traû laïi.</t>
  </si>
  <si>
    <t>Buùt toaùn ñieàu chænh cty Phöông Baéc</t>
  </si>
  <si>
    <t>Nôï TK 338</t>
  </si>
  <si>
    <t>Trích CP tieàn aên CBCNV vaøo CP</t>
  </si>
  <si>
    <t>Ghi nhaän laõi NH T7-10</t>
  </si>
  <si>
    <t>Coù TK 421( 515)</t>
  </si>
  <si>
    <t>Nôï TK 642</t>
  </si>
  <si>
    <t>Coù TK 338</t>
  </si>
  <si>
    <t>Huûy buùt toùan trích CP söûa chöûa VP</t>
  </si>
  <si>
    <t>Nôï TK 142</t>
  </si>
  <si>
    <t>Coù TK 136</t>
  </si>
  <si>
    <t>Nôï TK 136</t>
  </si>
  <si>
    <t>Coù TK 131</t>
  </si>
  <si>
    <t>Giaûm nôï phaûi traû cho Bình An do cty meï ñaõ chi hoä</t>
  </si>
  <si>
    <t>Giaûm nôï phaûi thu khaùch haøng Ngoâ Quyeàn do cty meï nhaän</t>
  </si>
  <si>
    <t>Buùt toaùn ñeàu chænh hôïp nhaát</t>
  </si>
  <si>
    <t>Caán tröø phaûi thu vaø phaûi traû noäi boä</t>
  </si>
  <si>
    <t xml:space="preserve">Nôï TK 3388 </t>
  </si>
  <si>
    <t>Giaûm voán cty meï ñaàu tö vaøo cty con do chöa goùp ñuû</t>
  </si>
  <si>
    <t>Nôï TK 411</t>
  </si>
  <si>
    <t>Caán tröø ñaàu tö vaøo cty con vaø voán CSH</t>
  </si>
  <si>
    <t>Caùc nghieäp vuï kinh teá phaùt sinh baèng ngoaïi teä ñöôïc qui ñoåi sang Vieät Nam ñoàng theo tyû giaù töông ñöông vôùi tyû giaù qui ñònh taïi thôøi ñieåm phaùt sinh nghieäp vuï. Caùc khoaûn muïc taøi saûn vaø coâng nôï coù goác ngoaïi teä, ñöôïc quy ñoåi sang VNÑ theo tyû giaù hoái ñoaùi cuûa ngaân haøng Ngoaïi Thöông taïi ngaøy keát thuùc nieân ñoä keá toaùn. Taát caû caùc khoaûn cheânh leäch tyû giaù chöa vaø ñaõ thöïc hieän ñöôïc keát chuyeån toaøn boä vaøo baùo caùo keát quaû hoaït ñoäng kinh doanh.</t>
  </si>
  <si>
    <t>Chi phí traû tröôùc daøi haïn phaûn aùnh chi phí voû bình gas thöïc teá ñaõ phaùt sinh, nhöng coù lieân quan tôùi hoaït ñoäng saûn xuaát kinh doanh cuûa nhieàu kyø keá toaùn neân chöa theå tính heát vaøo chi phí saûn xuaát kinh doanh trong kyø naøy maø ñöôïc phaân boå vaøo chi phí theo phöông phaùp ñöôøng thaúng trong thôøi gian 60 thaùng.</t>
  </si>
  <si>
    <t xml:space="preserve">Caùc Coâng ty ñöôïc xem laø coâng ty con cuûa coâng ty khi coâng ty naém quyeàn kieåm soaùt taïi caùc coâng ty naøy. Quyeàn kieåm soaùt ñöôïc xaùc laäp khi coâng ty naém giöõ treân 50% quyeàn bieåu quyeát ôû coâng ty con ñeå coù quyeàn kieåm soaùt caùc chính saùch taøi chính vaø caùc hoaït ñoäng cuûa caùc coâng ty ñoù. </t>
  </si>
  <si>
    <t>16.</t>
  </si>
  <si>
    <t>17.</t>
  </si>
  <si>
    <t>Baûng ñoái chieáu bieán ñoäng cuûa Voán chuû sôû höõu</t>
  </si>
  <si>
    <t>V.1</t>
  </si>
  <si>
    <t>V.2</t>
  </si>
  <si>
    <t>V.3</t>
  </si>
  <si>
    <t>V.4</t>
  </si>
  <si>
    <t>V.6</t>
  </si>
  <si>
    <t>V.5.1</t>
  </si>
  <si>
    <t>V.5.2</t>
  </si>
  <si>
    <t>V.7</t>
  </si>
  <si>
    <t>V.8</t>
  </si>
  <si>
    <t>V.9</t>
  </si>
  <si>
    <t>V.10</t>
  </si>
  <si>
    <t>V.11</t>
  </si>
  <si>
    <t>VI.1</t>
  </si>
  <si>
    <t>VI.3</t>
  </si>
  <si>
    <t>VI.2</t>
  </si>
  <si>
    <t>VI.4</t>
  </si>
  <si>
    <t>( * )</t>
  </si>
  <si>
    <t>VP</t>
  </si>
  <si>
    <t>Baùo caùo taøi chính hôïp nhaát cuûa coâng ty phaûn aùnh khoaûn goùp voán lieân doanh theo phöông phaùp voán chuû sôû höõu. Theo phöông phaùp naøy, caùc khoaûn voán goùp trong lieân doanh ñöôïc ghi nhaän ban ñaàu theo giaù goác, sau ñoù ñöôïc ñieàu chænh theo nhöõng thay ñoåi cuûa phaàn sôû höõu cuûa beân goùp voán lieân doanh trong taøi saûn thuaàn cuûa cô sôû kinh doanh ñöôïc ñoàng kieåm soaùt.</t>
  </si>
  <si>
    <t>Taøi saûn thöøa chôø xöû lyù</t>
  </si>
  <si>
    <t>Voán ñaàu tö  cuûa coâng ty meï</t>
  </si>
  <si>
    <t>Doanh thu</t>
  </si>
  <si>
    <t>VI</t>
  </si>
  <si>
    <t>271</t>
  </si>
  <si>
    <t>272</t>
  </si>
  <si>
    <t>278</t>
  </si>
  <si>
    <t>6.6</t>
  </si>
  <si>
    <t>V.5.3</t>
  </si>
  <si>
    <t>V.12</t>
  </si>
  <si>
    <t>V.13</t>
  </si>
  <si>
    <t>V</t>
  </si>
  <si>
    <t>(*)</t>
  </si>
  <si>
    <t>141</t>
  </si>
  <si>
    <t>149</t>
  </si>
  <si>
    <t>151</t>
  </si>
  <si>
    <t>158</t>
  </si>
  <si>
    <t>212</t>
  </si>
  <si>
    <t>213</t>
  </si>
  <si>
    <t>219</t>
  </si>
  <si>
    <t>223</t>
  </si>
  <si>
    <t>224</t>
  </si>
  <si>
    <t>225</t>
  </si>
  <si>
    <t>226</t>
  </si>
  <si>
    <t>Xe Toyota</t>
  </si>
  <si>
    <t>Giaù trò ghi soå cuûa taøi saûn thueá TNDN hoaõn laïi ñöôïc xem xeùt laïi vaøo ngaøy keát thuùc naêm taøi chính vaø seõ ñöôïc ghi giaûm ñeán möùc ñaûm baûo chaéc chaén coù ñuû lôïi nhuaän tính thueá cho pheùp lôïi ích cuûa moät phaàn hoaëc toaøn boä taøi saûn thueá thu nhaäp hoaõn laïi ñöôïc söû duïng.</t>
  </si>
  <si>
    <t>BÁO CÁO LƯU CHUYỂN TIỀN TỆ HỢP NHẤT</t>
  </si>
  <si>
    <t>I. LƯU CHUYỂN TIỀN TỪ HOẠT ĐỘNG KINH DOANH</t>
  </si>
  <si>
    <t>Lợi nhuận trước thuế</t>
  </si>
  <si>
    <t>Điều chỉnh cho các khoản</t>
  </si>
  <si>
    <t>- Khấu hao TSCĐ</t>
  </si>
  <si>
    <t>- Các khoản dự phòng</t>
  </si>
  <si>
    <t>- Lãi, lỗ chênh lệch tỷ giá hối đoái chưa thực hiện</t>
  </si>
  <si>
    <t>- Lãi, lỗ từ hoạt động đầu tư</t>
  </si>
  <si>
    <t>- Chi phí lãi vay</t>
  </si>
  <si>
    <t>Lợi nhuận từ hoạt động kinh doanh trước thay đổi vốn lưu động</t>
  </si>
  <si>
    <t>- Tăng, giảm các khoản phải thu</t>
  </si>
  <si>
    <t>- Tăng, giảm hàng tồn kho</t>
  </si>
  <si>
    <t>- Tăng, giảm các khoản phải trả ( không kể lãi vay phải trả, thuế thu nhập doanh nghiệp phải nộp)</t>
  </si>
  <si>
    <t>- Tăng, giảm chi phí trả trước</t>
  </si>
  <si>
    <t>- Tiền lãi vay đã trả</t>
  </si>
  <si>
    <t>- Thuế thu nhập doanh nghiệp đã nộp</t>
  </si>
  <si>
    <t>- Tiền thu khác từ hoạt đọâng kinh doanh</t>
  </si>
  <si>
    <t>- Tiền chi khác cho hoạt động kinh doanh</t>
  </si>
  <si>
    <t>Lưu chuyển tiền thuần từ hoạt động kinh doanh</t>
  </si>
  <si>
    <t xml:space="preserve">II. LƯU CHUYỂN TIỀN TỪ HOẠT ĐỘNG ĐẦU TƯ </t>
  </si>
  <si>
    <t>Tiền chi để mua sắm xây dựng TSCĐ và các TS dài hạn khác</t>
  </si>
  <si>
    <t>Tiền thu từ thanh lý, nhượng bán TSCĐ và các TS dài hạn khác</t>
  </si>
  <si>
    <t>Tiền chi cho vay, mua các công cụ nợ của các đơn vị khác</t>
  </si>
  <si>
    <t>Tiền thu hồi cho vay, bán các công cụ nợ của các đơn vị khác</t>
  </si>
  <si>
    <t>Tiền chi đầu tư góp vốn vào các đơn vị khác</t>
  </si>
  <si>
    <t>Tiền thu hồi đầu tư góp vốn vào các đơn vị khác</t>
  </si>
  <si>
    <t>Tiền thu lãi vay, cổ tức và lợi nhuận được chia</t>
  </si>
  <si>
    <t>Lưu chuyển tiền thuần từ hoạt động đầu tư</t>
  </si>
  <si>
    <t xml:space="preserve">III. LƯU CHUYỂN TIỀN TỪ HOẠT ĐỘNG TÀI CHÍNH </t>
  </si>
  <si>
    <t>Tiền thu từ phát hành cổ phiếu, nhận góp vốn của chủ sở hữu</t>
  </si>
  <si>
    <t>Tiền chi trả vốn góp cho các chủ sở hữu, mua lại cổ phần của DN</t>
  </si>
  <si>
    <t>Tiền vay ngắn hạn, dài hạn nhận được</t>
  </si>
  <si>
    <t>Tiền chi trả nợ gốc vay</t>
  </si>
  <si>
    <t>Tiền chi trả nợ thuê tài chính</t>
  </si>
  <si>
    <t>Cổ tức, lợi nhuận đã trả cho chủ sở hữu</t>
  </si>
  <si>
    <t>Lưu chuyển tiền thuần từ hoạt động tài chính</t>
  </si>
  <si>
    <t>Lưu chuyển tiền thuần trong kỳ</t>
  </si>
  <si>
    <t>Tiền tồn đầu kỳ</t>
  </si>
  <si>
    <t>Aûnh hưởng của thay đổi tỷ giá hối đoái quy đổi ngoại tệ</t>
  </si>
  <si>
    <t>Tiền tồn cuối kỳ</t>
  </si>
  <si>
    <t>Giảm giá hàng bán</t>
  </si>
  <si>
    <t>Giá trị hàng bán bị trả lại</t>
  </si>
  <si>
    <t>Thuế tiêu thụ đặc biệt, thuế xuất khẩu, thuế GTGT theo phương pháp trực tiếp phải nộp.</t>
  </si>
  <si>
    <t>Doanh thu thuần</t>
  </si>
  <si>
    <t>Giá vốn hàng bán</t>
  </si>
  <si>
    <t>Lợi nhuận gộp (20=10-11)</t>
  </si>
  <si>
    <t>Doanh thu hoạt động tài chính</t>
  </si>
  <si>
    <t>Chi phí tài chính</t>
  </si>
  <si>
    <t>Trong đó: lãi vay phải trả</t>
  </si>
  <si>
    <t>Chi phí bán hàng</t>
  </si>
  <si>
    <t>Chi phí quản lý doanh nghiệp</t>
  </si>
  <si>
    <t>Lợi nhuận từ hoạt động kinh doanh [30=20+(21-22)-(24+25)]</t>
  </si>
  <si>
    <t>Thu nhập khác</t>
  </si>
  <si>
    <t>Chi phí khác</t>
  </si>
  <si>
    <t>Lợi nhuận khác (33=31-32)</t>
  </si>
  <si>
    <t>Tổng lợi nhuận trước thuế (40=30+33)</t>
  </si>
  <si>
    <t>Thu nhập chịu thuế</t>
  </si>
  <si>
    <t>Phần lỗ được Nhà nước bù lỗ</t>
  </si>
  <si>
    <t xml:space="preserve">Chi phí Thuế thu nhập doanh nghiệp hiện hành </t>
  </si>
  <si>
    <t>Chi phí thuế thu nhập doanh nghiệp hoãn lại</t>
  </si>
  <si>
    <t>Lợi nhuận (lỗ) sau thuế TNDN (50=40-41)</t>
  </si>
  <si>
    <t>Lãi cơ bản trên cổ phiếu</t>
  </si>
  <si>
    <t>Baùo caùo taøi chính hôïp nhaát cuûa Taäp ñoaøn bao goàm caùc baùo caùo taøi chính cuûa Coâng ty vaø caùc Coâng ty con. Voán chuû sôû höõu vaø lôïi nhuaän thuaàn ñöôïc phaân phoái cho caùc chuû sôû höõu khoâng coù quyeàn kieåm soaùt, ñöôïc theå hieän rieâng bieät treân baûng caân ñoái keá toaùn vaø baùo caùo keát quaû hoaït ñoäng kinh doanh.</t>
  </si>
  <si>
    <t>227</t>
  </si>
  <si>
    <t>242</t>
  </si>
  <si>
    <t>251</t>
  </si>
  <si>
    <t>252</t>
  </si>
  <si>
    <t>258</t>
  </si>
  <si>
    <t>259</t>
  </si>
  <si>
    <t>260</t>
  </si>
  <si>
    <t>270</t>
  </si>
  <si>
    <t>312</t>
  </si>
  <si>
    <t>319</t>
  </si>
  <si>
    <t>417</t>
  </si>
  <si>
    <t>418</t>
  </si>
  <si>
    <t>419</t>
  </si>
  <si>
    <t>VIII.</t>
  </si>
  <si>
    <t>VII.</t>
  </si>
  <si>
    <t>V.</t>
  </si>
  <si>
    <t xml:space="preserve">Nguyeân taéc xaùc ñònh caùc khoaûn töông ñöông tieàn: caùc khoaûn ñaàu tö ngaén haïn coù thôøi haïn thu hoài hoaëc ñaùo haïn khoâng quaù 3 thaùng, coù khaû naêng chuyeån ñoåi deã daøng thaønh moät löôïng tieàn xaùc ñònh vaø khoâng coù nhieàu ruûi ro trong chuyeån ñoåi thaønh tieàn keå töø ngaøy mua khoaûn ñaàu tö ñoù taïi thôøi ñieåm baùo caùo. </t>
  </si>
  <si>
    <t>Nợ TK 214</t>
  </si>
  <si>
    <t>Coù TK 213</t>
  </si>
  <si>
    <t>Giaûm lôïi nhuaän coâng ty meï</t>
  </si>
  <si>
    <t>Giaûm haøng toàn kho coâng ty con</t>
  </si>
  <si>
    <t>Giaûm doanh thu noäi boä</t>
  </si>
  <si>
    <t>Giaûm giaù voán noäi boä</t>
  </si>
  <si>
    <t>Hôïp ñoàng xaây döïng quy ñònh nhaø thaàu ñöôïc thanh toaùn theo tieán ñoä keá hoaïch, khi keát quûa thöïc hieän hôïp ñoàng xaây döïng ñöôïc öôùc tính moät caùch ñaùng tin caäy, thì doanh thu vaø chi phí lieân quan ñeán hôïp ñoàng ñöôïc ghi nhaän töông öùng vôùi phaàn coâng vieäc ñaõ hoaøn thaønh do nhaø thaàu töï xaùc ñònh vaøo ngaøy laäp baùo caùo taøi chính maø khoâng phuï thuoäc vaøo hoaù ñôn thanh toaùn theo tieán ñoä keá hoaïch ñaõ laäp hay chöa vaø soá tieàn ghi treân hoaù ñôn laø bao nhieâu.</t>
  </si>
</sst>
</file>

<file path=xl/styles.xml><?xml version="1.0" encoding="utf-8"?>
<styleSheet xmlns="http://schemas.openxmlformats.org/spreadsheetml/2006/main">
  <numFmts count="7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_);_(* \(#,##0.0\);_(* &quot;-&quot;??_);_(@_)"/>
    <numFmt numFmtId="173" formatCode="_(* #,##0_);_(* \(#,##0\);_(* &quot;-&quot;??_);_(@_)"/>
    <numFmt numFmtId="174" formatCode="_(* #,##0.000_);_(* \(#,##0.000\);_(* &quot;-&quot;???_);_(@_)"/>
    <numFmt numFmtId="175" formatCode="_(* #,##0.000_);_(* \(#,##0.000\);_(* &quot;-&quot;??_);_(@_)"/>
    <numFmt numFmtId="176" formatCode="_(* #,##0.0000_);_(* \(#,##0.0000\);_(* &quot;-&quot;??_);_(@_)"/>
    <numFmt numFmtId="177" formatCode="_(* #.##0.0_);_(* \(#.##0.0\);_(* &quot;-&quot;??_);_(@_)"/>
    <numFmt numFmtId="178" formatCode="_(* #.##0._);_(* \(#.##0.\);_(* &quot;-&quot;??_);_(@_)"/>
    <numFmt numFmtId="179" formatCode="_(* #.##0.00_);_(* \(#.##0.00\);_(* &quot;-&quot;??_);_(@_)"/>
    <numFmt numFmtId="180" formatCode="_(* #,##0.0_);_(* \(#,##0.0\);_(* &quot;-&quot;_);_(@_)"/>
    <numFmt numFmtId="181" formatCode="_(* #,##0.00_);_(* \(#,##0.00\);_(* &quot;-&quot;_);_(@_)"/>
    <numFmt numFmtId="182" formatCode="[$-409]h:mm:ss\ AM/PM"/>
    <numFmt numFmtId="183" formatCode="\1"/>
    <numFmt numFmtId="184" formatCode="&quot;Yes&quot;;&quot;Yes&quot;;&quot;No&quot;"/>
    <numFmt numFmtId="185" formatCode="&quot;True&quot;;&quot;True&quot;;&quot;False&quot;"/>
    <numFmt numFmtId="186" formatCode="&quot;On&quot;;&quot;On&quot;;&quot;Off&quot;"/>
    <numFmt numFmtId="187" formatCode="[$€-2]\ #,##0.00_);[Red]\([$€-2]\ #,##0.00\)"/>
    <numFmt numFmtId="188" formatCode="d/mm/yyyy"/>
    <numFmt numFmtId="189" formatCode="_(* #,##0.00000_);_(* \(#,##0.00000\);_(* &quot;-&quot;??_);_(@_)"/>
    <numFmt numFmtId="190" formatCode="_(* #,##0.000000_);_(* \(#,##0.000000\);_(* &quot;-&quot;??_);_(@_)"/>
    <numFmt numFmtId="191" formatCode="_(* #,##0.0000000_);_(* \(#,##0.0000000\);_(* &quot;-&quot;??_);_(@_)"/>
    <numFmt numFmtId="192" formatCode="_(* #,##0.00000000_);_(* \(#,##0.00000000\);_(* &quot;-&quot;??_);_(@_)"/>
    <numFmt numFmtId="193" formatCode="mm/yyyy"/>
    <numFmt numFmtId="194" formatCode="_-&quot;$&quot;* #,##0_-;\-&quot;$&quot;* #,##0_-;_-&quot;$&quot;* &quot;-&quot;_-;_-@_-"/>
    <numFmt numFmtId="195" formatCode="_-* #,##0_-;\-* #,##0_-;_-* &quot;-&quot;_-;_-@_-"/>
    <numFmt numFmtId="196" formatCode="_-&quot;$&quot;* #,##0.00_-;\-&quot;$&quot;* #,##0.00_-;_-&quot;$&quot;* &quot;-&quot;??_-;_-@_-"/>
    <numFmt numFmtId="197" formatCode="_-* #,##0.00_-;\-* #,##0.00_-;_-* &quot;-&quot;??_-;_-@_-"/>
    <numFmt numFmtId="198" formatCode="d"/>
    <numFmt numFmtId="199" formatCode="mmm"/>
    <numFmt numFmtId="200" formatCode="_ &quot;R&quot;\ * #,##0_ ;_ &quot;R&quot;\ * \-#,##0_ ;_ &quot;R&quot;\ * &quot;-&quot;_ ;_ @_ "/>
    <numFmt numFmtId="201" formatCode="&quot;\&quot;#,##0;[Red]&quot;\&quot;\-#,##0"/>
    <numFmt numFmtId="202" formatCode="&quot;\&quot;#,##0.00;[Red]&quot;\&quot;\-#,##0.00"/>
    <numFmt numFmtId="203" formatCode="\$#,##0\ ;\(\$#,##0\)"/>
    <numFmt numFmtId="204" formatCode="&quot;\&quot;#,##0;[Red]&quot;\&quot;&quot;\&quot;\-#,##0"/>
    <numFmt numFmtId="205" formatCode="&quot;\&quot;#,##0.00;[Red]&quot;\&quot;&quot;\&quot;&quot;\&quot;&quot;\&quot;&quot;\&quot;&quot;\&quot;\-#,##0.00"/>
    <numFmt numFmtId="206" formatCode="0.0%"/>
    <numFmt numFmtId="207" formatCode="0.000%"/>
    <numFmt numFmtId="208" formatCode="0.000"/>
    <numFmt numFmtId="209" formatCode="\$#,##0_);\(\$#,##0\)"/>
    <numFmt numFmtId="210" formatCode="\$#,##0_);[Red]\(\$#,##0\)"/>
    <numFmt numFmtId="211" formatCode="\$#,##0.00_);\(\$#,##0.00\)"/>
    <numFmt numFmtId="212" formatCode="\$#,##0.00_);[Red]\(\$#,##0.00\)"/>
    <numFmt numFmtId="213" formatCode="0.00_);\(0.00\)"/>
    <numFmt numFmtId="214" formatCode="00000"/>
    <numFmt numFmtId="215" formatCode="0.0"/>
    <numFmt numFmtId="216" formatCode="[$-409]dddd\,\ mmmm\ dd\,\ yyyy"/>
    <numFmt numFmtId="217" formatCode="dd\-mm\-yy"/>
    <numFmt numFmtId="218" formatCode="mm/dd/yy"/>
    <numFmt numFmtId="219" formatCode="d\-mmm\-yyyy"/>
    <numFmt numFmtId="220" formatCode="mmm\-yyyy"/>
    <numFmt numFmtId="221" formatCode="dd\-mm\-yyyy"/>
    <numFmt numFmtId="222" formatCode="mm/yy"/>
    <numFmt numFmtId="223" formatCode="mmyy"/>
    <numFmt numFmtId="224" formatCode="*/*/mmyy"/>
    <numFmt numFmtId="225" formatCode="mm/dd/yyyy"/>
    <numFmt numFmtId="226" formatCode="_-* #,##0_-;\-* #,##0_-;_-* &quot;-&quot;??_-;_-@_-"/>
    <numFmt numFmtId="227" formatCode="[$-80C]dddd\ d\ mmmm\ yyyy"/>
  </numFmts>
  <fonts count="61">
    <font>
      <sz val="10"/>
      <name val="VNI-Times"/>
      <family val="0"/>
    </font>
    <font>
      <sz val="10"/>
      <name val="MS Sans Serif"/>
      <family val="0"/>
    </font>
    <font>
      <sz val="10"/>
      <name val="Arial"/>
      <family val="0"/>
    </font>
    <font>
      <u val="single"/>
      <sz val="10"/>
      <color indexed="12"/>
      <name val="VNI-Times"/>
      <family val="0"/>
    </font>
    <font>
      <u val="single"/>
      <sz val="10"/>
      <color indexed="36"/>
      <name val="VNI-Times"/>
      <family val="0"/>
    </font>
    <font>
      <sz val="8"/>
      <name val="Tahoma"/>
      <family val="0"/>
    </font>
    <font>
      <b/>
      <sz val="8"/>
      <name val="Tahoma"/>
      <family val="0"/>
    </font>
    <font>
      <b/>
      <sz val="10"/>
      <name val="VNI-Helve-Condense"/>
      <family val="0"/>
    </font>
    <font>
      <sz val="10"/>
      <name val="VNI-Helve-Condense"/>
      <family val="0"/>
    </font>
    <font>
      <sz val="14"/>
      <name val="??"/>
      <family val="3"/>
    </font>
    <font>
      <sz val="10"/>
      <name val="???"/>
      <family val="3"/>
    </font>
    <font>
      <sz val="8"/>
      <name val="Times New Roman"/>
      <family val="1"/>
    </font>
    <font>
      <sz val="10"/>
      <name val="MS Serif"/>
      <family val="1"/>
    </font>
    <font>
      <sz val="10"/>
      <name val="Courier"/>
      <family val="3"/>
    </font>
    <font>
      <sz val="10"/>
      <color indexed="16"/>
      <name val="MS Serif"/>
      <family val="1"/>
    </font>
    <font>
      <sz val="8"/>
      <name val="Arial"/>
      <family val="2"/>
    </font>
    <font>
      <b/>
      <sz val="12"/>
      <name val="Arial"/>
      <family val="2"/>
    </font>
    <font>
      <b/>
      <sz val="18"/>
      <name val="Arial"/>
      <family val="2"/>
    </font>
    <font>
      <sz val="10"/>
      <name val="Tms Rmn"/>
      <family val="1"/>
    </font>
    <font>
      <b/>
      <sz val="10"/>
      <name val="Arial"/>
      <family val="0"/>
    </font>
    <font>
      <b/>
      <sz val="8"/>
      <color indexed="8"/>
      <name val="Helv"/>
      <family val="2"/>
    </font>
    <font>
      <sz val="14"/>
      <name val="뼻뮝"/>
      <family val="3"/>
    </font>
    <font>
      <sz val="12"/>
      <name val="뼻뮝"/>
      <family val="1"/>
    </font>
    <font>
      <sz val="12"/>
      <name val="바탕체"/>
      <family val="1"/>
    </font>
    <font>
      <sz val="10"/>
      <name val="굴림체"/>
      <family val="3"/>
    </font>
    <font>
      <b/>
      <sz val="11"/>
      <name val="VNI-Helve-Condense"/>
      <family val="0"/>
    </font>
    <font>
      <sz val="11"/>
      <name val="VNI-Helve-Condense"/>
      <family val="0"/>
    </font>
    <font>
      <b/>
      <sz val="14"/>
      <name val="VNI-Helve-Condense"/>
      <family val="0"/>
    </font>
    <font>
      <b/>
      <i/>
      <sz val="10"/>
      <name val="VNI-Helve-Condense"/>
      <family val="0"/>
    </font>
    <font>
      <sz val="10"/>
      <color indexed="12"/>
      <name val="VNI-Helve-Condense"/>
      <family val="0"/>
    </font>
    <font>
      <sz val="10"/>
      <color indexed="10"/>
      <name val="VNI-Helve-Condense"/>
      <family val="0"/>
    </font>
    <font>
      <sz val="10"/>
      <color indexed="9"/>
      <name val="VNI-Helve-Condense"/>
      <family val="0"/>
    </font>
    <font>
      <b/>
      <sz val="10.5"/>
      <name val="VNI-Times"/>
      <family val="0"/>
    </font>
    <font>
      <sz val="10.5"/>
      <name val="VNI-Times"/>
      <family val="0"/>
    </font>
    <font>
      <b/>
      <sz val="10.5"/>
      <color indexed="10"/>
      <name val="VNI-Times"/>
      <family val="0"/>
    </font>
    <font>
      <i/>
      <sz val="10.5"/>
      <name val="VNI-Times"/>
      <family val="0"/>
    </font>
    <font>
      <b/>
      <i/>
      <sz val="10.5"/>
      <name val="VNI-Times"/>
      <family val="0"/>
    </font>
    <font>
      <b/>
      <i/>
      <u val="single"/>
      <sz val="10.5"/>
      <name val="VNI-Times"/>
      <family val="0"/>
    </font>
    <font>
      <sz val="10.5"/>
      <color indexed="10"/>
      <name val="VNI-Times"/>
      <family val="0"/>
    </font>
    <font>
      <b/>
      <i/>
      <sz val="10.5"/>
      <color indexed="10"/>
      <name val="VNI-Times"/>
      <family val="0"/>
    </font>
    <font>
      <i/>
      <sz val="10.5"/>
      <color indexed="10"/>
      <name val="VNI-Times"/>
      <family val="0"/>
    </font>
    <font>
      <i/>
      <u val="single"/>
      <sz val="10.5"/>
      <name val="VNI-Times"/>
      <family val="0"/>
    </font>
    <font>
      <b/>
      <i/>
      <u val="singleAccounting"/>
      <sz val="10.5"/>
      <name val="VNI-Times"/>
      <family val="0"/>
    </font>
    <font>
      <b/>
      <sz val="10"/>
      <name val="Helv"/>
      <family val="0"/>
    </font>
    <font>
      <b/>
      <sz val="12"/>
      <name val="Helv"/>
      <family val="0"/>
    </font>
    <font>
      <b/>
      <sz val="11"/>
      <name val="Helv"/>
      <family val="0"/>
    </font>
    <font>
      <sz val="12"/>
      <name val="新細明體"/>
      <family val="0"/>
    </font>
    <font>
      <b/>
      <sz val="11"/>
      <name val="VNI-Times"/>
      <family val="0"/>
    </font>
    <font>
      <sz val="11"/>
      <name val="VNI-Times"/>
      <family val="0"/>
    </font>
    <font>
      <sz val="11"/>
      <name val="Times New Roman"/>
      <family val="1"/>
    </font>
    <font>
      <sz val="11"/>
      <color indexed="8"/>
      <name val="Times New Roman"/>
      <family val="1"/>
    </font>
    <font>
      <b/>
      <sz val="10.5"/>
      <color indexed="9"/>
      <name val="VNI-Times"/>
      <family val="0"/>
    </font>
    <font>
      <sz val="10.5"/>
      <color indexed="9"/>
      <name val="VNI-Times"/>
      <family val="0"/>
    </font>
    <font>
      <b/>
      <sz val="10.5"/>
      <name val="Times New Roman"/>
      <family val="1"/>
    </font>
    <font>
      <sz val="10.5"/>
      <name val="Times New Roman"/>
      <family val="1"/>
    </font>
    <font>
      <i/>
      <sz val="10.5"/>
      <name val="Times New Roman"/>
      <family val="1"/>
    </font>
    <font>
      <b/>
      <i/>
      <sz val="10.5"/>
      <name val="Times New Roman"/>
      <family val="1"/>
    </font>
    <font>
      <b/>
      <i/>
      <u val="single"/>
      <sz val="10.5"/>
      <name val="Times New Roman"/>
      <family val="1"/>
    </font>
    <font>
      <sz val="10.5"/>
      <color indexed="10"/>
      <name val="Times New Roman"/>
      <family val="1"/>
    </font>
    <font>
      <b/>
      <i/>
      <sz val="10.5"/>
      <color indexed="10"/>
      <name val="Times New Roman"/>
      <family val="1"/>
    </font>
    <font>
      <b/>
      <sz val="8"/>
      <name val="VNI-Times"/>
      <family val="2"/>
    </font>
  </fonts>
  <fills count="7">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solid">
        <fgColor indexed="13"/>
        <bgColor indexed="64"/>
      </patternFill>
    </fill>
  </fills>
  <borders count="70">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double"/>
      <bottom>
        <color indexed="63"/>
      </bottom>
    </border>
    <border>
      <left style="thin"/>
      <right>
        <color indexed="63"/>
      </right>
      <top style="thin"/>
      <bottom style="hair"/>
    </border>
    <border>
      <left>
        <color indexed="63"/>
      </left>
      <right>
        <color indexed="63"/>
      </right>
      <top style="thin"/>
      <bottom style="hair"/>
    </border>
    <border>
      <left style="thin"/>
      <right style="thin"/>
      <top style="thin"/>
      <bottom style="hair"/>
    </border>
    <border>
      <left style="thin"/>
      <right>
        <color indexed="63"/>
      </right>
      <top style="hair"/>
      <bottom style="hair"/>
    </border>
    <border>
      <left>
        <color indexed="63"/>
      </left>
      <right>
        <color indexed="63"/>
      </right>
      <top style="hair"/>
      <bottom style="hair"/>
    </border>
    <border>
      <left style="thin"/>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dotted">
        <color indexed="22"/>
      </bottom>
    </border>
    <border>
      <left>
        <color indexed="63"/>
      </left>
      <right>
        <color indexed="63"/>
      </right>
      <top style="thin"/>
      <bottom style="dotted">
        <color indexed="22"/>
      </bottom>
    </border>
    <border>
      <left>
        <color indexed="63"/>
      </left>
      <right style="thin"/>
      <top style="thin"/>
      <bottom style="dotted">
        <color indexed="22"/>
      </bottom>
    </border>
    <border>
      <left style="thin"/>
      <right style="thin"/>
      <top style="thin"/>
      <bottom style="dotted">
        <color indexed="22"/>
      </bottom>
    </border>
    <border>
      <left style="thin"/>
      <right>
        <color indexed="63"/>
      </right>
      <top style="dotted">
        <color indexed="22"/>
      </top>
      <bottom style="thin"/>
    </border>
    <border>
      <left>
        <color indexed="63"/>
      </left>
      <right>
        <color indexed="63"/>
      </right>
      <top style="dotted">
        <color indexed="22"/>
      </top>
      <bottom style="thin"/>
    </border>
    <border>
      <left>
        <color indexed="63"/>
      </left>
      <right style="thin"/>
      <top style="dotted">
        <color indexed="22"/>
      </top>
      <bottom style="thin"/>
    </border>
    <border>
      <left style="thin"/>
      <right style="thin"/>
      <top style="dotted">
        <color indexed="22"/>
      </top>
      <bottom style="thin"/>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style="double"/>
      <top>
        <color indexed="63"/>
      </top>
      <bottom>
        <color indexed="63"/>
      </bottom>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style="double"/>
      <right>
        <color indexed="63"/>
      </right>
      <top>
        <color indexed="63"/>
      </top>
      <bottom style="thin"/>
    </border>
    <border>
      <left>
        <color indexed="63"/>
      </left>
      <right style="thin"/>
      <top>
        <color indexed="63"/>
      </top>
      <bottom style="thin"/>
    </border>
    <border>
      <left style="thin"/>
      <right style="double"/>
      <top>
        <color indexed="63"/>
      </top>
      <bottom style="thin"/>
    </border>
    <border>
      <left>
        <color indexed="63"/>
      </left>
      <right>
        <color indexed="63"/>
      </right>
      <top>
        <color indexed="63"/>
      </top>
      <bottom style="double"/>
    </border>
    <border>
      <left style="thin"/>
      <right style="thin"/>
      <top style="double"/>
      <bottom style="thin"/>
    </border>
    <border>
      <left style="thin"/>
      <right style="double"/>
      <top style="double"/>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
      <left>
        <color indexed="63"/>
      </left>
      <right style="double"/>
      <top>
        <color indexed="63"/>
      </top>
      <bottom>
        <color indexed="63"/>
      </bottom>
    </border>
    <border>
      <left>
        <color indexed="63"/>
      </left>
      <right style="double"/>
      <top style="thin"/>
      <bottom style="double"/>
    </border>
    <border>
      <left style="double"/>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thin"/>
      <right style="double"/>
      <top>
        <color indexed="63"/>
      </top>
      <bottom style="double"/>
    </border>
    <border>
      <left style="thin"/>
      <right>
        <color indexed="63"/>
      </right>
      <top style="double"/>
      <bottom style="thin"/>
    </border>
    <border>
      <left style="thin"/>
      <right>
        <color indexed="63"/>
      </right>
      <top>
        <color indexed="63"/>
      </top>
      <bottom>
        <color indexed="63"/>
      </bottom>
    </border>
    <border>
      <left style="thin"/>
      <right>
        <color indexed="63"/>
      </right>
      <top>
        <color indexed="63"/>
      </top>
      <bottom style="double"/>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double"/>
      <top>
        <color indexed="63"/>
      </top>
      <bottom style="double"/>
    </border>
    <border>
      <left>
        <color indexed="63"/>
      </left>
      <right style="hair"/>
      <top>
        <color indexed="63"/>
      </top>
      <bottom style="double"/>
    </border>
    <border>
      <left style="double"/>
      <right>
        <color indexed="63"/>
      </right>
      <top style="double"/>
      <bottom>
        <color indexed="63"/>
      </bottom>
    </border>
    <border>
      <left style="hair"/>
      <right style="hair"/>
      <top style="double"/>
      <bottom>
        <color indexed="63"/>
      </bottom>
    </border>
    <border>
      <left>
        <color indexed="63"/>
      </left>
      <right style="hair"/>
      <top style="double"/>
      <bottom>
        <color indexed="63"/>
      </bottom>
    </border>
    <border>
      <left>
        <color indexed="63"/>
      </left>
      <right style="double"/>
      <top style="double"/>
      <bottom>
        <color indexed="63"/>
      </bottom>
    </border>
    <border>
      <left style="hair"/>
      <right style="hair"/>
      <top>
        <color indexed="63"/>
      </top>
      <bottom style="double"/>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s>
  <cellStyleXfs count="82">
    <xf numFmtId="0" fontId="0" fillId="0" borderId="0">
      <alignment/>
      <protection/>
    </xf>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44" fontId="2" fillId="0" borderId="0" applyFont="0" applyFill="0" applyBorder="0" applyAlignment="0" applyProtection="0"/>
    <xf numFmtId="194" fontId="2" fillId="0" borderId="0" applyFont="0" applyFill="0" applyBorder="0" applyAlignment="0" applyProtection="0"/>
    <xf numFmtId="40" fontId="9" fillId="0" borderId="0" applyFont="0" applyFill="0" applyBorder="0" applyAlignment="0" applyProtection="0"/>
    <xf numFmtId="38" fontId="9" fillId="0" borderId="0" applyFont="0" applyFill="0" applyBorder="0" applyAlignment="0" applyProtection="0"/>
    <xf numFmtId="10" fontId="2" fillId="0" borderId="0" applyFont="0" applyFill="0" applyBorder="0" applyAlignment="0" applyProtection="0"/>
    <xf numFmtId="0" fontId="10" fillId="0" borderId="0">
      <alignment/>
      <protection/>
    </xf>
    <xf numFmtId="0" fontId="11" fillId="0" borderId="0">
      <alignment horizontal="center" wrapText="1"/>
      <protection locked="0"/>
    </xf>
    <xf numFmtId="199" fontId="2" fillId="0" borderId="0" applyFill="0" applyBorder="0" applyAlignment="0">
      <protection/>
    </xf>
    <xf numFmtId="0" fontId="43" fillId="0" borderId="0">
      <alignment/>
      <protection/>
    </xf>
    <xf numFmtId="43" fontId="0" fillId="0" borderId="0" applyFont="0" applyFill="0" applyBorder="0" applyAlignment="0" applyProtection="0"/>
    <xf numFmtId="41" fontId="0" fillId="0" borderId="0" applyFont="0" applyFill="0" applyBorder="0" applyAlignment="0" applyProtection="0"/>
    <xf numFmtId="3" fontId="2" fillId="0" borderId="0" applyFont="0" applyFill="0" applyBorder="0" applyAlignment="0" applyProtection="0"/>
    <xf numFmtId="0" fontId="12" fillId="0" borderId="0" applyNumberFormat="0" applyAlignment="0">
      <protection/>
    </xf>
    <xf numFmtId="0" fontId="13" fillId="0" borderId="0" applyNumberFormat="0" applyAlignment="0">
      <protection/>
    </xf>
    <xf numFmtId="44" fontId="0" fillId="0" borderId="0" applyFont="0" applyFill="0" applyBorder="0" applyAlignment="0" applyProtection="0"/>
    <xf numFmtId="42" fontId="0"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14" fillId="0" borderId="0" applyNumberFormat="0" applyAlignment="0">
      <protection/>
    </xf>
    <xf numFmtId="2" fontId="2" fillId="0" borderId="0" applyFont="0" applyFill="0" applyBorder="0" applyAlignment="0" applyProtection="0"/>
    <xf numFmtId="0" fontId="4" fillId="0" borderId="0" applyNumberFormat="0" applyFill="0" applyBorder="0" applyAlignment="0" applyProtection="0"/>
    <xf numFmtId="38" fontId="15" fillId="2" borderId="0" applyNumberFormat="0" applyBorder="0" applyAlignment="0" applyProtection="0"/>
    <xf numFmtId="0" fontId="44" fillId="0" borderId="0">
      <alignment horizontal="left"/>
      <protection/>
    </xf>
    <xf numFmtId="0" fontId="16" fillId="0" borderId="1" applyNumberFormat="0" applyAlignment="0" applyProtection="0"/>
    <xf numFmtId="0" fontId="16" fillId="0" borderId="2">
      <alignment horizontal="left" vertical="center"/>
      <protection/>
    </xf>
    <xf numFmtId="0" fontId="17"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10" fontId="15" fillId="3" borderId="3" applyNumberFormat="0" applyBorder="0" applyAlignment="0" applyProtection="0"/>
    <xf numFmtId="200" fontId="2" fillId="4" borderId="0">
      <alignment/>
      <protection/>
    </xf>
    <xf numFmtId="200" fontId="2" fillId="5" borderId="0">
      <alignment/>
      <protection/>
    </xf>
    <xf numFmtId="195" fontId="2" fillId="0" borderId="0" applyFont="0" applyFill="0" applyBorder="0" applyAlignment="0" applyProtection="0"/>
    <xf numFmtId="197" fontId="2" fillId="0" borderId="0" applyFont="0" applyFill="0" applyBorder="0" applyAlignment="0" applyProtection="0"/>
    <xf numFmtId="0" fontId="45" fillId="0" borderId="4">
      <alignment/>
      <protection/>
    </xf>
    <xf numFmtId="194" fontId="2" fillId="0" borderId="0" applyFont="0" applyFill="0" applyBorder="0" applyAlignment="0" applyProtection="0"/>
    <xf numFmtId="196"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1" fillId="0" borderId="0">
      <alignment/>
      <protection/>
    </xf>
    <xf numFmtId="14" fontId="11" fillId="0" borderId="0">
      <alignment horizontal="center" wrapText="1"/>
      <protection locked="0"/>
    </xf>
    <xf numFmtId="9" fontId="0" fillId="0" borderId="0" applyFont="0" applyFill="0" applyBorder="0" applyAlignment="0" applyProtection="0"/>
    <xf numFmtId="10" fontId="2" fillId="0" borderId="0" applyFont="0" applyFill="0" applyBorder="0" applyAlignment="0" applyProtection="0"/>
    <xf numFmtId="9" fontId="1" fillId="0" borderId="5" applyNumberFormat="0" applyBorder="0">
      <alignment/>
      <protection/>
    </xf>
    <xf numFmtId="5" fontId="18" fillId="0" borderId="0">
      <alignment/>
      <protection/>
    </xf>
    <xf numFmtId="0" fontId="1" fillId="0" borderId="0" applyNumberFormat="0" applyFont="0" applyFill="0" applyBorder="0" applyAlignment="0" applyProtection="0"/>
    <xf numFmtId="198" fontId="2" fillId="0" borderId="0" applyNumberFormat="0" applyFill="0" applyBorder="0" applyAlignment="0" applyProtection="0"/>
    <xf numFmtId="0" fontId="45" fillId="0" borderId="0">
      <alignment/>
      <protection/>
    </xf>
    <xf numFmtId="40" fontId="20" fillId="0" borderId="0" applyBorder="0">
      <alignment horizontal="right"/>
      <protection/>
    </xf>
    <xf numFmtId="0" fontId="2" fillId="0" borderId="6" applyNumberFormat="0" applyFont="0" applyFill="0" applyAlignment="0" applyProtection="0"/>
    <xf numFmtId="40" fontId="21" fillId="0" borderId="0" applyFont="0" applyFill="0" applyBorder="0" applyAlignment="0" applyProtection="0"/>
    <xf numFmtId="38"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9" fontId="23" fillId="0" borderId="0" applyFont="0" applyFill="0" applyBorder="0" applyAlignment="0" applyProtection="0"/>
    <xf numFmtId="0" fontId="22" fillId="0" borderId="0">
      <alignment/>
      <protection/>
    </xf>
    <xf numFmtId="0" fontId="46" fillId="0" borderId="0">
      <alignment/>
      <protection/>
    </xf>
    <xf numFmtId="195" fontId="46" fillId="0" borderId="0" applyFont="0" applyFill="0" applyBorder="0" applyAlignment="0" applyProtection="0"/>
    <xf numFmtId="197" fontId="46" fillId="0" borderId="0" applyFont="0" applyFill="0" applyBorder="0" applyAlignment="0" applyProtection="0"/>
    <xf numFmtId="204" fontId="2" fillId="0" borderId="0" applyFont="0" applyFill="0" applyBorder="0" applyAlignment="0" applyProtection="0"/>
    <xf numFmtId="205" fontId="2" fillId="0" borderId="0" applyFont="0" applyFill="0" applyBorder="0" applyAlignment="0" applyProtection="0"/>
    <xf numFmtId="202" fontId="23" fillId="0" borderId="0" applyFont="0" applyFill="0" applyBorder="0" applyAlignment="0" applyProtection="0"/>
    <xf numFmtId="201" fontId="23" fillId="0" borderId="0" applyFont="0" applyFill="0" applyBorder="0" applyAlignment="0" applyProtection="0"/>
    <xf numFmtId="0" fontId="24" fillId="0" borderId="0">
      <alignment/>
      <protection/>
    </xf>
    <xf numFmtId="194" fontId="46" fillId="0" borderId="0" applyFont="0" applyFill="0" applyBorder="0" applyAlignment="0" applyProtection="0"/>
    <xf numFmtId="196" fontId="46" fillId="0" borderId="0" applyFont="0" applyFill="0" applyBorder="0" applyAlignment="0" applyProtection="0"/>
  </cellStyleXfs>
  <cellXfs count="929">
    <xf numFmtId="0" fontId="0" fillId="0" borderId="0" xfId="0" applyAlignment="1">
      <alignment/>
    </xf>
    <xf numFmtId="0" fontId="25" fillId="0" borderId="7" xfId="53" applyFont="1" applyFill="1" applyBorder="1" applyAlignment="1">
      <alignment vertical="center"/>
      <protection/>
    </xf>
    <xf numFmtId="0" fontId="25" fillId="0" borderId="8" xfId="53" applyFont="1" applyFill="1" applyBorder="1" applyAlignment="1">
      <alignment horizontal="center" vertical="center"/>
      <protection/>
    </xf>
    <xf numFmtId="0" fontId="26" fillId="0" borderId="8" xfId="53" applyFont="1" applyFill="1" applyBorder="1" applyAlignment="1">
      <alignment vertical="center"/>
      <protection/>
    </xf>
    <xf numFmtId="43" fontId="25" fillId="0" borderId="7" xfId="25" applyFont="1" applyFill="1" applyBorder="1" applyAlignment="1">
      <alignment vertical="center"/>
    </xf>
    <xf numFmtId="43" fontId="26" fillId="0" borderId="8" xfId="25" applyFont="1" applyFill="1" applyBorder="1" applyAlignment="1">
      <alignment vertical="center"/>
    </xf>
    <xf numFmtId="43" fontId="25" fillId="0" borderId="8" xfId="25" applyFont="1" applyFill="1" applyBorder="1" applyAlignment="1">
      <alignment horizontal="left" vertical="center"/>
    </xf>
    <xf numFmtId="43" fontId="25" fillId="0" borderId="9" xfId="25" applyFont="1" applyFill="1" applyBorder="1" applyAlignment="1">
      <alignment vertical="center"/>
    </xf>
    <xf numFmtId="0" fontId="26" fillId="0" borderId="0" xfId="53" applyFont="1" applyFill="1" applyAlignment="1">
      <alignment vertical="center"/>
      <protection/>
    </xf>
    <xf numFmtId="0" fontId="25" fillId="0" borderId="10" xfId="53" applyFont="1" applyFill="1" applyBorder="1" applyAlignment="1">
      <alignment vertical="center"/>
      <protection/>
    </xf>
    <xf numFmtId="0" fontId="25" fillId="0" borderId="11" xfId="53" applyFont="1" applyFill="1" applyBorder="1" applyAlignment="1">
      <alignment horizontal="center" vertical="center"/>
      <protection/>
    </xf>
    <xf numFmtId="0" fontId="26" fillId="0" borderId="11" xfId="53" applyFont="1" applyFill="1" applyBorder="1" applyAlignment="1">
      <alignment vertical="center"/>
      <protection/>
    </xf>
    <xf numFmtId="43" fontId="25" fillId="0" borderId="10" xfId="25" applyFont="1" applyFill="1" applyBorder="1" applyAlignment="1">
      <alignment vertical="center"/>
    </xf>
    <xf numFmtId="43" fontId="25" fillId="0" borderId="11" xfId="25" applyFont="1" applyFill="1" applyBorder="1" applyAlignment="1">
      <alignment horizontal="center" vertical="center"/>
    </xf>
    <xf numFmtId="14" fontId="25" fillId="0" borderId="11" xfId="25" applyNumberFormat="1" applyFont="1" applyFill="1" applyBorder="1" applyAlignment="1">
      <alignment horizontal="left" vertical="center"/>
    </xf>
    <xf numFmtId="43" fontId="25" fillId="0" borderId="12" xfId="25" applyFont="1" applyFill="1" applyBorder="1" applyAlignment="1">
      <alignment vertical="center"/>
    </xf>
    <xf numFmtId="0" fontId="25" fillId="0" borderId="13" xfId="53" applyFont="1" applyFill="1" applyBorder="1" applyAlignment="1">
      <alignment vertical="center"/>
      <protection/>
    </xf>
    <xf numFmtId="0" fontId="25" fillId="0" borderId="14" xfId="53" applyFont="1" applyFill="1" applyBorder="1" applyAlignment="1">
      <alignment horizontal="center" vertical="center"/>
      <protection/>
    </xf>
    <xf numFmtId="0" fontId="26" fillId="0" borderId="14" xfId="53" applyFont="1" applyFill="1" applyBorder="1" applyAlignment="1">
      <alignment vertical="center"/>
      <protection/>
    </xf>
    <xf numFmtId="0" fontId="26" fillId="0" borderId="15" xfId="53" applyFont="1" applyFill="1" applyBorder="1" applyAlignment="1">
      <alignment vertical="center"/>
      <protection/>
    </xf>
    <xf numFmtId="43" fontId="25" fillId="0" borderId="13" xfId="25" applyFont="1" applyFill="1" applyBorder="1" applyAlignment="1">
      <alignment vertical="center"/>
    </xf>
    <xf numFmtId="43" fontId="26" fillId="0" borderId="14" xfId="25" applyFont="1" applyFill="1" applyBorder="1" applyAlignment="1">
      <alignment vertical="center"/>
    </xf>
    <xf numFmtId="43" fontId="25" fillId="0" borderId="14" xfId="25" applyFont="1" applyFill="1" applyBorder="1" applyAlignment="1">
      <alignment vertical="center"/>
    </xf>
    <xf numFmtId="43" fontId="26" fillId="0" borderId="16" xfId="25" applyFont="1" applyFill="1" applyBorder="1" applyAlignment="1">
      <alignment vertical="center"/>
    </xf>
    <xf numFmtId="0" fontId="7" fillId="0" borderId="0" xfId="53" applyFont="1" applyFill="1" applyBorder="1" applyAlignment="1">
      <alignment vertical="center"/>
      <protection/>
    </xf>
    <xf numFmtId="0" fontId="7" fillId="0" borderId="0" xfId="53" applyFont="1" applyFill="1" applyBorder="1" applyAlignment="1">
      <alignment horizontal="center" vertical="center"/>
      <protection/>
    </xf>
    <xf numFmtId="0" fontId="8" fillId="0" borderId="0" xfId="53" applyFont="1" applyFill="1" applyBorder="1" applyAlignment="1">
      <alignment vertical="center"/>
      <protection/>
    </xf>
    <xf numFmtId="43" fontId="7" fillId="0" borderId="0" xfId="25" applyFont="1" applyFill="1" applyBorder="1" applyAlignment="1">
      <alignment vertical="center"/>
    </xf>
    <xf numFmtId="43" fontId="8" fillId="0" borderId="0" xfId="25" applyFont="1" applyFill="1" applyBorder="1" applyAlignment="1">
      <alignment vertical="center"/>
    </xf>
    <xf numFmtId="0" fontId="8" fillId="0" borderId="0" xfId="53" applyFont="1" applyFill="1" applyAlignment="1">
      <alignment vertical="center"/>
      <protection/>
    </xf>
    <xf numFmtId="43" fontId="27" fillId="0" borderId="0" xfId="25" applyFont="1" applyFill="1" applyBorder="1" applyAlignment="1">
      <alignment horizontal="center" vertical="center"/>
    </xf>
    <xf numFmtId="43" fontId="27" fillId="0" borderId="17" xfId="25" applyFont="1" applyFill="1" applyBorder="1" applyAlignment="1">
      <alignment horizontal="center" vertical="center"/>
    </xf>
    <xf numFmtId="43" fontId="7" fillId="0" borderId="18" xfId="25" applyFont="1" applyFill="1" applyBorder="1" applyAlignment="1">
      <alignment horizontal="center" vertical="center"/>
    </xf>
    <xf numFmtId="43" fontId="7" fillId="0" borderId="3" xfId="25" applyFont="1" applyFill="1" applyBorder="1" applyAlignment="1">
      <alignment horizontal="center" vertical="center"/>
    </xf>
    <xf numFmtId="43" fontId="7" fillId="0" borderId="0" xfId="25" applyFont="1" applyFill="1" applyBorder="1" applyAlignment="1">
      <alignment horizontal="center" vertical="center"/>
    </xf>
    <xf numFmtId="0" fontId="7" fillId="0" borderId="0" xfId="53" applyFont="1" applyFill="1" applyAlignment="1">
      <alignment vertical="center"/>
      <protection/>
    </xf>
    <xf numFmtId="173" fontId="7" fillId="0" borderId="0" xfId="25" applyNumberFormat="1" applyFont="1" applyFill="1" applyBorder="1" applyAlignment="1">
      <alignment horizontal="center" vertical="center"/>
    </xf>
    <xf numFmtId="0" fontId="8" fillId="0" borderId="0" xfId="53" applyFont="1" applyFill="1" applyBorder="1" applyAlignment="1">
      <alignment horizontal="center" vertical="center"/>
      <protection/>
    </xf>
    <xf numFmtId="173" fontId="8" fillId="0" borderId="0" xfId="25" applyNumberFormat="1" applyFont="1" applyFill="1" applyBorder="1" applyAlignment="1">
      <alignment vertical="center"/>
    </xf>
    <xf numFmtId="0" fontId="8" fillId="0" borderId="0" xfId="53" applyFont="1" applyFill="1" applyAlignment="1">
      <alignment horizontal="left" vertical="center"/>
      <protection/>
    </xf>
    <xf numFmtId="0" fontId="8" fillId="0" borderId="0" xfId="53" applyFont="1" applyFill="1" applyAlignment="1">
      <alignment horizontal="center" vertical="center"/>
      <protection/>
    </xf>
    <xf numFmtId="0" fontId="8" fillId="0" borderId="17" xfId="53" applyFont="1" applyFill="1" applyBorder="1" applyAlignment="1">
      <alignment horizontal="center" vertical="center"/>
      <protection/>
    </xf>
    <xf numFmtId="173" fontId="7" fillId="0" borderId="0" xfId="25" applyNumberFormat="1" applyFont="1" applyFill="1" applyAlignment="1">
      <alignment vertical="center"/>
    </xf>
    <xf numFmtId="173" fontId="8" fillId="0" borderId="0" xfId="25" applyNumberFormat="1" applyFont="1" applyFill="1" applyAlignment="1">
      <alignment vertical="center"/>
    </xf>
    <xf numFmtId="0" fontId="29" fillId="0" borderId="19" xfId="53" applyFont="1" applyFill="1" applyBorder="1" applyAlignment="1">
      <alignment vertical="center"/>
      <protection/>
    </xf>
    <xf numFmtId="0" fontId="29" fillId="0" borderId="20" xfId="53" applyFont="1" applyFill="1" applyBorder="1" applyAlignment="1">
      <alignment vertical="center"/>
      <protection/>
    </xf>
    <xf numFmtId="0" fontId="29" fillId="0" borderId="21" xfId="53" applyFont="1" applyFill="1" applyBorder="1" applyAlignment="1">
      <alignment vertical="center"/>
      <protection/>
    </xf>
    <xf numFmtId="173" fontId="29" fillId="0" borderId="22" xfId="25" applyNumberFormat="1" applyFont="1" applyFill="1" applyBorder="1" applyAlignment="1">
      <alignment vertical="center"/>
    </xf>
    <xf numFmtId="0" fontId="29" fillId="0" borderId="23" xfId="53" applyFont="1" applyFill="1" applyBorder="1" applyAlignment="1">
      <alignment vertical="center"/>
      <protection/>
    </xf>
    <xf numFmtId="0" fontId="29" fillId="0" borderId="24" xfId="53" applyFont="1" applyFill="1" applyBorder="1" applyAlignment="1">
      <alignment vertical="center"/>
      <protection/>
    </xf>
    <xf numFmtId="0" fontId="29" fillId="0" borderId="25" xfId="53" applyFont="1" applyFill="1" applyBorder="1" applyAlignment="1">
      <alignment vertical="center"/>
      <protection/>
    </xf>
    <xf numFmtId="173" fontId="29" fillId="0" borderId="26" xfId="25" applyNumberFormat="1" applyFont="1" applyFill="1" applyBorder="1" applyAlignment="1">
      <alignment vertical="center"/>
    </xf>
    <xf numFmtId="0" fontId="29" fillId="0" borderId="0" xfId="53" applyFont="1" applyFill="1" applyBorder="1" applyAlignment="1">
      <alignment horizontal="center" vertical="center"/>
      <protection/>
    </xf>
    <xf numFmtId="0" fontId="29" fillId="0" borderId="0" xfId="53" applyFont="1" applyFill="1" applyBorder="1" applyAlignment="1">
      <alignment vertical="center"/>
      <protection/>
    </xf>
    <xf numFmtId="173" fontId="29" fillId="0" borderId="0" xfId="25" applyNumberFormat="1" applyFont="1" applyFill="1" applyBorder="1" applyAlignment="1">
      <alignment vertical="center"/>
    </xf>
    <xf numFmtId="0" fontId="30" fillId="0" borderId="0" xfId="53" applyFont="1" applyFill="1" applyBorder="1" applyAlignment="1">
      <alignment horizontal="center" vertical="center"/>
      <protection/>
    </xf>
    <xf numFmtId="173" fontId="8" fillId="0" borderId="0" xfId="53" applyNumberFormat="1" applyFont="1" applyFill="1" applyAlignment="1">
      <alignment vertical="center"/>
      <protection/>
    </xf>
    <xf numFmtId="173" fontId="31" fillId="0" borderId="0" xfId="25" applyNumberFormat="1" applyFont="1" applyFill="1" applyBorder="1" applyAlignment="1">
      <alignment vertical="center"/>
    </xf>
    <xf numFmtId="173" fontId="29" fillId="0" borderId="27" xfId="25" applyNumberFormat="1" applyFont="1" applyFill="1" applyBorder="1" applyAlignment="1">
      <alignment vertical="center"/>
    </xf>
    <xf numFmtId="173" fontId="7" fillId="0" borderId="3" xfId="25" applyNumberFormat="1" applyFont="1" applyFill="1" applyBorder="1" applyAlignment="1">
      <alignment vertical="center"/>
    </xf>
    <xf numFmtId="0" fontId="7" fillId="0" borderId="28" xfId="53" applyFont="1" applyFill="1" applyBorder="1" applyAlignment="1">
      <alignment vertical="center"/>
      <protection/>
    </xf>
    <xf numFmtId="0" fontId="7" fillId="0" borderId="2" xfId="53" applyFont="1" applyFill="1" applyBorder="1" applyAlignment="1">
      <alignment vertical="center"/>
      <protection/>
    </xf>
    <xf numFmtId="0" fontId="7" fillId="0" borderId="18" xfId="53" applyFont="1" applyFill="1" applyBorder="1" applyAlignment="1">
      <alignment vertical="center"/>
      <protection/>
    </xf>
    <xf numFmtId="173" fontId="7" fillId="0" borderId="3" xfId="25" applyNumberFormat="1" applyFont="1" applyFill="1" applyBorder="1" applyAlignment="1">
      <alignment horizontal="right" vertical="center"/>
    </xf>
    <xf numFmtId="43" fontId="8" fillId="0" borderId="0" xfId="25" applyFont="1" applyFill="1" applyAlignment="1">
      <alignment vertical="center"/>
    </xf>
    <xf numFmtId="0" fontId="32" fillId="0" borderId="0" xfId="0" applyFont="1" applyAlignment="1">
      <alignment vertical="center"/>
    </xf>
    <xf numFmtId="0" fontId="33" fillId="0" borderId="0" xfId="0" applyFont="1" applyAlignment="1">
      <alignment vertical="center"/>
    </xf>
    <xf numFmtId="0" fontId="33" fillId="0" borderId="0" xfId="0" applyFont="1" applyAlignment="1">
      <alignment/>
    </xf>
    <xf numFmtId="0" fontId="32" fillId="0" borderId="0" xfId="0" applyFont="1" applyBorder="1" applyAlignment="1">
      <alignment vertical="center"/>
    </xf>
    <xf numFmtId="0" fontId="33" fillId="0" borderId="0" xfId="0" applyFont="1" applyBorder="1" applyAlignment="1">
      <alignment vertical="center"/>
    </xf>
    <xf numFmtId="0" fontId="32" fillId="0" borderId="0" xfId="0" applyFont="1" applyBorder="1" applyAlignment="1">
      <alignment horizontal="right" vertical="center"/>
    </xf>
    <xf numFmtId="173" fontId="33" fillId="0" borderId="0" xfId="25" applyNumberFormat="1" applyFont="1" applyAlignment="1">
      <alignment vertical="center"/>
    </xf>
    <xf numFmtId="0" fontId="32" fillId="0" borderId="0" xfId="0" applyFont="1" applyAlignment="1">
      <alignment horizontal="center" vertical="center" wrapText="1"/>
    </xf>
    <xf numFmtId="173" fontId="33" fillId="0" borderId="29" xfId="25" applyNumberFormat="1" applyFont="1" applyBorder="1" applyAlignment="1">
      <alignment vertical="center"/>
    </xf>
    <xf numFmtId="173" fontId="33" fillId="0" borderId="30" xfId="25" applyNumberFormat="1" applyFont="1" applyBorder="1" applyAlignment="1">
      <alignment vertical="center"/>
    </xf>
    <xf numFmtId="0" fontId="33" fillId="0" borderId="31" xfId="0" applyFont="1" applyBorder="1" applyAlignment="1">
      <alignment vertical="center"/>
    </xf>
    <xf numFmtId="0" fontId="33" fillId="0" borderId="32" xfId="0" applyFont="1" applyBorder="1" applyAlignment="1">
      <alignment vertical="center"/>
    </xf>
    <xf numFmtId="173" fontId="33" fillId="0" borderId="29" xfId="25" applyNumberFormat="1" applyFont="1" applyBorder="1" applyAlignment="1">
      <alignment/>
    </xf>
    <xf numFmtId="173" fontId="33" fillId="0" borderId="0" xfId="25" applyNumberFormat="1" applyFont="1" applyBorder="1" applyAlignment="1">
      <alignment vertical="center"/>
    </xf>
    <xf numFmtId="0" fontId="33" fillId="0" borderId="0" xfId="0" applyFont="1" applyAlignment="1">
      <alignment horizontal="right" vertical="center"/>
    </xf>
    <xf numFmtId="0" fontId="36" fillId="0" borderId="33" xfId="0" applyFont="1" applyBorder="1" applyAlignment="1">
      <alignment vertical="center"/>
    </xf>
    <xf numFmtId="0" fontId="36" fillId="0" borderId="34" xfId="0" applyFont="1" applyBorder="1" applyAlignment="1">
      <alignment vertical="center"/>
    </xf>
    <xf numFmtId="0" fontId="36" fillId="0" borderId="35" xfId="0" applyFont="1" applyBorder="1" applyAlignment="1">
      <alignment vertical="center"/>
    </xf>
    <xf numFmtId="0" fontId="35" fillId="0" borderId="0" xfId="0" applyFont="1" applyAlignment="1">
      <alignment vertical="center"/>
    </xf>
    <xf numFmtId="0" fontId="36" fillId="0" borderId="31" xfId="0" applyFont="1" applyBorder="1" applyAlignment="1">
      <alignment vertical="center"/>
    </xf>
    <xf numFmtId="0" fontId="36" fillId="0" borderId="0" xfId="0" applyFont="1" applyBorder="1" applyAlignment="1">
      <alignment vertical="center"/>
    </xf>
    <xf numFmtId="0" fontId="36" fillId="0" borderId="32" xfId="0" applyFont="1" applyBorder="1" applyAlignment="1">
      <alignment vertical="center"/>
    </xf>
    <xf numFmtId="49" fontId="36" fillId="0" borderId="0" xfId="0" applyNumberFormat="1" applyFont="1" applyBorder="1" applyAlignment="1">
      <alignment horizontal="center" vertical="center"/>
    </xf>
    <xf numFmtId="0" fontId="36" fillId="0" borderId="29" xfId="0" applyFont="1" applyBorder="1" applyAlignment="1">
      <alignment horizontal="center" vertical="center"/>
    </xf>
    <xf numFmtId="0" fontId="36" fillId="0" borderId="29" xfId="0" applyFont="1" applyBorder="1" applyAlignment="1" quotePrefix="1">
      <alignment horizontal="right" vertical="center"/>
    </xf>
    <xf numFmtId="14" fontId="36" fillId="0" borderId="30" xfId="0" applyNumberFormat="1" applyFont="1" applyBorder="1" applyAlignment="1" quotePrefix="1">
      <alignment horizontal="right" vertical="center"/>
    </xf>
    <xf numFmtId="49" fontId="32" fillId="0" borderId="0" xfId="25" applyNumberFormat="1" applyFont="1" applyBorder="1" applyAlignment="1">
      <alignment horizontal="center" vertical="center"/>
    </xf>
    <xf numFmtId="173" fontId="32" fillId="0" borderId="29" xfId="25" applyNumberFormat="1" applyFont="1" applyBorder="1" applyAlignment="1">
      <alignment horizontal="center" vertical="center"/>
    </xf>
    <xf numFmtId="173" fontId="32" fillId="0" borderId="29" xfId="25" applyNumberFormat="1" applyFont="1" applyBorder="1" applyAlignment="1">
      <alignment vertical="center"/>
    </xf>
    <xf numFmtId="173" fontId="32" fillId="0" borderId="30" xfId="25" applyNumberFormat="1" applyFont="1" applyBorder="1" applyAlignment="1">
      <alignment vertical="center"/>
    </xf>
    <xf numFmtId="0" fontId="36" fillId="0" borderId="0" xfId="0" applyFont="1" applyBorder="1" applyAlignment="1">
      <alignment horizontal="right" vertical="center"/>
    </xf>
    <xf numFmtId="49" fontId="36" fillId="0" borderId="0" xfId="25" applyNumberFormat="1" applyFont="1" applyBorder="1" applyAlignment="1">
      <alignment horizontal="center" vertical="center"/>
    </xf>
    <xf numFmtId="173" fontId="36" fillId="0" borderId="29" xfId="25" applyNumberFormat="1" applyFont="1" applyBorder="1" applyAlignment="1">
      <alignment vertical="center"/>
    </xf>
    <xf numFmtId="173" fontId="36" fillId="0" borderId="30" xfId="25" applyNumberFormat="1" applyFont="1" applyBorder="1" applyAlignment="1">
      <alignment horizontal="right" vertical="center"/>
    </xf>
    <xf numFmtId="0" fontId="36" fillId="0" borderId="0" xfId="0" applyFont="1" applyAlignment="1">
      <alignment vertical="center"/>
    </xf>
    <xf numFmtId="0" fontId="33" fillId="0" borderId="0" xfId="0" applyFont="1" applyBorder="1" applyAlignment="1" quotePrefix="1">
      <alignment horizontal="right" vertical="center"/>
    </xf>
    <xf numFmtId="49" fontId="33" fillId="0" borderId="0" xfId="25" applyNumberFormat="1" applyFont="1" applyBorder="1" applyAlignment="1">
      <alignment horizontal="center" vertical="center"/>
    </xf>
    <xf numFmtId="173" fontId="33" fillId="0" borderId="29" xfId="25" applyNumberFormat="1" applyFont="1" applyBorder="1" applyAlignment="1" quotePrefix="1">
      <alignment horizontal="center" vertical="center"/>
    </xf>
    <xf numFmtId="173" fontId="33" fillId="0" borderId="30" xfId="25" applyNumberFormat="1" applyFont="1" applyBorder="1" applyAlignment="1">
      <alignment horizontal="right" vertical="center"/>
    </xf>
    <xf numFmtId="0" fontId="35" fillId="0" borderId="31" xfId="0" applyFont="1" applyBorder="1" applyAlignment="1">
      <alignment vertical="center"/>
    </xf>
    <xf numFmtId="0" fontId="35" fillId="0" borderId="0" xfId="0" applyFont="1" applyBorder="1" applyAlignment="1">
      <alignment vertical="center"/>
    </xf>
    <xf numFmtId="0" fontId="35" fillId="0" borderId="32" xfId="0" applyFont="1" applyBorder="1" applyAlignment="1">
      <alignment vertical="center"/>
    </xf>
    <xf numFmtId="173" fontId="35" fillId="0" borderId="0" xfId="25" applyNumberFormat="1" applyFont="1" applyBorder="1" applyAlignment="1">
      <alignment vertical="center"/>
    </xf>
    <xf numFmtId="173" fontId="36" fillId="0" borderId="30" xfId="25" applyNumberFormat="1" applyFont="1" applyBorder="1" applyAlignment="1">
      <alignment vertical="center"/>
    </xf>
    <xf numFmtId="49" fontId="33" fillId="0" borderId="0" xfId="0" applyNumberFormat="1" applyFont="1" applyBorder="1" applyAlignment="1">
      <alignment horizontal="center" vertical="center"/>
    </xf>
    <xf numFmtId="0" fontId="33" fillId="0" borderId="0" xfId="0" applyFont="1" applyBorder="1" applyAlignment="1">
      <alignment horizontal="right" vertical="center"/>
    </xf>
    <xf numFmtId="173" fontId="32" fillId="0" borderId="0" xfId="25" applyNumberFormat="1" applyFont="1" applyBorder="1" applyAlignment="1">
      <alignment vertical="center"/>
    </xf>
    <xf numFmtId="173" fontId="32" fillId="0" borderId="29" xfId="25" applyNumberFormat="1" applyFont="1" applyBorder="1" applyAlignment="1" quotePrefix="1">
      <alignment horizontal="center" vertical="center"/>
    </xf>
    <xf numFmtId="173" fontId="36" fillId="0" borderId="29" xfId="25" applyNumberFormat="1" applyFont="1" applyBorder="1" applyAlignment="1">
      <alignment horizontal="center" vertical="center"/>
    </xf>
    <xf numFmtId="173" fontId="36" fillId="0" borderId="30" xfId="25" applyNumberFormat="1" applyFont="1" applyBorder="1" applyAlignment="1">
      <alignment horizontal="center" vertical="center"/>
    </xf>
    <xf numFmtId="173" fontId="35" fillId="0" borderId="30" xfId="25" applyNumberFormat="1" applyFont="1" applyBorder="1" applyAlignment="1">
      <alignment horizontal="right" vertical="center"/>
    </xf>
    <xf numFmtId="173" fontId="35" fillId="0" borderId="30" xfId="25" applyNumberFormat="1" applyFont="1" applyBorder="1" applyAlignment="1">
      <alignment vertical="center"/>
    </xf>
    <xf numFmtId="0" fontId="33" fillId="0" borderId="36" xfId="0" applyFont="1" applyBorder="1" applyAlignment="1">
      <alignment vertical="center"/>
    </xf>
    <xf numFmtId="0" fontId="33" fillId="0" borderId="17" xfId="0" applyFont="1" applyBorder="1" applyAlignment="1">
      <alignment vertical="center"/>
    </xf>
    <xf numFmtId="0" fontId="32" fillId="0" borderId="17" xfId="0" applyFont="1" applyBorder="1" applyAlignment="1">
      <alignment horizontal="right" vertical="center"/>
    </xf>
    <xf numFmtId="0" fontId="33" fillId="0" borderId="17" xfId="0" applyFont="1" applyBorder="1" applyAlignment="1" quotePrefix="1">
      <alignment horizontal="right" vertical="center"/>
    </xf>
    <xf numFmtId="0" fontId="33" fillId="0" borderId="37" xfId="0" applyFont="1" applyBorder="1" applyAlignment="1">
      <alignment vertical="center"/>
    </xf>
    <xf numFmtId="49" fontId="33" fillId="0" borderId="17" xfId="25" applyNumberFormat="1" applyFont="1" applyBorder="1" applyAlignment="1">
      <alignment horizontal="center" vertical="center"/>
    </xf>
    <xf numFmtId="173" fontId="33" fillId="0" borderId="27" xfId="25" applyNumberFormat="1" applyFont="1" applyBorder="1" applyAlignment="1">
      <alignment/>
    </xf>
    <xf numFmtId="173" fontId="33" fillId="0" borderId="38" xfId="25" applyNumberFormat="1" applyFont="1" applyBorder="1" applyAlignment="1">
      <alignment vertical="center"/>
    </xf>
    <xf numFmtId="0" fontId="36" fillId="0" borderId="0" xfId="0" applyFont="1" applyBorder="1" applyAlignment="1" quotePrefix="1">
      <alignment horizontal="right"/>
    </xf>
    <xf numFmtId="173" fontId="33" fillId="0" borderId="0" xfId="25" applyNumberFormat="1" applyFont="1" applyBorder="1" applyAlignment="1">
      <alignment/>
    </xf>
    <xf numFmtId="0" fontId="33" fillId="0" borderId="39" xfId="0" applyFont="1" applyBorder="1" applyAlignment="1">
      <alignment vertical="center"/>
    </xf>
    <xf numFmtId="0" fontId="32" fillId="0" borderId="39" xfId="0" applyFont="1" applyBorder="1" applyAlignment="1">
      <alignment horizontal="right" vertical="center"/>
    </xf>
    <xf numFmtId="0" fontId="33" fillId="0" borderId="39" xfId="0" applyFont="1" applyBorder="1" applyAlignment="1" quotePrefix="1">
      <alignment horizontal="right" vertical="center"/>
    </xf>
    <xf numFmtId="49" fontId="33" fillId="0" borderId="39" xfId="25" applyNumberFormat="1" applyFont="1" applyBorder="1" applyAlignment="1">
      <alignment horizontal="center" vertical="center"/>
    </xf>
    <xf numFmtId="173" fontId="33" fillId="0" borderId="39" xfId="25" applyNumberFormat="1" applyFont="1" applyBorder="1" applyAlignment="1">
      <alignment/>
    </xf>
    <xf numFmtId="173" fontId="33" fillId="0" borderId="39" xfId="25" applyNumberFormat="1" applyFont="1" applyBorder="1" applyAlignment="1">
      <alignment vertical="center"/>
    </xf>
    <xf numFmtId="14" fontId="37" fillId="0" borderId="40" xfId="0" applyNumberFormat="1" applyFont="1" applyBorder="1" applyAlignment="1">
      <alignment horizontal="right" vertical="center" wrapText="1"/>
    </xf>
    <xf numFmtId="14" fontId="37" fillId="0" borderId="41" xfId="0" applyNumberFormat="1" applyFont="1" applyBorder="1" applyAlignment="1">
      <alignment horizontal="right" vertical="center" wrapText="1"/>
    </xf>
    <xf numFmtId="0" fontId="36" fillId="0" borderId="29" xfId="0" applyFont="1" applyBorder="1" applyAlignment="1">
      <alignment horizontal="center" vertical="center" wrapText="1"/>
    </xf>
    <xf numFmtId="0" fontId="37" fillId="0" borderId="29" xfId="0" applyFont="1" applyBorder="1" applyAlignment="1">
      <alignment horizontal="right" vertical="center" wrapText="1"/>
    </xf>
    <xf numFmtId="14" fontId="37" fillId="0" borderId="30" xfId="0" applyNumberFormat="1" applyFont="1" applyBorder="1" applyAlignment="1">
      <alignment horizontal="right" vertical="center" wrapText="1"/>
    </xf>
    <xf numFmtId="173" fontId="35" fillId="0" borderId="29" xfId="25" applyNumberFormat="1" applyFont="1" applyBorder="1" applyAlignment="1">
      <alignment vertical="center"/>
    </xf>
    <xf numFmtId="173" fontId="36" fillId="0" borderId="29" xfId="25" applyNumberFormat="1" applyFont="1" applyBorder="1" applyAlignment="1" quotePrefix="1">
      <alignment horizontal="center" vertical="center"/>
    </xf>
    <xf numFmtId="0" fontId="32" fillId="0" borderId="42" xfId="0" applyFont="1" applyBorder="1" applyAlignment="1">
      <alignment vertical="center"/>
    </xf>
    <xf numFmtId="0" fontId="32" fillId="0" borderId="43" xfId="0" applyFont="1" applyBorder="1" applyAlignment="1">
      <alignment vertical="center"/>
    </xf>
    <xf numFmtId="0" fontId="33" fillId="0" borderId="43" xfId="0" applyFont="1" applyBorder="1" applyAlignment="1">
      <alignment vertical="center"/>
    </xf>
    <xf numFmtId="0" fontId="33" fillId="0" borderId="44" xfId="0" applyFont="1" applyBorder="1" applyAlignment="1">
      <alignment vertical="center"/>
    </xf>
    <xf numFmtId="49" fontId="32" fillId="0" borderId="43" xfId="25" applyNumberFormat="1" applyFont="1" applyBorder="1" applyAlignment="1">
      <alignment horizontal="center" vertical="center"/>
    </xf>
    <xf numFmtId="173" fontId="32" fillId="0" borderId="45" xfId="25" applyNumberFormat="1" applyFont="1" applyBorder="1" applyAlignment="1">
      <alignment vertical="center"/>
    </xf>
    <xf numFmtId="173" fontId="32" fillId="0" borderId="46" xfId="25" applyNumberFormat="1" applyFont="1" applyBorder="1" applyAlignment="1">
      <alignment vertical="center"/>
    </xf>
    <xf numFmtId="173" fontId="32" fillId="0" borderId="0" xfId="25" applyNumberFormat="1" applyFont="1" applyBorder="1" applyAlignment="1">
      <alignment horizontal="center" vertical="center"/>
    </xf>
    <xf numFmtId="173" fontId="33" fillId="0" borderId="0" xfId="25" applyNumberFormat="1" applyFont="1" applyBorder="1" applyAlignment="1">
      <alignment horizontal="right" vertical="center"/>
    </xf>
    <xf numFmtId="14" fontId="32" fillId="0" borderId="0" xfId="0" applyNumberFormat="1" applyFont="1" applyBorder="1" applyAlignment="1" quotePrefix="1">
      <alignment horizontal="right" vertical="center"/>
    </xf>
    <xf numFmtId="49" fontId="33" fillId="0" borderId="0" xfId="25" applyNumberFormat="1" applyFont="1" applyAlignment="1">
      <alignment horizontal="center" vertical="center"/>
    </xf>
    <xf numFmtId="173" fontId="32" fillId="0" borderId="0" xfId="25" applyNumberFormat="1" applyFont="1" applyAlignment="1">
      <alignment horizontal="center" vertical="center"/>
    </xf>
    <xf numFmtId="173" fontId="35" fillId="0" borderId="0" xfId="25" applyNumberFormat="1" applyFont="1" applyAlignment="1">
      <alignment horizontal="right" vertical="center"/>
    </xf>
    <xf numFmtId="0" fontId="35" fillId="0" borderId="33" xfId="0" applyFont="1" applyBorder="1" applyAlignment="1">
      <alignment vertical="center"/>
    </xf>
    <xf numFmtId="0" fontId="35" fillId="0" borderId="34" xfId="0" applyFont="1" applyBorder="1" applyAlignment="1">
      <alignment vertical="center"/>
    </xf>
    <xf numFmtId="0" fontId="35" fillId="0" borderId="35" xfId="0" applyFont="1" applyBorder="1" applyAlignment="1">
      <alignment vertical="center"/>
    </xf>
    <xf numFmtId="173" fontId="33" fillId="0" borderId="29" xfId="0" applyNumberFormat="1" applyFont="1" applyBorder="1" applyAlignment="1">
      <alignment/>
    </xf>
    <xf numFmtId="173" fontId="33" fillId="0" borderId="47" xfId="25" applyNumberFormat="1" applyFont="1" applyBorder="1" applyAlignment="1">
      <alignment vertical="center"/>
    </xf>
    <xf numFmtId="172" fontId="36" fillId="0" borderId="29" xfId="25" applyNumberFormat="1" applyFont="1" applyBorder="1" applyAlignment="1" quotePrefix="1">
      <alignment horizontal="center" vertical="center"/>
    </xf>
    <xf numFmtId="173" fontId="36" fillId="0" borderId="47" xfId="25" applyNumberFormat="1" applyFont="1" applyBorder="1" applyAlignment="1">
      <alignment vertical="center"/>
    </xf>
    <xf numFmtId="173" fontId="33" fillId="0" borderId="47" xfId="25" applyNumberFormat="1" applyFont="1" applyFill="1" applyBorder="1" applyAlignment="1">
      <alignment vertical="center"/>
    </xf>
    <xf numFmtId="173" fontId="32" fillId="0" borderId="47" xfId="25" applyNumberFormat="1" applyFont="1" applyBorder="1" applyAlignment="1">
      <alignment vertical="center"/>
    </xf>
    <xf numFmtId="43" fontId="33" fillId="0" borderId="47" xfId="25" applyFont="1" applyBorder="1" applyAlignment="1">
      <alignment vertical="center"/>
    </xf>
    <xf numFmtId="173" fontId="35" fillId="0" borderId="29" xfId="25" applyNumberFormat="1" applyFont="1" applyBorder="1" applyAlignment="1">
      <alignment/>
    </xf>
    <xf numFmtId="0" fontId="35" fillId="0" borderId="32" xfId="0" applyFont="1" applyBorder="1" applyAlignment="1" quotePrefix="1">
      <alignment vertical="center"/>
    </xf>
    <xf numFmtId="49" fontId="35" fillId="0" borderId="0" xfId="25" applyNumberFormat="1" applyFont="1" applyBorder="1" applyAlignment="1">
      <alignment horizontal="center" vertical="center"/>
    </xf>
    <xf numFmtId="173" fontId="35" fillId="0" borderId="47" xfId="25" applyNumberFormat="1" applyFont="1" applyBorder="1" applyAlignment="1">
      <alignment vertical="center"/>
    </xf>
    <xf numFmtId="43" fontId="36" fillId="0" borderId="29" xfId="25" applyFont="1" applyBorder="1" applyAlignment="1">
      <alignment horizontal="center" vertical="center"/>
    </xf>
    <xf numFmtId="173" fontId="32" fillId="0" borderId="45" xfId="25" applyNumberFormat="1" applyFont="1" applyBorder="1" applyAlignment="1">
      <alignment horizontal="center" vertical="center"/>
    </xf>
    <xf numFmtId="173" fontId="32" fillId="0" borderId="48" xfId="25" applyNumberFormat="1" applyFont="1" applyBorder="1" applyAlignment="1">
      <alignment vertical="center"/>
    </xf>
    <xf numFmtId="173" fontId="38" fillId="0" borderId="0" xfId="0" applyNumberFormat="1" applyFont="1" applyAlignment="1">
      <alignment vertical="center"/>
    </xf>
    <xf numFmtId="43" fontId="38" fillId="0" borderId="0" xfId="0" applyNumberFormat="1" applyFont="1" applyAlignment="1">
      <alignment vertical="center"/>
    </xf>
    <xf numFmtId="43" fontId="39" fillId="0" borderId="29" xfId="0" applyNumberFormat="1" applyFont="1" applyBorder="1" applyAlignment="1">
      <alignment vertical="center"/>
    </xf>
    <xf numFmtId="43" fontId="36" fillId="0" borderId="30" xfId="0" applyNumberFormat="1" applyFont="1" applyBorder="1" applyAlignment="1">
      <alignment horizontal="right" vertical="center"/>
    </xf>
    <xf numFmtId="43" fontId="33" fillId="0" borderId="29" xfId="25" applyFont="1" applyBorder="1" applyAlignment="1">
      <alignment vertical="center"/>
    </xf>
    <xf numFmtId="43" fontId="33" fillId="0" borderId="30" xfId="25" applyFont="1" applyBorder="1" applyAlignment="1">
      <alignment horizontal="right" vertical="center"/>
    </xf>
    <xf numFmtId="0" fontId="35" fillId="0" borderId="32" xfId="0" applyFont="1" applyBorder="1" applyAlignment="1" quotePrefix="1">
      <alignment horizontal="center" vertical="center"/>
    </xf>
    <xf numFmtId="173" fontId="33" fillId="0" borderId="29" xfId="0" applyNumberFormat="1" applyFont="1" applyBorder="1" applyAlignment="1">
      <alignment vertical="center"/>
    </xf>
    <xf numFmtId="173" fontId="33" fillId="0" borderId="30" xfId="0" applyNumberFormat="1" applyFont="1" applyBorder="1" applyAlignment="1">
      <alignment vertical="center"/>
    </xf>
    <xf numFmtId="0" fontId="33" fillId="0" borderId="32" xfId="0" applyFont="1" applyBorder="1" applyAlignment="1" quotePrefix="1">
      <alignment horizontal="center" vertical="center"/>
    </xf>
    <xf numFmtId="43" fontId="33" fillId="0" borderId="29" xfId="0" applyNumberFormat="1" applyFont="1" applyBorder="1" applyAlignment="1">
      <alignment vertical="center"/>
    </xf>
    <xf numFmtId="43" fontId="33" fillId="0" borderId="30" xfId="0" applyNumberFormat="1" applyFont="1" applyBorder="1" applyAlignment="1">
      <alignment vertical="center"/>
    </xf>
    <xf numFmtId="0" fontId="33" fillId="0" borderId="49" xfId="0" applyFont="1" applyBorder="1" applyAlignment="1">
      <alignment vertical="center"/>
    </xf>
    <xf numFmtId="0" fontId="33" fillId="0" borderId="50" xfId="0" applyFont="1" applyBorder="1" applyAlignment="1">
      <alignment vertical="center"/>
    </xf>
    <xf numFmtId="43" fontId="38" fillId="0" borderId="51" xfId="0" applyNumberFormat="1" applyFont="1" applyBorder="1" applyAlignment="1">
      <alignment vertical="center"/>
    </xf>
    <xf numFmtId="43" fontId="38" fillId="0" borderId="52" xfId="0" applyNumberFormat="1" applyFont="1" applyBorder="1" applyAlignment="1">
      <alignment vertical="center"/>
    </xf>
    <xf numFmtId="49" fontId="33" fillId="0" borderId="0" xfId="0" applyNumberFormat="1" applyFont="1" applyAlignment="1">
      <alignment horizontal="center"/>
    </xf>
    <xf numFmtId="0" fontId="32" fillId="0" borderId="0" xfId="0" applyFont="1" applyAlignment="1">
      <alignment/>
    </xf>
    <xf numFmtId="0" fontId="35" fillId="0" borderId="0" xfId="0" applyFont="1" applyAlignment="1">
      <alignment horizontal="center"/>
    </xf>
    <xf numFmtId="0" fontId="33" fillId="0" borderId="0" xfId="0" applyFont="1" applyAlignment="1">
      <alignment horizontal="left"/>
    </xf>
    <xf numFmtId="0" fontId="32" fillId="0" borderId="0" xfId="0" applyFont="1" applyAlignment="1">
      <alignment horizontal="left"/>
    </xf>
    <xf numFmtId="49" fontId="32" fillId="0" borderId="0" xfId="0" applyNumberFormat="1" applyFont="1" applyBorder="1" applyAlignment="1">
      <alignment horizontal="center"/>
    </xf>
    <xf numFmtId="49" fontId="32" fillId="0" borderId="0" xfId="0" applyNumberFormat="1" applyFont="1" applyBorder="1" applyAlignment="1">
      <alignment/>
    </xf>
    <xf numFmtId="0" fontId="32" fillId="0" borderId="0" xfId="0" applyFont="1" applyAlignment="1">
      <alignment horizontal="center"/>
    </xf>
    <xf numFmtId="173" fontId="33" fillId="0" borderId="0" xfId="0" applyNumberFormat="1" applyFont="1" applyAlignment="1">
      <alignment/>
    </xf>
    <xf numFmtId="0" fontId="32" fillId="0" borderId="0" xfId="0" applyFont="1" applyAlignment="1">
      <alignment horizontal="center" vertical="center"/>
    </xf>
    <xf numFmtId="173" fontId="33" fillId="0" borderId="0" xfId="25" applyNumberFormat="1" applyFont="1" applyAlignment="1">
      <alignment/>
    </xf>
    <xf numFmtId="173" fontId="32" fillId="0" borderId="0" xfId="25" applyNumberFormat="1" applyFont="1" applyBorder="1" applyAlignment="1">
      <alignment horizontal="right" vertical="center"/>
    </xf>
    <xf numFmtId="0" fontId="35" fillId="0" borderId="0" xfId="0" applyFont="1" applyBorder="1" applyAlignment="1">
      <alignment horizontal="right" vertical="center"/>
    </xf>
    <xf numFmtId="0" fontId="33" fillId="0" borderId="0" xfId="0" applyFont="1" applyAlignment="1">
      <alignment horizontal="right"/>
    </xf>
    <xf numFmtId="173" fontId="35" fillId="0" borderId="0" xfId="25" applyNumberFormat="1" applyFont="1" applyBorder="1" applyAlignment="1">
      <alignment horizontal="right"/>
    </xf>
    <xf numFmtId="173" fontId="36" fillId="0" borderId="53" xfId="25" applyNumberFormat="1" applyFont="1" applyBorder="1" applyAlignment="1">
      <alignment horizontal="right" vertical="center" wrapText="1"/>
    </xf>
    <xf numFmtId="173" fontId="37" fillId="0" borderId="41" xfId="25" applyNumberFormat="1" applyFont="1" applyBorder="1" applyAlignment="1">
      <alignment horizontal="right" vertical="center" wrapText="1"/>
    </xf>
    <xf numFmtId="0" fontId="32" fillId="0" borderId="31" xfId="0" applyFont="1" applyBorder="1" applyAlignment="1">
      <alignment horizontal="center" vertical="center"/>
    </xf>
    <xf numFmtId="0" fontId="32" fillId="0" borderId="0" xfId="0" applyFont="1" applyBorder="1" applyAlignment="1">
      <alignment horizontal="center" vertical="center"/>
    </xf>
    <xf numFmtId="0" fontId="32" fillId="0" borderId="32" xfId="0" applyFont="1" applyBorder="1" applyAlignment="1">
      <alignment horizontal="center" vertical="center"/>
    </xf>
    <xf numFmtId="49" fontId="32" fillId="0" borderId="29" xfId="0" applyNumberFormat="1" applyFont="1" applyBorder="1" applyAlignment="1">
      <alignment horizontal="center" vertical="center"/>
    </xf>
    <xf numFmtId="173" fontId="32" fillId="0" borderId="54" xfId="25" applyNumberFormat="1" applyFont="1" applyBorder="1" applyAlignment="1">
      <alignment horizontal="center" vertical="center"/>
    </xf>
    <xf numFmtId="173" fontId="32" fillId="0" borderId="30" xfId="25" applyNumberFormat="1" applyFont="1" applyBorder="1" applyAlignment="1">
      <alignment horizontal="right" vertical="center"/>
    </xf>
    <xf numFmtId="0" fontId="32" fillId="0" borderId="31" xfId="0" applyFont="1" applyBorder="1" applyAlignment="1">
      <alignment horizontal="right"/>
    </xf>
    <xf numFmtId="0" fontId="32" fillId="0" borderId="0" xfId="0" applyFont="1" applyBorder="1" applyAlignment="1">
      <alignment horizontal="left"/>
    </xf>
    <xf numFmtId="0" fontId="32" fillId="0" borderId="32" xfId="0" applyFont="1" applyBorder="1" applyAlignment="1" quotePrefix="1">
      <alignment/>
    </xf>
    <xf numFmtId="49" fontId="32" fillId="0" borderId="29" xfId="25" applyNumberFormat="1" applyFont="1" applyBorder="1" applyAlignment="1" quotePrefix="1">
      <alignment horizontal="center"/>
    </xf>
    <xf numFmtId="173" fontId="36" fillId="0" borderId="29" xfId="25" applyNumberFormat="1" applyFont="1" applyBorder="1" applyAlignment="1">
      <alignment horizontal="center"/>
    </xf>
    <xf numFmtId="173" fontId="32" fillId="0" borderId="54" xfId="25" applyNumberFormat="1" applyFont="1" applyBorder="1" applyAlignment="1">
      <alignment horizontal="center"/>
    </xf>
    <xf numFmtId="173" fontId="32" fillId="0" borderId="0" xfId="25" applyNumberFormat="1" applyFont="1" applyBorder="1" applyAlignment="1">
      <alignment/>
    </xf>
    <xf numFmtId="173" fontId="32" fillId="0" borderId="30" xfId="25" applyNumberFormat="1" applyFont="1" applyBorder="1" applyAlignment="1">
      <alignment/>
    </xf>
    <xf numFmtId="0" fontId="33" fillId="0" borderId="31" xfId="0" applyFont="1" applyBorder="1" applyAlignment="1">
      <alignment horizontal="right"/>
    </xf>
    <xf numFmtId="0" fontId="33" fillId="0" borderId="0" xfId="0" applyFont="1" applyBorder="1" applyAlignment="1">
      <alignment/>
    </xf>
    <xf numFmtId="49" fontId="33" fillId="0" borderId="29" xfId="25" applyNumberFormat="1" applyFont="1" applyBorder="1" applyAlignment="1">
      <alignment horizontal="center"/>
    </xf>
    <xf numFmtId="0" fontId="33" fillId="0" borderId="0" xfId="0" applyFont="1" applyBorder="1" applyAlignment="1">
      <alignment horizontal="left"/>
    </xf>
    <xf numFmtId="0" fontId="33" fillId="0" borderId="32" xfId="0" applyFont="1" applyBorder="1" applyAlignment="1">
      <alignment/>
    </xf>
    <xf numFmtId="173" fontId="33" fillId="0" borderId="54" xfId="25" applyNumberFormat="1" applyFont="1" applyBorder="1" applyAlignment="1">
      <alignment horizontal="center"/>
    </xf>
    <xf numFmtId="173" fontId="35" fillId="0" borderId="30" xfId="25" applyNumberFormat="1" applyFont="1" applyBorder="1" applyAlignment="1">
      <alignment/>
    </xf>
    <xf numFmtId="173" fontId="36" fillId="0" borderId="54" xfId="25" applyNumberFormat="1" applyFont="1" applyBorder="1" applyAlignment="1">
      <alignment horizontal="center"/>
    </xf>
    <xf numFmtId="173" fontId="35" fillId="0" borderId="0" xfId="25" applyNumberFormat="1" applyFont="1" applyBorder="1" applyAlignment="1">
      <alignment/>
    </xf>
    <xf numFmtId="0" fontId="35" fillId="0" borderId="29" xfId="0" applyFont="1" applyBorder="1" applyAlignment="1">
      <alignment horizontal="center" vertical="center"/>
    </xf>
    <xf numFmtId="173" fontId="36" fillId="0" borderId="54" xfId="25" applyNumberFormat="1" applyFont="1" applyBorder="1" applyAlignment="1">
      <alignment horizontal="center" vertical="center"/>
    </xf>
    <xf numFmtId="0" fontId="35" fillId="0" borderId="0" xfId="0" applyFont="1" applyBorder="1" applyAlignment="1">
      <alignment/>
    </xf>
    <xf numFmtId="0" fontId="35" fillId="0" borderId="32" xfId="0" applyFont="1" applyBorder="1" applyAlignment="1">
      <alignment wrapText="1"/>
    </xf>
    <xf numFmtId="173" fontId="36" fillId="0" borderId="29" xfId="25" applyNumberFormat="1" applyFont="1" applyBorder="1" applyAlignment="1" quotePrefix="1">
      <alignment horizontal="center"/>
    </xf>
    <xf numFmtId="0" fontId="32" fillId="0" borderId="0" xfId="0" applyFont="1" applyBorder="1" applyAlignment="1">
      <alignment/>
    </xf>
    <xf numFmtId="173" fontId="32" fillId="0" borderId="30" xfId="25" applyNumberFormat="1" applyFont="1" applyFill="1" applyBorder="1" applyAlignment="1">
      <alignment/>
    </xf>
    <xf numFmtId="0" fontId="32" fillId="0" borderId="31" xfId="0" applyFont="1" applyBorder="1" applyAlignment="1">
      <alignment horizontal="left"/>
    </xf>
    <xf numFmtId="173" fontId="33" fillId="0" borderId="30" xfId="25" applyNumberFormat="1" applyFont="1" applyBorder="1" applyAlignment="1">
      <alignment/>
    </xf>
    <xf numFmtId="0" fontId="33" fillId="0" borderId="31" xfId="0" applyFont="1" applyBorder="1" applyAlignment="1" quotePrefix="1">
      <alignment horizontal="right"/>
    </xf>
    <xf numFmtId="173" fontId="33" fillId="0" borderId="54" xfId="25" applyNumberFormat="1" applyFont="1" applyBorder="1" applyAlignment="1" quotePrefix="1">
      <alignment horizontal="center"/>
    </xf>
    <xf numFmtId="49" fontId="33" fillId="0" borderId="29" xfId="0" applyNumberFormat="1" applyFont="1" applyBorder="1" applyAlignment="1">
      <alignment horizontal="center"/>
    </xf>
    <xf numFmtId="173" fontId="33" fillId="0" borderId="30" xfId="25" applyNumberFormat="1" applyFont="1" applyFill="1" applyBorder="1" applyAlignment="1">
      <alignment/>
    </xf>
    <xf numFmtId="173" fontId="32" fillId="0" borderId="54" xfId="25" applyNumberFormat="1" applyFont="1" applyBorder="1" applyAlignment="1" quotePrefix="1">
      <alignment horizontal="center"/>
    </xf>
    <xf numFmtId="0" fontId="32" fillId="0" borderId="31" xfId="0" applyFont="1" applyBorder="1" applyAlignment="1">
      <alignment horizontal="right" vertical="center"/>
    </xf>
    <xf numFmtId="0" fontId="32" fillId="0" borderId="0" xfId="0" applyFont="1" applyBorder="1" applyAlignment="1">
      <alignment horizontal="left" wrapText="1"/>
    </xf>
    <xf numFmtId="0" fontId="32" fillId="0" borderId="32" xfId="0" applyFont="1" applyBorder="1" applyAlignment="1">
      <alignment horizontal="left" wrapText="1"/>
    </xf>
    <xf numFmtId="0" fontId="32" fillId="0" borderId="29" xfId="0" applyFont="1" applyBorder="1" applyAlignment="1">
      <alignment horizontal="center" vertical="center"/>
    </xf>
    <xf numFmtId="49" fontId="32" fillId="0" borderId="29" xfId="25" applyNumberFormat="1" applyFont="1" applyBorder="1" applyAlignment="1">
      <alignment horizontal="center"/>
    </xf>
    <xf numFmtId="0" fontId="33" fillId="0" borderId="32" xfId="0" applyFont="1" applyBorder="1" applyAlignment="1" quotePrefix="1">
      <alignment/>
    </xf>
    <xf numFmtId="0" fontId="33" fillId="0" borderId="31" xfId="0" applyFont="1" applyBorder="1" applyAlignment="1" quotePrefix="1">
      <alignment horizontal="left"/>
    </xf>
    <xf numFmtId="49" fontId="32" fillId="0" borderId="31" xfId="25" applyNumberFormat="1" applyFont="1" applyBorder="1" applyAlignment="1">
      <alignment horizontal="left" vertical="center" wrapText="1"/>
    </xf>
    <xf numFmtId="49" fontId="32" fillId="0" borderId="29" xfId="25" applyNumberFormat="1" applyFont="1" applyBorder="1" applyAlignment="1">
      <alignment horizontal="center" vertical="center" wrapText="1"/>
    </xf>
    <xf numFmtId="0" fontId="33" fillId="0" borderId="0" xfId="0" applyFont="1" applyBorder="1" applyAlignment="1">
      <alignment/>
    </xf>
    <xf numFmtId="0" fontId="33" fillId="0" borderId="49" xfId="0" applyFont="1" applyBorder="1" applyAlignment="1">
      <alignment/>
    </xf>
    <xf numFmtId="0" fontId="33" fillId="0" borderId="39" xfId="0" applyFont="1" applyFill="1" applyBorder="1" applyAlignment="1">
      <alignment/>
    </xf>
    <xf numFmtId="0" fontId="33" fillId="0" borderId="50" xfId="0" applyFont="1" applyBorder="1" applyAlignment="1">
      <alignment/>
    </xf>
    <xf numFmtId="0" fontId="33" fillId="0" borderId="51" xfId="0" applyFont="1" applyBorder="1" applyAlignment="1">
      <alignment/>
    </xf>
    <xf numFmtId="0" fontId="32" fillId="0" borderId="51" xfId="0" applyFont="1" applyBorder="1" applyAlignment="1">
      <alignment horizontal="center"/>
    </xf>
    <xf numFmtId="0" fontId="32" fillId="0" borderId="55" xfId="0" applyFont="1" applyBorder="1" applyAlignment="1">
      <alignment horizontal="center"/>
    </xf>
    <xf numFmtId="173" fontId="33" fillId="0" borderId="52" xfId="25" applyNumberFormat="1" applyFont="1" applyBorder="1" applyAlignment="1">
      <alignment/>
    </xf>
    <xf numFmtId="0" fontId="38" fillId="0" borderId="0" xfId="0" applyFont="1" applyBorder="1" applyAlignment="1">
      <alignment/>
    </xf>
    <xf numFmtId="0" fontId="34" fillId="0" borderId="0" xfId="0" applyFont="1" applyBorder="1" applyAlignment="1">
      <alignment horizontal="center"/>
    </xf>
    <xf numFmtId="173" fontId="38" fillId="0" borderId="0" xfId="25" applyNumberFormat="1" applyFont="1" applyBorder="1" applyAlignment="1">
      <alignment/>
    </xf>
    <xf numFmtId="49" fontId="33" fillId="0" borderId="0" xfId="0" applyNumberFormat="1" applyFont="1" applyBorder="1" applyAlignment="1">
      <alignment horizontal="center"/>
    </xf>
    <xf numFmtId="0" fontId="32" fillId="0" borderId="0" xfId="0" applyFont="1" applyBorder="1" applyAlignment="1">
      <alignment horizontal="center"/>
    </xf>
    <xf numFmtId="0" fontId="33" fillId="0" borderId="0" xfId="0" applyFont="1" applyFill="1" applyBorder="1" applyAlignment="1">
      <alignment/>
    </xf>
    <xf numFmtId="0" fontId="36" fillId="0" borderId="0" xfId="0" applyFont="1" applyBorder="1" applyAlignment="1">
      <alignment/>
    </xf>
    <xf numFmtId="0" fontId="33" fillId="0" borderId="0" xfId="0" applyFont="1" applyBorder="1" applyAlignment="1" quotePrefix="1">
      <alignment/>
    </xf>
    <xf numFmtId="173" fontId="33" fillId="0" borderId="0" xfId="0" applyNumberFormat="1" applyFont="1" applyBorder="1" applyAlignment="1">
      <alignment/>
    </xf>
    <xf numFmtId="0" fontId="33" fillId="0" borderId="0" xfId="25" applyNumberFormat="1" applyFont="1" applyAlignment="1">
      <alignment horizontal="justify" wrapText="1"/>
    </xf>
    <xf numFmtId="0" fontId="36" fillId="0" borderId="0" xfId="0" applyFont="1" applyAlignment="1" quotePrefix="1">
      <alignment horizontal="right"/>
    </xf>
    <xf numFmtId="0" fontId="36" fillId="0" borderId="0" xfId="0" applyFont="1" applyAlignment="1">
      <alignment horizontal="left"/>
    </xf>
    <xf numFmtId="43" fontId="33" fillId="0" borderId="0" xfId="25" applyFont="1" applyAlignment="1">
      <alignment horizontal="right"/>
    </xf>
    <xf numFmtId="0" fontId="32" fillId="0" borderId="0" xfId="0" applyFont="1" applyAlignment="1" quotePrefix="1">
      <alignment horizontal="right"/>
    </xf>
    <xf numFmtId="0" fontId="35" fillId="0" borderId="0" xfId="0" applyNumberFormat="1" applyFont="1" applyAlignment="1">
      <alignment horizontal="right"/>
    </xf>
    <xf numFmtId="0" fontId="36" fillId="0" borderId="0" xfId="0" applyNumberFormat="1" applyFont="1" applyAlignment="1">
      <alignment/>
    </xf>
    <xf numFmtId="0" fontId="35" fillId="0" borderId="0" xfId="0" applyNumberFormat="1" applyFont="1" applyAlignment="1">
      <alignment horizontal="center"/>
    </xf>
    <xf numFmtId="0" fontId="35" fillId="0" borderId="0" xfId="0" applyNumberFormat="1" applyFont="1" applyAlignment="1">
      <alignment/>
    </xf>
    <xf numFmtId="43" fontId="35" fillId="0" borderId="0" xfId="25" applyFont="1" applyAlignment="1">
      <alignment horizontal="right"/>
    </xf>
    <xf numFmtId="0" fontId="35" fillId="0" borderId="0" xfId="25" applyNumberFormat="1" applyFont="1" applyAlignment="1">
      <alignment horizontal="right"/>
    </xf>
    <xf numFmtId="0" fontId="35" fillId="0" borderId="0" xfId="0" applyFont="1" applyAlignment="1">
      <alignment/>
    </xf>
    <xf numFmtId="0" fontId="33" fillId="0" borderId="0" xfId="0" applyNumberFormat="1" applyFont="1" applyAlignment="1">
      <alignment horizontal="right"/>
    </xf>
    <xf numFmtId="0" fontId="33" fillId="0" borderId="0" xfId="25" applyNumberFormat="1" applyFont="1" applyAlignment="1">
      <alignment horizontal="left"/>
    </xf>
    <xf numFmtId="0" fontId="38" fillId="0" borderId="0" xfId="0" applyNumberFormat="1" applyFont="1" applyAlignment="1">
      <alignment horizontal="right"/>
    </xf>
    <xf numFmtId="0" fontId="33" fillId="0" borderId="0" xfId="0" applyFont="1" applyAlignment="1">
      <alignment wrapText="1"/>
    </xf>
    <xf numFmtId="0" fontId="38" fillId="0" borderId="0" xfId="0" applyFont="1" applyAlignment="1">
      <alignment/>
    </xf>
    <xf numFmtId="0" fontId="38" fillId="0" borderId="0" xfId="25" applyNumberFormat="1" applyFont="1" applyAlignment="1">
      <alignment horizontal="justify" wrapText="1"/>
    </xf>
    <xf numFmtId="0" fontId="32" fillId="0" borderId="0" xfId="0" applyFont="1" applyAlignment="1">
      <alignment horizontal="left" vertical="center"/>
    </xf>
    <xf numFmtId="0" fontId="33" fillId="0" borderId="0" xfId="25" applyNumberFormat="1" applyFont="1" applyAlignment="1">
      <alignment horizontal="justify" vertical="center" wrapText="1"/>
    </xf>
    <xf numFmtId="0" fontId="35" fillId="0" borderId="0" xfId="0" applyFont="1" applyAlignment="1">
      <alignment horizontal="right"/>
    </xf>
    <xf numFmtId="0" fontId="36" fillId="0" borderId="0" xfId="0" applyFont="1" applyAlignment="1">
      <alignment/>
    </xf>
    <xf numFmtId="49" fontId="35" fillId="0" borderId="0" xfId="0" applyNumberFormat="1" applyFont="1" applyAlignment="1">
      <alignment horizontal="center"/>
    </xf>
    <xf numFmtId="0" fontId="33" fillId="0" borderId="0" xfId="0" applyFont="1" applyAlignment="1">
      <alignment horizontal="justify" wrapText="1"/>
    </xf>
    <xf numFmtId="49" fontId="36" fillId="0" borderId="0" xfId="0" applyNumberFormat="1" applyFont="1" applyAlignment="1">
      <alignment horizontal="center"/>
    </xf>
    <xf numFmtId="0" fontId="32" fillId="0" borderId="0" xfId="0" applyFont="1" applyAlignment="1" quotePrefix="1">
      <alignment horizontal="right" vertical="center"/>
    </xf>
    <xf numFmtId="0" fontId="38" fillId="0" borderId="0" xfId="0" applyFont="1" applyAlignment="1">
      <alignment horizontal="right"/>
    </xf>
    <xf numFmtId="49" fontId="33" fillId="0" borderId="0" xfId="0" applyNumberFormat="1" applyFont="1" applyAlignment="1">
      <alignment horizontal="right"/>
    </xf>
    <xf numFmtId="0" fontId="33" fillId="0" borderId="0" xfId="25" applyNumberFormat="1" applyFont="1" applyFill="1" applyAlignment="1">
      <alignment horizontal="justify" wrapText="1"/>
    </xf>
    <xf numFmtId="0" fontId="33" fillId="0" borderId="0" xfId="0" applyFont="1" applyAlignment="1" quotePrefix="1">
      <alignment horizontal="right"/>
    </xf>
    <xf numFmtId="0" fontId="33" fillId="0" borderId="0" xfId="25" applyNumberFormat="1" applyFont="1" applyFill="1" applyAlignment="1" quotePrefix="1">
      <alignment horizontal="justify" wrapText="1"/>
    </xf>
    <xf numFmtId="0" fontId="33" fillId="0" borderId="0" xfId="0" applyFont="1" applyFill="1" applyAlignment="1">
      <alignment wrapText="1"/>
    </xf>
    <xf numFmtId="0" fontId="33" fillId="0" borderId="0" xfId="0" applyFont="1" applyFill="1" applyAlignment="1">
      <alignment horizontal="left"/>
    </xf>
    <xf numFmtId="0" fontId="33" fillId="0" borderId="0" xfId="0" applyFont="1" applyFill="1" applyAlignment="1">
      <alignment/>
    </xf>
    <xf numFmtId="49" fontId="33" fillId="0" borderId="0" xfId="0" applyNumberFormat="1" applyFont="1" applyFill="1" applyAlignment="1">
      <alignment horizontal="right"/>
    </xf>
    <xf numFmtId="0" fontId="33" fillId="0" borderId="0" xfId="0" applyFont="1" applyFill="1" applyAlignment="1" quotePrefix="1">
      <alignment horizontal="right"/>
    </xf>
    <xf numFmtId="43" fontId="33" fillId="0" borderId="0" xfId="25" applyFont="1" applyFill="1" applyAlignment="1">
      <alignment horizontal="right"/>
    </xf>
    <xf numFmtId="0" fontId="40" fillId="0" borderId="0" xfId="0" applyFont="1" applyAlignment="1">
      <alignment horizontal="right"/>
    </xf>
    <xf numFmtId="0" fontId="39" fillId="0" borderId="0" xfId="0" applyFont="1" applyAlignment="1">
      <alignment/>
    </xf>
    <xf numFmtId="49" fontId="40" fillId="0" borderId="0" xfId="0" applyNumberFormat="1" applyFont="1" applyAlignment="1">
      <alignment horizontal="center"/>
    </xf>
    <xf numFmtId="0" fontId="40" fillId="0" borderId="0" xfId="0" applyFont="1" applyAlignment="1">
      <alignment/>
    </xf>
    <xf numFmtId="43" fontId="40" fillId="0" borderId="0" xfId="25" applyFont="1" applyAlignment="1">
      <alignment horizontal="right"/>
    </xf>
    <xf numFmtId="0" fontId="38" fillId="0" borderId="0" xfId="0" applyFont="1" applyAlignment="1">
      <alignment wrapText="1"/>
    </xf>
    <xf numFmtId="0" fontId="33" fillId="0" borderId="0" xfId="25" applyNumberFormat="1" applyFont="1" applyAlignment="1" quotePrefix="1">
      <alignment horizontal="justify" wrapText="1"/>
    </xf>
    <xf numFmtId="0" fontId="35" fillId="0" borderId="0" xfId="0" applyFont="1" applyAlignment="1" quotePrefix="1">
      <alignment horizontal="right"/>
    </xf>
    <xf numFmtId="0" fontId="35" fillId="0" borderId="0" xfId="25" applyNumberFormat="1" applyFont="1" applyAlignment="1">
      <alignment horizontal="justify" wrapText="1"/>
    </xf>
    <xf numFmtId="0" fontId="36" fillId="0" borderId="0" xfId="0" applyFont="1" applyAlignment="1">
      <alignment horizontal="right"/>
    </xf>
    <xf numFmtId="16" fontId="33" fillId="0" borderId="0" xfId="0" applyNumberFormat="1" applyFont="1" applyAlignment="1" quotePrefix="1">
      <alignment horizontal="right"/>
    </xf>
    <xf numFmtId="0" fontId="35" fillId="0" borderId="0" xfId="0" applyFont="1" applyAlignment="1">
      <alignment horizontal="left"/>
    </xf>
    <xf numFmtId="49" fontId="35" fillId="0" borderId="0" xfId="0" applyNumberFormat="1" applyFont="1" applyAlignment="1">
      <alignment horizontal="right"/>
    </xf>
    <xf numFmtId="0" fontId="40" fillId="0" borderId="0" xfId="0" applyFont="1" applyAlignment="1">
      <alignment horizontal="left"/>
    </xf>
    <xf numFmtId="49" fontId="40" fillId="0" borderId="0" xfId="0" applyNumberFormat="1" applyFont="1" applyAlignment="1">
      <alignment horizontal="right"/>
    </xf>
    <xf numFmtId="0" fontId="40" fillId="0" borderId="0" xfId="0" applyFont="1" applyAlignment="1" quotePrefix="1">
      <alignment horizontal="right"/>
    </xf>
    <xf numFmtId="0" fontId="33" fillId="0" borderId="0" xfId="25" applyNumberFormat="1" applyFont="1" applyFill="1" applyBorder="1" applyAlignment="1" quotePrefix="1">
      <alignment horizontal="justify" wrapText="1"/>
    </xf>
    <xf numFmtId="0" fontId="33" fillId="0" borderId="0" xfId="0" applyFont="1" applyFill="1" applyAlignment="1">
      <alignment horizontal="right"/>
    </xf>
    <xf numFmtId="43" fontId="32" fillId="0" borderId="0" xfId="25" applyFont="1" applyAlignment="1">
      <alignment horizontal="right"/>
    </xf>
    <xf numFmtId="14" fontId="32" fillId="0" borderId="0" xfId="25" applyNumberFormat="1" applyFont="1" applyAlignment="1" quotePrefix="1">
      <alignment horizontal="center"/>
    </xf>
    <xf numFmtId="14" fontId="36" fillId="0" borderId="0" xfId="0" applyNumberFormat="1" applyFont="1" applyBorder="1" applyAlignment="1" quotePrefix="1">
      <alignment horizontal="right" vertical="center"/>
    </xf>
    <xf numFmtId="173" fontId="33" fillId="0" borderId="0" xfId="25" applyNumberFormat="1" applyFont="1" applyBorder="1" applyAlignment="1">
      <alignment horizontal="right"/>
    </xf>
    <xf numFmtId="0" fontId="41" fillId="0" borderId="0" xfId="0" applyFont="1" applyBorder="1" applyAlignment="1">
      <alignment/>
    </xf>
    <xf numFmtId="49" fontId="35" fillId="0" borderId="0" xfId="0" applyNumberFormat="1" applyFont="1" applyBorder="1" applyAlignment="1">
      <alignment horizontal="center"/>
    </xf>
    <xf numFmtId="0" fontId="32" fillId="0" borderId="0" xfId="0" applyFont="1" applyFill="1" applyAlignment="1" quotePrefix="1">
      <alignment horizontal="right"/>
    </xf>
    <xf numFmtId="0" fontId="32" fillId="0" borderId="0" xfId="0" applyFont="1" applyFill="1" applyAlignment="1">
      <alignment horizontal="left"/>
    </xf>
    <xf numFmtId="0" fontId="35" fillId="0" borderId="0" xfId="0" applyFont="1" applyFill="1" applyBorder="1" applyAlignment="1">
      <alignment/>
    </xf>
    <xf numFmtId="49" fontId="35" fillId="0" borderId="0" xfId="0" applyNumberFormat="1" applyFont="1" applyFill="1" applyBorder="1" applyAlignment="1">
      <alignment horizontal="center"/>
    </xf>
    <xf numFmtId="173" fontId="35" fillId="0" borderId="0" xfId="25" applyNumberFormat="1" applyFont="1" applyFill="1" applyBorder="1" applyAlignment="1">
      <alignment horizontal="right"/>
    </xf>
    <xf numFmtId="173" fontId="32" fillId="0" borderId="0" xfId="25" applyNumberFormat="1" applyFont="1" applyBorder="1" applyAlignment="1">
      <alignment horizontal="right"/>
    </xf>
    <xf numFmtId="173" fontId="32" fillId="0" borderId="43" xfId="25" applyNumberFormat="1" applyFont="1" applyBorder="1" applyAlignment="1">
      <alignment horizontal="right"/>
    </xf>
    <xf numFmtId="0" fontId="36" fillId="0" borderId="0" xfId="0" applyFont="1" applyAlignment="1" quotePrefix="1">
      <alignment horizontal="left"/>
    </xf>
    <xf numFmtId="0" fontId="32" fillId="0" borderId="0" xfId="0" applyFont="1" applyAlignment="1" quotePrefix="1">
      <alignment horizontal="left"/>
    </xf>
    <xf numFmtId="0" fontId="32" fillId="0" borderId="0" xfId="0" applyFont="1" applyBorder="1" applyAlignment="1" quotePrefix="1">
      <alignment horizontal="right"/>
    </xf>
    <xf numFmtId="173" fontId="33" fillId="0" borderId="0" xfId="25" applyNumberFormat="1" applyFont="1" applyFill="1" applyBorder="1" applyAlignment="1">
      <alignment/>
    </xf>
    <xf numFmtId="173" fontId="33" fillId="0" borderId="0" xfId="0" applyNumberFormat="1" applyFont="1" applyFill="1" applyBorder="1" applyAlignment="1">
      <alignment/>
    </xf>
    <xf numFmtId="37" fontId="33" fillId="0" borderId="0" xfId="0" applyNumberFormat="1" applyFont="1" applyBorder="1" applyAlignment="1">
      <alignment/>
    </xf>
    <xf numFmtId="43" fontId="33" fillId="0" borderId="0" xfId="25" applyFont="1" applyBorder="1" applyAlignment="1">
      <alignment/>
    </xf>
    <xf numFmtId="0" fontId="36" fillId="0" borderId="0" xfId="0" applyFont="1" applyBorder="1" applyAlignment="1">
      <alignment horizontal="left"/>
    </xf>
    <xf numFmtId="43" fontId="35" fillId="0" borderId="0" xfId="25" applyFont="1" applyBorder="1" applyAlignment="1">
      <alignment/>
    </xf>
    <xf numFmtId="173" fontId="35" fillId="0" borderId="0" xfId="25" applyNumberFormat="1" applyFont="1" applyFill="1" applyBorder="1" applyAlignment="1">
      <alignment/>
    </xf>
    <xf numFmtId="43" fontId="32" fillId="0" borderId="0" xfId="25" applyFont="1" applyBorder="1" applyAlignment="1">
      <alignment/>
    </xf>
    <xf numFmtId="173" fontId="32" fillId="0" borderId="56" xfId="25" applyNumberFormat="1" applyFont="1" applyBorder="1" applyAlignment="1">
      <alignment/>
    </xf>
    <xf numFmtId="173" fontId="32" fillId="0" borderId="0" xfId="25" applyNumberFormat="1" applyFont="1" applyFill="1" applyBorder="1" applyAlignment="1">
      <alignment/>
    </xf>
    <xf numFmtId="0" fontId="33" fillId="0" borderId="0" xfId="0" applyFont="1" applyFill="1" applyBorder="1" applyAlignment="1">
      <alignment horizontal="left" wrapText="1"/>
    </xf>
    <xf numFmtId="43" fontId="35" fillId="0" borderId="0" xfId="25" applyFont="1" applyBorder="1" applyAlignment="1">
      <alignment horizontal="right"/>
    </xf>
    <xf numFmtId="43" fontId="33" fillId="0" borderId="0" xfId="25" applyFont="1" applyBorder="1" applyAlignment="1">
      <alignment horizontal="right"/>
    </xf>
    <xf numFmtId="41" fontId="33" fillId="0" borderId="0" xfId="0" applyNumberFormat="1" applyFont="1" applyBorder="1" applyAlignment="1">
      <alignment/>
    </xf>
    <xf numFmtId="173" fontId="33" fillId="0" borderId="0" xfId="25" applyNumberFormat="1" applyFont="1" applyFill="1" applyBorder="1" applyAlignment="1">
      <alignment horizontal="right"/>
    </xf>
    <xf numFmtId="0" fontId="36" fillId="0" borderId="0" xfId="0" applyFont="1" applyFill="1" applyBorder="1" applyAlignment="1">
      <alignment/>
    </xf>
    <xf numFmtId="173" fontId="33" fillId="0" borderId="0" xfId="25" applyNumberFormat="1" applyFont="1" applyFill="1" applyBorder="1" applyAlignment="1" quotePrefix="1">
      <alignment horizontal="right" vertical="center"/>
    </xf>
    <xf numFmtId="0" fontId="35" fillId="0" borderId="0" xfId="0" applyFont="1" applyBorder="1" applyAlignment="1">
      <alignment horizontal="left"/>
    </xf>
    <xf numFmtId="173" fontId="33" fillId="0" borderId="0" xfId="0" applyNumberFormat="1" applyFont="1" applyFill="1" applyBorder="1" applyAlignment="1">
      <alignment horizontal="left" wrapText="1"/>
    </xf>
    <xf numFmtId="0" fontId="32" fillId="0" borderId="0" xfId="0" applyFont="1" applyFill="1" applyBorder="1" applyAlignment="1">
      <alignment horizontal="left"/>
    </xf>
    <xf numFmtId="0" fontId="32" fillId="0" borderId="0" xfId="0" applyFont="1" applyBorder="1" applyAlignment="1">
      <alignment horizontal="right"/>
    </xf>
    <xf numFmtId="173" fontId="33" fillId="0" borderId="0" xfId="25" applyNumberFormat="1" applyFont="1" applyFill="1" applyBorder="1" applyAlignment="1">
      <alignment horizontal="center"/>
    </xf>
    <xf numFmtId="173" fontId="33" fillId="0" borderId="0" xfId="25" applyNumberFormat="1" applyFont="1" applyBorder="1" applyAlignment="1">
      <alignment horizontal="center"/>
    </xf>
    <xf numFmtId="173" fontId="32" fillId="0" borderId="0" xfId="0" applyNumberFormat="1" applyFont="1" applyFill="1" applyBorder="1" applyAlignment="1">
      <alignment horizontal="right"/>
    </xf>
    <xf numFmtId="173" fontId="32" fillId="0" borderId="0" xfId="0" applyNumberFormat="1" applyFont="1" applyBorder="1" applyAlignment="1">
      <alignment horizontal="right"/>
    </xf>
    <xf numFmtId="173" fontId="32" fillId="0" borderId="43" xfId="25" applyNumberFormat="1" applyFont="1" applyBorder="1" applyAlignment="1">
      <alignment wrapText="1"/>
    </xf>
    <xf numFmtId="173" fontId="32" fillId="0" borderId="0" xfId="25" applyNumberFormat="1" applyFont="1" applyBorder="1" applyAlignment="1">
      <alignment wrapText="1"/>
    </xf>
    <xf numFmtId="0" fontId="32" fillId="0" borderId="0" xfId="0" applyFont="1" applyBorder="1" applyAlignment="1">
      <alignment horizontal="justify"/>
    </xf>
    <xf numFmtId="173" fontId="32" fillId="0" borderId="0" xfId="25" applyNumberFormat="1" applyFont="1" applyBorder="1" applyAlignment="1">
      <alignment horizontal="justify"/>
    </xf>
    <xf numFmtId="173" fontId="35" fillId="0" borderId="0" xfId="25" applyNumberFormat="1" applyFont="1" applyAlignment="1">
      <alignment/>
    </xf>
    <xf numFmtId="0" fontId="39" fillId="0" borderId="0" xfId="0" applyFont="1" applyAlignment="1" quotePrefix="1">
      <alignment horizontal="right"/>
    </xf>
    <xf numFmtId="0" fontId="40" fillId="0" borderId="0" xfId="0" applyFont="1" applyAlignment="1" quotePrefix="1">
      <alignment/>
    </xf>
    <xf numFmtId="0" fontId="34" fillId="0" borderId="0" xfId="0" applyFont="1" applyAlignment="1" quotePrefix="1">
      <alignment horizontal="right"/>
    </xf>
    <xf numFmtId="0" fontId="38" fillId="0" borderId="0" xfId="0" applyFont="1" applyAlignment="1" quotePrefix="1">
      <alignment/>
    </xf>
    <xf numFmtId="49" fontId="38" fillId="0" borderId="0" xfId="0" applyNumberFormat="1" applyFont="1" applyAlignment="1">
      <alignment horizontal="center"/>
    </xf>
    <xf numFmtId="43" fontId="38" fillId="0" borderId="0" xfId="25" applyFont="1" applyAlignment="1">
      <alignment horizontal="right"/>
    </xf>
    <xf numFmtId="0" fontId="36" fillId="0" borderId="0" xfId="0" applyFont="1" applyAlignment="1" quotePrefix="1">
      <alignment horizontal="right" vertical="center"/>
    </xf>
    <xf numFmtId="0" fontId="36" fillId="0" borderId="0" xfId="0" applyFont="1" applyAlignment="1" quotePrefix="1">
      <alignment horizontal="left" vertical="center"/>
    </xf>
    <xf numFmtId="0" fontId="35" fillId="0" borderId="0" xfId="0" applyFont="1" applyBorder="1" applyAlignment="1" quotePrefix="1">
      <alignment vertical="center"/>
    </xf>
    <xf numFmtId="49" fontId="35" fillId="0" borderId="0" xfId="0" applyNumberFormat="1" applyFont="1" applyBorder="1" applyAlignment="1">
      <alignment horizontal="center" vertical="center"/>
    </xf>
    <xf numFmtId="14" fontId="37" fillId="0" borderId="0" xfId="0" applyNumberFormat="1" applyFont="1" applyBorder="1" applyAlignment="1" quotePrefix="1">
      <alignment horizontal="right" vertical="center"/>
    </xf>
    <xf numFmtId="43" fontId="36" fillId="0" borderId="0" xfId="25" applyFont="1" applyFill="1" applyBorder="1" applyAlignment="1">
      <alignment horizontal="right" vertical="center"/>
    </xf>
    <xf numFmtId="14" fontId="37" fillId="0" borderId="0" xfId="0" applyNumberFormat="1" applyFont="1" applyFill="1" applyBorder="1" applyAlignment="1" quotePrefix="1">
      <alignment horizontal="right" vertical="center"/>
    </xf>
    <xf numFmtId="0" fontId="33" fillId="0" borderId="0" xfId="55" applyFont="1" applyBorder="1" applyAlignment="1">
      <alignment vertical="center"/>
      <protection/>
    </xf>
    <xf numFmtId="173" fontId="33" fillId="0" borderId="0" xfId="55" applyNumberFormat="1" applyFont="1" applyBorder="1" applyAlignment="1">
      <alignment vertical="center"/>
      <protection/>
    </xf>
    <xf numFmtId="0" fontId="32" fillId="0" borderId="0" xfId="55" applyFont="1" applyBorder="1" applyAlignment="1">
      <alignment/>
      <protection/>
    </xf>
    <xf numFmtId="0" fontId="33" fillId="0" borderId="0" xfId="0" applyFont="1" applyBorder="1" applyAlignment="1" quotePrefix="1">
      <alignment/>
    </xf>
    <xf numFmtId="173" fontId="32" fillId="0" borderId="43" xfId="25" applyNumberFormat="1" applyFont="1" applyBorder="1" applyAlignment="1">
      <alignment/>
    </xf>
    <xf numFmtId="173" fontId="32" fillId="0" borderId="0" xfId="25" applyNumberFormat="1" applyFont="1" applyBorder="1" applyAlignment="1">
      <alignment/>
    </xf>
    <xf numFmtId="0" fontId="33" fillId="0" borderId="0" xfId="0" applyFont="1" applyAlignment="1">
      <alignment/>
    </xf>
    <xf numFmtId="43" fontId="32" fillId="0" borderId="0" xfId="25" applyFont="1" applyBorder="1" applyAlignment="1">
      <alignment horizontal="right"/>
    </xf>
    <xf numFmtId="0" fontId="32" fillId="0" borderId="0" xfId="0" applyFont="1" applyAlignment="1" quotePrefix="1">
      <alignment/>
    </xf>
    <xf numFmtId="0" fontId="36" fillId="0" borderId="0" xfId="0" applyFont="1" applyBorder="1" applyAlignment="1">
      <alignment horizontal="right"/>
    </xf>
    <xf numFmtId="173" fontId="32" fillId="0" borderId="0" xfId="0" applyNumberFormat="1" applyFont="1" applyBorder="1" applyAlignment="1">
      <alignment/>
    </xf>
    <xf numFmtId="173" fontId="32" fillId="0" borderId="43" xfId="25" applyNumberFormat="1" applyFont="1" applyBorder="1" applyAlignment="1">
      <alignment/>
    </xf>
    <xf numFmtId="0" fontId="36" fillId="0" borderId="0" xfId="0" applyFont="1" applyFill="1" applyBorder="1" applyAlignment="1" quotePrefix="1">
      <alignment horizontal="right"/>
    </xf>
    <xf numFmtId="173" fontId="32" fillId="0" borderId="43" xfId="25" applyNumberFormat="1" applyFont="1" applyFill="1" applyBorder="1" applyAlignment="1">
      <alignment horizontal="right"/>
    </xf>
    <xf numFmtId="173" fontId="32" fillId="0" borderId="0" xfId="25" applyNumberFormat="1" applyFont="1" applyFill="1" applyBorder="1" applyAlignment="1">
      <alignment horizontal="right"/>
    </xf>
    <xf numFmtId="37" fontId="32" fillId="0" borderId="0" xfId="0" applyNumberFormat="1" applyFont="1" applyBorder="1" applyAlignment="1">
      <alignment horizontal="right"/>
    </xf>
    <xf numFmtId="14" fontId="36" fillId="0" borderId="0" xfId="0" applyNumberFormat="1" applyFont="1" applyBorder="1" applyAlignment="1">
      <alignment horizontal="center" wrapText="1"/>
    </xf>
    <xf numFmtId="14" fontId="36" fillId="0" borderId="0" xfId="0" applyNumberFormat="1" applyFont="1" applyBorder="1" applyAlignment="1" quotePrefix="1">
      <alignment horizontal="center" wrapText="1"/>
    </xf>
    <xf numFmtId="0" fontId="36" fillId="0" borderId="0" xfId="0" applyFont="1" applyBorder="1" applyAlignment="1">
      <alignment horizontal="right" wrapText="1"/>
    </xf>
    <xf numFmtId="173" fontId="33" fillId="0" borderId="0" xfId="0" applyNumberFormat="1" applyFont="1" applyBorder="1" applyAlignment="1">
      <alignment horizontal="right" wrapText="1"/>
    </xf>
    <xf numFmtId="0" fontId="33" fillId="0" borderId="0" xfId="0" applyFont="1" applyBorder="1" applyAlignment="1">
      <alignment horizontal="right" wrapText="1"/>
    </xf>
    <xf numFmtId="173" fontId="35" fillId="0" borderId="0" xfId="25" applyNumberFormat="1" applyFont="1" applyBorder="1" applyAlignment="1" quotePrefix="1">
      <alignment horizontal="right" vertical="center"/>
    </xf>
    <xf numFmtId="43" fontId="33" fillId="0" borderId="0" xfId="25" applyNumberFormat="1" applyFont="1" applyFill="1" applyBorder="1" applyAlignment="1">
      <alignment/>
    </xf>
    <xf numFmtId="173" fontId="33" fillId="0" borderId="0" xfId="25" applyNumberFormat="1" applyFont="1" applyBorder="1" applyAlignment="1" quotePrefix="1">
      <alignment horizontal="right" vertical="center"/>
    </xf>
    <xf numFmtId="43" fontId="32" fillId="0" borderId="0" xfId="25" applyNumberFormat="1" applyFont="1" applyBorder="1" applyAlignment="1">
      <alignment horizontal="right"/>
    </xf>
    <xf numFmtId="14" fontId="36" fillId="0" borderId="0" xfId="0" applyNumberFormat="1" applyFont="1" applyFill="1" applyBorder="1" applyAlignment="1" quotePrefix="1">
      <alignment horizontal="right" vertical="center"/>
    </xf>
    <xf numFmtId="37" fontId="32" fillId="0" borderId="43" xfId="0" applyNumberFormat="1" applyFont="1" applyBorder="1" applyAlignment="1">
      <alignment horizontal="right"/>
    </xf>
    <xf numFmtId="49" fontId="33" fillId="0" borderId="0" xfId="0" applyNumberFormat="1" applyFont="1" applyFill="1" applyAlignment="1">
      <alignment horizontal="center"/>
    </xf>
    <xf numFmtId="41" fontId="33" fillId="0" borderId="0" xfId="0" applyNumberFormat="1" applyFont="1" applyAlignment="1">
      <alignment/>
    </xf>
    <xf numFmtId="173" fontId="33" fillId="0" borderId="0" xfId="25" applyNumberFormat="1" applyFont="1" applyBorder="1" applyAlignment="1" quotePrefix="1">
      <alignment horizontal="right"/>
    </xf>
    <xf numFmtId="173" fontId="32" fillId="0" borderId="43" xfId="25" applyNumberFormat="1" applyFont="1" applyFill="1" applyBorder="1" applyAlignment="1">
      <alignment/>
    </xf>
    <xf numFmtId="173" fontId="33" fillId="0" borderId="0" xfId="25" applyNumberFormat="1" applyFont="1" applyFill="1" applyAlignment="1">
      <alignment/>
    </xf>
    <xf numFmtId="0" fontId="36" fillId="0" borderId="0" xfId="0" applyFont="1" applyFill="1" applyAlignment="1">
      <alignment/>
    </xf>
    <xf numFmtId="0" fontId="36" fillId="0" borderId="0" xfId="0" applyFont="1" applyFill="1" applyAlignment="1">
      <alignment horizontal="left"/>
    </xf>
    <xf numFmtId="0" fontId="32" fillId="0" borderId="0" xfId="0" applyFont="1" applyFill="1" applyAlignment="1" quotePrefix="1">
      <alignment/>
    </xf>
    <xf numFmtId="0" fontId="36" fillId="0" borderId="0" xfId="0" applyFont="1" applyFill="1" applyAlignment="1" quotePrefix="1">
      <alignment horizontal="left"/>
    </xf>
    <xf numFmtId="0" fontId="36" fillId="0" borderId="0" xfId="0" applyFont="1" applyAlignment="1" quotePrefix="1">
      <alignment/>
    </xf>
    <xf numFmtId="49" fontId="36" fillId="0" borderId="0" xfId="0" applyNumberFormat="1" applyFont="1" applyBorder="1" applyAlignment="1">
      <alignment horizontal="center"/>
    </xf>
    <xf numFmtId="37" fontId="33" fillId="0" borderId="0" xfId="0" applyNumberFormat="1" applyFont="1" applyAlignment="1">
      <alignment/>
    </xf>
    <xf numFmtId="37" fontId="35" fillId="0" borderId="0" xfId="0" applyNumberFormat="1" applyFont="1" applyAlignment="1">
      <alignment horizontal="right"/>
    </xf>
    <xf numFmtId="0" fontId="37" fillId="0" borderId="0" xfId="0" applyFont="1" applyAlignment="1">
      <alignment horizontal="right"/>
    </xf>
    <xf numFmtId="37" fontId="36" fillId="0" borderId="0" xfId="0" applyNumberFormat="1" applyFont="1" applyBorder="1" applyAlignment="1">
      <alignment/>
    </xf>
    <xf numFmtId="37" fontId="35" fillId="0" borderId="0" xfId="0" applyNumberFormat="1" applyFont="1" applyBorder="1" applyAlignment="1">
      <alignment horizontal="right"/>
    </xf>
    <xf numFmtId="0" fontId="32" fillId="0" borderId="0" xfId="0" applyFont="1" applyFill="1" applyBorder="1" applyAlignment="1" quotePrefix="1">
      <alignment horizontal="right"/>
    </xf>
    <xf numFmtId="0" fontId="36" fillId="0" borderId="0" xfId="0" applyFont="1" applyFill="1" applyBorder="1" applyAlignment="1">
      <alignment horizontal="left"/>
    </xf>
    <xf numFmtId="49" fontId="33" fillId="0" borderId="0" xfId="0" applyNumberFormat="1" applyFont="1" applyFill="1" applyBorder="1" applyAlignment="1">
      <alignment horizontal="center"/>
    </xf>
    <xf numFmtId="41" fontId="33" fillId="0" borderId="0" xfId="0" applyNumberFormat="1" applyFont="1" applyFill="1" applyBorder="1" applyAlignment="1">
      <alignment/>
    </xf>
    <xf numFmtId="0" fontId="32" fillId="0" borderId="0" xfId="0" applyFont="1" applyFill="1" applyBorder="1" applyAlignment="1" quotePrefix="1">
      <alignment/>
    </xf>
    <xf numFmtId="37" fontId="32" fillId="0" borderId="0" xfId="0" applyNumberFormat="1" applyFont="1" applyFill="1" applyBorder="1" applyAlignment="1">
      <alignment horizontal="right"/>
    </xf>
    <xf numFmtId="0" fontId="36" fillId="0" borderId="0" xfId="0" applyFont="1" applyBorder="1" applyAlignment="1">
      <alignment horizontal="center"/>
    </xf>
    <xf numFmtId="43" fontId="36" fillId="0" borderId="0" xfId="25" applyFont="1" applyBorder="1" applyAlignment="1">
      <alignment horizontal="center" wrapText="1"/>
    </xf>
    <xf numFmtId="0" fontId="33" fillId="0" borderId="0" xfId="0" applyFont="1" applyBorder="1" applyAlignment="1">
      <alignment horizontal="center"/>
    </xf>
    <xf numFmtId="43" fontId="33" fillId="0" borderId="0" xfId="25" applyFont="1" applyBorder="1" applyAlignment="1">
      <alignment horizontal="justify"/>
    </xf>
    <xf numFmtId="9" fontId="33" fillId="0" borderId="0" xfId="57" applyFont="1" applyBorder="1" applyAlignment="1">
      <alignment horizontal="center"/>
    </xf>
    <xf numFmtId="49" fontId="32" fillId="0" borderId="0" xfId="0" applyNumberFormat="1" applyFont="1" applyAlignment="1">
      <alignment horizontal="center"/>
    </xf>
    <xf numFmtId="0" fontId="36" fillId="0" borderId="29" xfId="0" applyFont="1" applyBorder="1" applyAlignment="1">
      <alignment horizontal="center"/>
    </xf>
    <xf numFmtId="172" fontId="32" fillId="0" borderId="29" xfId="25" applyNumberFormat="1" applyFont="1" applyBorder="1" applyAlignment="1" quotePrefix="1">
      <alignment horizontal="center" vertical="center"/>
    </xf>
    <xf numFmtId="43" fontId="32" fillId="0" borderId="29" xfId="25" applyFont="1" applyBorder="1" applyAlignment="1">
      <alignment horizontal="center" vertical="center"/>
    </xf>
    <xf numFmtId="43" fontId="32" fillId="0" borderId="29" xfId="25" applyNumberFormat="1" applyFont="1" applyBorder="1" applyAlignment="1" quotePrefix="1">
      <alignment horizontal="center" vertical="center"/>
    </xf>
    <xf numFmtId="0" fontId="36" fillId="0" borderId="29" xfId="0" applyFont="1" applyBorder="1" applyAlignment="1" quotePrefix="1">
      <alignment horizontal="center"/>
    </xf>
    <xf numFmtId="0" fontId="36" fillId="0" borderId="27" xfId="0" applyFont="1" applyBorder="1" applyAlignment="1" quotePrefix="1">
      <alignment horizontal="center"/>
    </xf>
    <xf numFmtId="0" fontId="36" fillId="0" borderId="0" xfId="0" applyFont="1" applyBorder="1" applyAlignment="1" quotePrefix="1">
      <alignment horizontal="center"/>
    </xf>
    <xf numFmtId="0" fontId="36" fillId="0" borderId="39" xfId="0" applyFont="1" applyBorder="1" applyAlignment="1" quotePrefix="1">
      <alignment horizontal="center"/>
    </xf>
    <xf numFmtId="173" fontId="36" fillId="0" borderId="45" xfId="25" applyNumberFormat="1" applyFont="1" applyBorder="1" applyAlignment="1">
      <alignment horizontal="center" vertical="center"/>
    </xf>
    <xf numFmtId="173" fontId="36" fillId="0" borderId="0" xfId="25" applyNumberFormat="1" applyFont="1" applyBorder="1" applyAlignment="1">
      <alignment horizontal="center" vertical="center"/>
    </xf>
    <xf numFmtId="0" fontId="36" fillId="0" borderId="29" xfId="0" applyFont="1" applyFill="1" applyBorder="1" applyAlignment="1" quotePrefix="1">
      <alignment horizontal="center"/>
    </xf>
    <xf numFmtId="43" fontId="36" fillId="0" borderId="29" xfId="25" applyFont="1" applyBorder="1" applyAlignment="1" quotePrefix="1">
      <alignment horizontal="center" vertical="center"/>
    </xf>
    <xf numFmtId="0" fontId="34" fillId="0" borderId="0" xfId="0" applyFont="1" applyAlignment="1">
      <alignment horizontal="center" vertical="center"/>
    </xf>
    <xf numFmtId="0" fontId="36" fillId="0" borderId="0" xfId="0" applyFont="1" applyBorder="1" applyAlignment="1">
      <alignment horizontal="center" vertical="center"/>
    </xf>
    <xf numFmtId="0" fontId="32" fillId="0" borderId="39" xfId="0" applyFont="1" applyBorder="1" applyAlignment="1">
      <alignment horizontal="center" vertical="center"/>
    </xf>
    <xf numFmtId="43" fontId="33" fillId="0" borderId="0" xfId="25" applyFont="1" applyAlignment="1">
      <alignment/>
    </xf>
    <xf numFmtId="173" fontId="38" fillId="0" borderId="0" xfId="25" applyNumberFormat="1" applyFont="1" applyAlignment="1">
      <alignment/>
    </xf>
    <xf numFmtId="0" fontId="29" fillId="0" borderId="56" xfId="53" applyFont="1" applyFill="1" applyBorder="1" applyAlignment="1">
      <alignment vertical="center"/>
      <protection/>
    </xf>
    <xf numFmtId="0" fontId="29" fillId="0" borderId="17" xfId="53" applyFont="1" applyFill="1" applyBorder="1" applyAlignment="1">
      <alignment vertical="center"/>
      <protection/>
    </xf>
    <xf numFmtId="173" fontId="34" fillId="0" borderId="0" xfId="0" applyNumberFormat="1" applyFont="1" applyAlignment="1">
      <alignment vertical="center"/>
    </xf>
    <xf numFmtId="173" fontId="33" fillId="0" borderId="17" xfId="0" applyNumberFormat="1" applyFont="1" applyBorder="1" applyAlignment="1">
      <alignment/>
    </xf>
    <xf numFmtId="173" fontId="33" fillId="0" borderId="17" xfId="25" applyNumberFormat="1" applyFont="1" applyBorder="1" applyAlignment="1">
      <alignment/>
    </xf>
    <xf numFmtId="173" fontId="33" fillId="0" borderId="0" xfId="25" applyNumberFormat="1" applyFont="1" applyFill="1" applyBorder="1" applyAlignment="1">
      <alignment vertical="center"/>
    </xf>
    <xf numFmtId="41" fontId="32" fillId="0" borderId="0" xfId="0" applyNumberFormat="1" applyFont="1" applyBorder="1" applyAlignment="1">
      <alignment/>
    </xf>
    <xf numFmtId="173" fontId="32" fillId="0" borderId="0" xfId="0" applyNumberFormat="1" applyFont="1" applyBorder="1" applyAlignment="1" quotePrefix="1">
      <alignment horizontal="right"/>
    </xf>
    <xf numFmtId="0" fontId="36" fillId="0" borderId="0" xfId="53" applyFont="1" applyFill="1" applyAlignment="1">
      <alignment vertical="center"/>
      <protection/>
    </xf>
    <xf numFmtId="0" fontId="32" fillId="0" borderId="0" xfId="0" applyFont="1" applyBorder="1" applyAlignment="1">
      <alignment horizontal="center" vertical="center" wrapText="1"/>
    </xf>
    <xf numFmtId="173" fontId="32" fillId="0" borderId="0" xfId="25" applyNumberFormat="1" applyFont="1" applyBorder="1" applyAlignment="1">
      <alignment horizontal="center" vertical="center" wrapText="1"/>
    </xf>
    <xf numFmtId="173" fontId="35" fillId="0" borderId="0" xfId="25" applyNumberFormat="1" applyFont="1" applyFill="1" applyBorder="1" applyAlignment="1" quotePrefix="1">
      <alignment horizontal="right" vertical="center"/>
    </xf>
    <xf numFmtId="173" fontId="35" fillId="0" borderId="0" xfId="25" applyNumberFormat="1" applyFont="1" applyFill="1" applyAlignment="1">
      <alignment/>
    </xf>
    <xf numFmtId="0" fontId="36" fillId="0" borderId="0" xfId="0" applyFont="1" applyFill="1" applyAlignment="1" quotePrefix="1">
      <alignment horizontal="right"/>
    </xf>
    <xf numFmtId="0" fontId="35" fillId="0" borderId="0" xfId="0" applyFont="1" applyFill="1" applyAlignment="1">
      <alignment/>
    </xf>
    <xf numFmtId="43" fontId="35" fillId="0" borderId="0" xfId="25" applyNumberFormat="1" applyFont="1" applyFill="1" applyBorder="1" applyAlignment="1">
      <alignment/>
    </xf>
    <xf numFmtId="173" fontId="35" fillId="0" borderId="0" xfId="25" applyNumberFormat="1" applyFont="1" applyFill="1" applyBorder="1" applyAlignment="1">
      <alignment horizontal="center" vertical="center"/>
    </xf>
    <xf numFmtId="173" fontId="33" fillId="0" borderId="0" xfId="25" applyNumberFormat="1" applyFont="1" applyFill="1" applyBorder="1" applyAlignment="1">
      <alignment horizontal="center" vertical="center"/>
    </xf>
    <xf numFmtId="173" fontId="33" fillId="0" borderId="0" xfId="25" applyNumberFormat="1" applyFont="1" applyFill="1" applyBorder="1" applyAlignment="1" quotePrefix="1">
      <alignment horizontal="right"/>
    </xf>
    <xf numFmtId="173" fontId="35" fillId="0" borderId="0" xfId="25" applyNumberFormat="1" applyFont="1" applyAlignment="1" quotePrefix="1">
      <alignment horizontal="center"/>
    </xf>
    <xf numFmtId="43" fontId="36" fillId="0" borderId="0" xfId="25" applyFont="1" applyAlignment="1">
      <alignment horizontal="right"/>
    </xf>
    <xf numFmtId="173" fontId="32" fillId="0" borderId="0" xfId="25" applyNumberFormat="1" applyFont="1" applyFill="1" applyBorder="1" applyAlignment="1">
      <alignment horizontal="left"/>
    </xf>
    <xf numFmtId="173" fontId="32" fillId="0" borderId="0" xfId="0" applyNumberFormat="1" applyFont="1" applyFill="1" applyBorder="1" applyAlignment="1">
      <alignment/>
    </xf>
    <xf numFmtId="37" fontId="32" fillId="0" borderId="0" xfId="0" applyNumberFormat="1" applyFont="1" applyBorder="1" applyAlignment="1">
      <alignment/>
    </xf>
    <xf numFmtId="173" fontId="32" fillId="0" borderId="0" xfId="25" applyNumberFormat="1" applyFont="1" applyAlignment="1">
      <alignment/>
    </xf>
    <xf numFmtId="173" fontId="32" fillId="0" borderId="0" xfId="25" applyNumberFormat="1" applyFont="1" applyAlignment="1" quotePrefix="1">
      <alignment horizontal="center"/>
    </xf>
    <xf numFmtId="173" fontId="40" fillId="0" borderId="0" xfId="25" applyNumberFormat="1" applyFont="1" applyAlignment="1">
      <alignment/>
    </xf>
    <xf numFmtId="173" fontId="35" fillId="0" borderId="0" xfId="25" applyNumberFormat="1" applyFont="1" applyAlignment="1">
      <alignment vertical="center"/>
    </xf>
    <xf numFmtId="173" fontId="33" fillId="0" borderId="0" xfId="25" applyNumberFormat="1" applyFont="1" applyAlignment="1">
      <alignment/>
    </xf>
    <xf numFmtId="173" fontId="32" fillId="0" borderId="0" xfId="25" applyNumberFormat="1" applyFont="1" applyAlignment="1">
      <alignment horizontal="center" vertical="center" wrapText="1"/>
    </xf>
    <xf numFmtId="173" fontId="32" fillId="0" borderId="0" xfId="25" applyNumberFormat="1" applyFont="1" applyAlignment="1">
      <alignment vertical="center"/>
    </xf>
    <xf numFmtId="173" fontId="36" fillId="0" borderId="0" xfId="25" applyNumberFormat="1" applyFont="1" applyAlignment="1">
      <alignment/>
    </xf>
    <xf numFmtId="37" fontId="35" fillId="0" borderId="0" xfId="0" applyNumberFormat="1" applyFont="1" applyBorder="1" applyAlignment="1">
      <alignment/>
    </xf>
    <xf numFmtId="173" fontId="35" fillId="0" borderId="0" xfId="25" applyNumberFormat="1" applyFont="1" applyFill="1" applyBorder="1" applyAlignment="1">
      <alignment horizontal="left"/>
    </xf>
    <xf numFmtId="173" fontId="35" fillId="0" borderId="0" xfId="0" applyNumberFormat="1" applyFont="1" applyFill="1" applyBorder="1" applyAlignment="1">
      <alignment/>
    </xf>
    <xf numFmtId="173" fontId="35" fillId="0" borderId="0" xfId="0" applyNumberFormat="1" applyFont="1" applyBorder="1" applyAlignment="1">
      <alignment/>
    </xf>
    <xf numFmtId="0" fontId="35" fillId="0" borderId="0" xfId="0" applyFont="1" applyFill="1" applyBorder="1" applyAlignment="1">
      <alignment horizontal="left"/>
    </xf>
    <xf numFmtId="0" fontId="33" fillId="0" borderId="0" xfId="0" applyFont="1" applyFill="1" applyBorder="1" applyAlignment="1">
      <alignment horizontal="left"/>
    </xf>
    <xf numFmtId="37" fontId="32" fillId="0" borderId="0" xfId="0" applyNumberFormat="1" applyFont="1" applyFill="1" applyBorder="1" applyAlignment="1">
      <alignment/>
    </xf>
    <xf numFmtId="173" fontId="39" fillId="0" borderId="0" xfId="25" applyNumberFormat="1" applyFont="1" applyAlignment="1">
      <alignment/>
    </xf>
    <xf numFmtId="173" fontId="34" fillId="0" borderId="0" xfId="25" applyNumberFormat="1" applyFont="1" applyAlignment="1">
      <alignment/>
    </xf>
    <xf numFmtId="0" fontId="48" fillId="0" borderId="0" xfId="0" applyFont="1" applyAlignment="1">
      <alignment/>
    </xf>
    <xf numFmtId="0" fontId="48" fillId="0" borderId="0" xfId="0" applyFont="1" applyBorder="1" applyAlignment="1">
      <alignment/>
    </xf>
    <xf numFmtId="0" fontId="48" fillId="0" borderId="0" xfId="0" applyFont="1" applyBorder="1" applyAlignment="1" quotePrefix="1">
      <alignment/>
    </xf>
    <xf numFmtId="173" fontId="48" fillId="0" borderId="0" xfId="25" applyNumberFormat="1" applyFont="1" applyAlignment="1">
      <alignment/>
    </xf>
    <xf numFmtId="49" fontId="48" fillId="0" borderId="0" xfId="0" applyNumberFormat="1" applyFont="1" applyBorder="1" applyAlignment="1">
      <alignment horizontal="center"/>
    </xf>
    <xf numFmtId="0" fontId="50" fillId="0" borderId="0" xfId="0" applyFont="1" applyAlignment="1">
      <alignment horizontal="right" wrapText="1"/>
    </xf>
    <xf numFmtId="3" fontId="49" fillId="0" borderId="0" xfId="0" applyNumberFormat="1" applyFont="1" applyAlignment="1">
      <alignment horizontal="right" wrapText="1"/>
    </xf>
    <xf numFmtId="0" fontId="47" fillId="0" borderId="0" xfId="0" applyFont="1" applyAlignment="1" quotePrefix="1">
      <alignment horizontal="right"/>
    </xf>
    <xf numFmtId="0" fontId="47" fillId="0" borderId="0" xfId="0" applyFont="1" applyAlignment="1" quotePrefix="1">
      <alignment horizontal="left"/>
    </xf>
    <xf numFmtId="173" fontId="48" fillId="0" borderId="0" xfId="25" applyNumberFormat="1" applyFont="1" applyBorder="1" applyAlignment="1">
      <alignment horizontal="right"/>
    </xf>
    <xf numFmtId="0" fontId="33" fillId="0" borderId="0" xfId="55" applyFont="1" applyFill="1" applyBorder="1" applyAlignment="1" quotePrefix="1">
      <alignment vertical="center"/>
      <protection/>
    </xf>
    <xf numFmtId="173" fontId="33" fillId="0" borderId="0" xfId="0" applyNumberFormat="1" applyFont="1" applyAlignment="1">
      <alignment vertical="center"/>
    </xf>
    <xf numFmtId="173" fontId="36" fillId="0" borderId="0" xfId="25" applyNumberFormat="1" applyFont="1" applyAlignment="1">
      <alignment vertical="center"/>
    </xf>
    <xf numFmtId="0" fontId="7" fillId="0" borderId="0" xfId="53" applyFont="1" applyFill="1" applyBorder="1" applyAlignment="1">
      <alignment horizontal="left" vertical="center"/>
      <protection/>
    </xf>
    <xf numFmtId="173" fontId="51" fillId="0" borderId="0" xfId="25" applyNumberFormat="1" applyFont="1" applyBorder="1" applyAlignment="1">
      <alignment vertical="center"/>
    </xf>
    <xf numFmtId="0" fontId="52" fillId="0" borderId="0" xfId="0" applyFont="1" applyAlignment="1">
      <alignment vertical="center"/>
    </xf>
    <xf numFmtId="0" fontId="36" fillId="0" borderId="0" xfId="0" applyFont="1" applyAlignment="1">
      <alignment wrapText="1"/>
    </xf>
    <xf numFmtId="0" fontId="33" fillId="0" borderId="0" xfId="0" applyFont="1" applyFill="1" applyBorder="1" applyAlignment="1">
      <alignment horizontal="justify" wrapText="1"/>
    </xf>
    <xf numFmtId="0" fontId="33" fillId="0" borderId="0" xfId="0" applyFont="1" applyFill="1" applyBorder="1" applyAlignment="1">
      <alignment wrapText="1"/>
    </xf>
    <xf numFmtId="0" fontId="33" fillId="0" borderId="0" xfId="0" applyFont="1" applyBorder="1" applyAlignment="1">
      <alignment horizontal="justify" wrapText="1"/>
    </xf>
    <xf numFmtId="0" fontId="33" fillId="6" borderId="0" xfId="0" applyFont="1" applyFill="1" applyAlignment="1">
      <alignment vertical="center"/>
    </xf>
    <xf numFmtId="0" fontId="33" fillId="0" borderId="0" xfId="0" applyFont="1" applyFill="1" applyAlignment="1" quotePrefix="1">
      <alignment wrapText="1"/>
    </xf>
    <xf numFmtId="0" fontId="32" fillId="0" borderId="0" xfId="0" applyFont="1" applyFill="1" applyBorder="1" applyAlignment="1">
      <alignment horizontal="right"/>
    </xf>
    <xf numFmtId="173" fontId="36" fillId="0" borderId="0" xfId="25" applyNumberFormat="1" applyFont="1" applyFill="1" applyBorder="1" applyAlignment="1" quotePrefix="1">
      <alignment horizontal="right" vertical="center"/>
    </xf>
    <xf numFmtId="41" fontId="33" fillId="0" borderId="0" xfId="0" applyNumberFormat="1" applyFont="1" applyFill="1" applyAlignment="1">
      <alignment/>
    </xf>
    <xf numFmtId="173" fontId="34" fillId="0" borderId="0" xfId="25" applyNumberFormat="1" applyFont="1" applyBorder="1" applyAlignment="1">
      <alignment vertical="center"/>
    </xf>
    <xf numFmtId="173" fontId="33" fillId="0" borderId="17" xfId="25" applyNumberFormat="1" applyFont="1" applyFill="1" applyBorder="1" applyAlignment="1">
      <alignment horizontal="right"/>
    </xf>
    <xf numFmtId="0" fontId="36" fillId="0" borderId="0" xfId="0" applyFont="1" applyFill="1" applyBorder="1" applyAlignment="1">
      <alignment/>
    </xf>
    <xf numFmtId="0" fontId="36" fillId="0" borderId="0" xfId="0" applyFont="1" applyFill="1" applyBorder="1" applyAlignment="1">
      <alignment vertical="center"/>
    </xf>
    <xf numFmtId="0" fontId="35" fillId="0" borderId="0" xfId="0" applyFont="1" applyFill="1" applyAlignment="1">
      <alignment horizontal="right"/>
    </xf>
    <xf numFmtId="173" fontId="33" fillId="0" borderId="0" xfId="25" applyNumberFormat="1" applyFont="1" applyFill="1" applyAlignment="1">
      <alignment wrapText="1"/>
    </xf>
    <xf numFmtId="0" fontId="32" fillId="0" borderId="0" xfId="0" applyFont="1" applyFill="1" applyAlignment="1">
      <alignment horizontal="center" wrapText="1"/>
    </xf>
    <xf numFmtId="9" fontId="33" fillId="0" borderId="0" xfId="0" applyNumberFormat="1" applyFont="1" applyFill="1" applyAlignment="1">
      <alignment horizontal="center" wrapText="1"/>
    </xf>
    <xf numFmtId="9" fontId="33" fillId="0" borderId="0" xfId="25" applyNumberFormat="1" applyFont="1" applyFill="1" applyBorder="1" applyAlignment="1">
      <alignment horizontal="center"/>
    </xf>
    <xf numFmtId="9" fontId="32" fillId="0" borderId="43" xfId="25" applyNumberFormat="1" applyFont="1" applyFill="1" applyBorder="1" applyAlignment="1">
      <alignment horizontal="center"/>
    </xf>
    <xf numFmtId="173" fontId="33" fillId="0" borderId="0" xfId="25" applyNumberFormat="1" applyFont="1" applyFill="1" applyAlignment="1">
      <alignment/>
    </xf>
    <xf numFmtId="173" fontId="35" fillId="0" borderId="0" xfId="25" applyNumberFormat="1" applyFont="1" applyFill="1" applyBorder="1" applyAlignment="1">
      <alignment horizontal="right" vertical="center"/>
    </xf>
    <xf numFmtId="9" fontId="32" fillId="0" borderId="0" xfId="25" applyNumberFormat="1" applyFont="1" applyFill="1" applyBorder="1" applyAlignment="1">
      <alignment horizontal="center"/>
    </xf>
    <xf numFmtId="37" fontId="33" fillId="0" borderId="0" xfId="0" applyNumberFormat="1" applyFont="1" applyFill="1" applyBorder="1" applyAlignment="1">
      <alignment horizontal="right"/>
    </xf>
    <xf numFmtId="173" fontId="33" fillId="0" borderId="0" xfId="25" applyNumberFormat="1" applyFont="1" applyFill="1" applyBorder="1" applyAlignment="1">
      <alignment wrapText="1"/>
    </xf>
    <xf numFmtId="173" fontId="36" fillId="0" borderId="0" xfId="0" applyNumberFormat="1" applyFont="1" applyFill="1" applyAlignment="1">
      <alignment/>
    </xf>
    <xf numFmtId="0" fontId="36" fillId="0" borderId="0" xfId="0" applyFont="1" applyFill="1" applyBorder="1" applyAlignment="1">
      <alignment horizontal="right"/>
    </xf>
    <xf numFmtId="49" fontId="36" fillId="0" borderId="0" xfId="0" applyNumberFormat="1" applyFont="1" applyFill="1" applyBorder="1" applyAlignment="1">
      <alignment horizontal="center"/>
    </xf>
    <xf numFmtId="41" fontId="36" fillId="0" borderId="0" xfId="0" applyNumberFormat="1" applyFont="1" applyFill="1" applyBorder="1" applyAlignment="1">
      <alignment/>
    </xf>
    <xf numFmtId="173" fontId="36" fillId="0" borderId="0" xfId="25" applyNumberFormat="1" applyFont="1" applyFill="1" applyBorder="1" applyAlignment="1">
      <alignment/>
    </xf>
    <xf numFmtId="173" fontId="36" fillId="0" borderId="0" xfId="25" applyNumberFormat="1" applyFont="1" applyFill="1" applyAlignment="1">
      <alignment/>
    </xf>
    <xf numFmtId="0" fontId="33" fillId="0" borderId="0" xfId="0" applyFont="1" applyFill="1" applyBorder="1" applyAlignment="1" quotePrefix="1">
      <alignment horizontal="left"/>
    </xf>
    <xf numFmtId="41" fontId="35" fillId="0" borderId="0" xfId="0" applyNumberFormat="1" applyFont="1" applyFill="1" applyBorder="1" applyAlignment="1">
      <alignment/>
    </xf>
    <xf numFmtId="173" fontId="36" fillId="0" borderId="0" xfId="0" applyNumberFormat="1" applyFont="1" applyFill="1" applyBorder="1" applyAlignment="1">
      <alignment/>
    </xf>
    <xf numFmtId="41" fontId="36" fillId="0" borderId="43" xfId="0" applyNumberFormat="1" applyFont="1" applyFill="1" applyBorder="1" applyAlignment="1">
      <alignment/>
    </xf>
    <xf numFmtId="0" fontId="47" fillId="0" borderId="0" xfId="0" applyFont="1" applyAlignment="1" quotePrefix="1">
      <alignment/>
    </xf>
    <xf numFmtId="0" fontId="48" fillId="0" borderId="0" xfId="0" applyFont="1" applyAlignment="1">
      <alignment/>
    </xf>
    <xf numFmtId="173" fontId="48" fillId="0" borderId="0" xfId="25" applyNumberFormat="1" applyFont="1" applyAlignment="1">
      <alignment/>
    </xf>
    <xf numFmtId="0" fontId="48" fillId="0" borderId="0" xfId="0" applyFont="1" applyBorder="1" applyAlignment="1">
      <alignment/>
    </xf>
    <xf numFmtId="173" fontId="48" fillId="0" borderId="0" xfId="25" applyNumberFormat="1" applyFont="1" applyBorder="1" applyAlignment="1">
      <alignment/>
    </xf>
    <xf numFmtId="0" fontId="32" fillId="0" borderId="0" xfId="0" applyFont="1" applyAlignment="1" quotePrefix="1">
      <alignment/>
    </xf>
    <xf numFmtId="0" fontId="36" fillId="0" borderId="0" xfId="0" applyFont="1" applyAlignment="1" quotePrefix="1">
      <alignment/>
    </xf>
    <xf numFmtId="0" fontId="32" fillId="0" borderId="0" xfId="0" applyFont="1" applyAlignment="1">
      <alignment/>
    </xf>
    <xf numFmtId="0" fontId="47" fillId="0" borderId="0" xfId="0" applyFont="1" applyAlignment="1" quotePrefix="1">
      <alignment vertical="top"/>
    </xf>
    <xf numFmtId="0" fontId="32" fillId="0" borderId="0" xfId="0" applyFont="1" applyBorder="1" applyAlignment="1">
      <alignment/>
    </xf>
    <xf numFmtId="173" fontId="33" fillId="0" borderId="0" xfId="25" applyNumberFormat="1" applyFont="1" applyBorder="1" applyAlignment="1">
      <alignment/>
    </xf>
    <xf numFmtId="173" fontId="32" fillId="0" borderId="0" xfId="25" applyNumberFormat="1" applyFont="1" applyAlignment="1">
      <alignment/>
    </xf>
    <xf numFmtId="0" fontId="33" fillId="0" borderId="0" xfId="0" applyFont="1" applyBorder="1" applyAlignment="1">
      <alignment wrapText="1"/>
    </xf>
    <xf numFmtId="0" fontId="33" fillId="0" borderId="0" xfId="0" applyFont="1" applyBorder="1" applyAlignment="1">
      <alignment vertical="top"/>
    </xf>
    <xf numFmtId="0" fontId="33" fillId="0" borderId="0" xfId="0" applyFont="1" applyBorder="1" applyAlignment="1">
      <alignment horizontal="left" vertical="center" wrapText="1"/>
    </xf>
    <xf numFmtId="0" fontId="36" fillId="0" borderId="0" xfId="0" applyFont="1" applyAlignment="1">
      <alignment/>
    </xf>
    <xf numFmtId="0" fontId="35" fillId="0" borderId="0" xfId="0" applyFont="1" applyAlignment="1">
      <alignment/>
    </xf>
    <xf numFmtId="0" fontId="33" fillId="0" borderId="0" xfId="0" applyFont="1" applyBorder="1" applyAlignment="1">
      <alignment horizontal="justify" vertical="center" wrapText="1"/>
    </xf>
    <xf numFmtId="173" fontId="33" fillId="0" borderId="0" xfId="25" applyNumberFormat="1" applyFont="1" applyBorder="1" applyAlignment="1">
      <alignment vertical="center" wrapText="1"/>
    </xf>
    <xf numFmtId="0" fontId="33" fillId="0" borderId="0" xfId="0" applyFont="1" applyBorder="1" applyAlignment="1">
      <alignment vertical="center" wrapText="1"/>
    </xf>
    <xf numFmtId="0" fontId="33" fillId="0" borderId="0" xfId="0" applyFont="1" applyBorder="1" applyAlignment="1">
      <alignment horizontal="justify"/>
    </xf>
    <xf numFmtId="0" fontId="0" fillId="0" borderId="0" xfId="0" applyAlignment="1">
      <alignment wrapText="1"/>
    </xf>
    <xf numFmtId="173" fontId="33" fillId="0" borderId="0" xfId="0" applyNumberFormat="1" applyFont="1" applyBorder="1" applyAlignment="1">
      <alignment/>
    </xf>
    <xf numFmtId="0" fontId="37" fillId="0" borderId="53" xfId="54" applyFont="1" applyBorder="1" applyAlignment="1">
      <alignment horizontal="right" vertical="center"/>
      <protection/>
    </xf>
    <xf numFmtId="0" fontId="36" fillId="0" borderId="31" xfId="54" applyFont="1" applyBorder="1" applyAlignment="1">
      <alignment horizontal="left" vertical="center"/>
      <protection/>
    </xf>
    <xf numFmtId="0" fontId="36" fillId="0" borderId="0" xfId="54" applyFont="1" applyBorder="1" applyAlignment="1">
      <alignment horizontal="left" vertical="center"/>
      <protection/>
    </xf>
    <xf numFmtId="0" fontId="36" fillId="0" borderId="32" xfId="54" applyFont="1" applyBorder="1" applyAlignment="1">
      <alignment horizontal="left" vertical="center"/>
      <protection/>
    </xf>
    <xf numFmtId="0" fontId="36" fillId="0" borderId="29" xfId="54" applyFont="1" applyBorder="1" applyAlignment="1">
      <alignment horizontal="center" vertical="center"/>
      <protection/>
    </xf>
    <xf numFmtId="0" fontId="36" fillId="0" borderId="54" xfId="54" applyFont="1" applyBorder="1" applyAlignment="1">
      <alignment horizontal="center" vertical="center"/>
      <protection/>
    </xf>
    <xf numFmtId="0" fontId="32" fillId="0" borderId="31" xfId="0" applyFont="1" applyBorder="1" applyAlignment="1">
      <alignment/>
    </xf>
    <xf numFmtId="0" fontId="32" fillId="0" borderId="29" xfId="0" applyFont="1" applyBorder="1" applyAlignment="1">
      <alignment horizontal="center"/>
    </xf>
    <xf numFmtId="0" fontId="32" fillId="0" borderId="54" xfId="0" applyFont="1" applyBorder="1" applyAlignment="1">
      <alignment horizontal="center"/>
    </xf>
    <xf numFmtId="173" fontId="32" fillId="0" borderId="30" xfId="25" applyNumberFormat="1" applyFont="1" applyBorder="1" applyAlignment="1">
      <alignment horizontal="center"/>
    </xf>
    <xf numFmtId="0" fontId="32" fillId="0" borderId="29" xfId="0" applyFont="1" applyBorder="1" applyAlignment="1" quotePrefix="1">
      <alignment horizontal="center"/>
    </xf>
    <xf numFmtId="0" fontId="33" fillId="0" borderId="29" xfId="0" applyFont="1" applyBorder="1" applyAlignment="1" quotePrefix="1">
      <alignment horizontal="center"/>
    </xf>
    <xf numFmtId="173" fontId="33" fillId="0" borderId="30" xfId="25" applyNumberFormat="1" applyFont="1" applyBorder="1" applyAlignment="1" quotePrefix="1">
      <alignment horizontal="center"/>
    </xf>
    <xf numFmtId="0" fontId="33" fillId="0" borderId="31" xfId="0" applyFont="1" applyBorder="1" applyAlignment="1" quotePrefix="1">
      <alignment/>
    </xf>
    <xf numFmtId="0" fontId="33" fillId="0" borderId="31" xfId="0" applyFont="1" applyBorder="1" applyAlignment="1">
      <alignment/>
    </xf>
    <xf numFmtId="0" fontId="33" fillId="0" borderId="0" xfId="0" applyFont="1" applyFill="1" applyBorder="1" applyAlignment="1" quotePrefix="1">
      <alignment/>
    </xf>
    <xf numFmtId="0" fontId="32" fillId="0" borderId="0" xfId="0" applyFont="1" applyBorder="1" applyAlignment="1" quotePrefix="1">
      <alignment/>
    </xf>
    <xf numFmtId="0" fontId="32" fillId="0" borderId="32" xfId="0" applyFont="1" applyBorder="1" applyAlignment="1">
      <alignment/>
    </xf>
    <xf numFmtId="173" fontId="32" fillId="0" borderId="30" xfId="25" applyNumberFormat="1" applyFont="1" applyBorder="1" applyAlignment="1" quotePrefix="1">
      <alignment horizontal="center"/>
    </xf>
    <xf numFmtId="0" fontId="33" fillId="0" borderId="31" xfId="0" applyFont="1" applyFill="1" applyBorder="1" applyAlignment="1">
      <alignment/>
    </xf>
    <xf numFmtId="0" fontId="33" fillId="0" borderId="32" xfId="0" applyFont="1" applyFill="1" applyBorder="1" applyAlignment="1">
      <alignment/>
    </xf>
    <xf numFmtId="0" fontId="33" fillId="0" borderId="29" xfId="0" applyFont="1" applyFill="1" applyBorder="1" applyAlignment="1" quotePrefix="1">
      <alignment horizontal="center"/>
    </xf>
    <xf numFmtId="173" fontId="33" fillId="0" borderId="54" xfId="25" applyNumberFormat="1" applyFont="1" applyFill="1" applyBorder="1" applyAlignment="1" quotePrefix="1">
      <alignment horizontal="center"/>
    </xf>
    <xf numFmtId="173" fontId="33" fillId="0" borderId="30" xfId="25" applyNumberFormat="1" applyFont="1" applyFill="1" applyBorder="1" applyAlignment="1" quotePrefix="1">
      <alignment horizontal="center"/>
    </xf>
    <xf numFmtId="0" fontId="36" fillId="0" borderId="31" xfId="0" applyFont="1" applyBorder="1" applyAlignment="1">
      <alignment/>
    </xf>
    <xf numFmtId="0" fontId="32" fillId="0" borderId="32" xfId="0" applyFont="1" applyBorder="1" applyAlignment="1">
      <alignment horizontal="left"/>
    </xf>
    <xf numFmtId="0" fontId="32" fillId="0" borderId="32" xfId="0" applyFont="1" applyFill="1" applyBorder="1" applyAlignment="1">
      <alignment horizontal="left"/>
    </xf>
    <xf numFmtId="0" fontId="33" fillId="0" borderId="29" xfId="0" applyFont="1" applyFill="1" applyBorder="1" applyAlignment="1">
      <alignment horizontal="center"/>
    </xf>
    <xf numFmtId="173" fontId="33" fillId="0" borderId="54" xfId="25" applyNumberFormat="1" applyFont="1" applyFill="1" applyBorder="1" applyAlignment="1">
      <alignment horizontal="center"/>
    </xf>
    <xf numFmtId="173" fontId="33" fillId="0" borderId="30" xfId="25" applyNumberFormat="1" applyFont="1" applyFill="1" applyBorder="1" applyAlignment="1">
      <alignment horizontal="center"/>
    </xf>
    <xf numFmtId="0" fontId="33" fillId="0" borderId="29" xfId="0" applyFont="1" applyBorder="1" applyAlignment="1">
      <alignment horizontal="center"/>
    </xf>
    <xf numFmtId="173" fontId="33" fillId="0" borderId="30" xfId="25" applyNumberFormat="1" applyFont="1" applyBorder="1" applyAlignment="1">
      <alignment horizontal="center"/>
    </xf>
    <xf numFmtId="173" fontId="36" fillId="0" borderId="30" xfId="25" applyNumberFormat="1" applyFont="1" applyBorder="1" applyAlignment="1">
      <alignment/>
    </xf>
    <xf numFmtId="0" fontId="33" fillId="0" borderId="39" xfId="0" applyFont="1" applyBorder="1" applyAlignment="1">
      <alignment/>
    </xf>
    <xf numFmtId="0" fontId="33" fillId="0" borderId="55" xfId="0" applyFont="1" applyBorder="1" applyAlignment="1">
      <alignment/>
    </xf>
    <xf numFmtId="0" fontId="35" fillId="0" borderId="0" xfId="0" applyFont="1" applyBorder="1" applyAlignment="1">
      <alignment/>
    </xf>
    <xf numFmtId="0" fontId="32" fillId="0" borderId="0" xfId="0" applyNumberFormat="1" applyFont="1" applyBorder="1" applyAlignment="1">
      <alignment horizontal="center"/>
    </xf>
    <xf numFmtId="43" fontId="33" fillId="0" borderId="0" xfId="25" applyFont="1" applyFill="1" applyBorder="1" applyAlignment="1">
      <alignment horizontal="center"/>
    </xf>
    <xf numFmtId="173" fontId="33" fillId="0" borderId="0" xfId="25" applyNumberFormat="1" applyFont="1" applyBorder="1" applyAlignment="1">
      <alignment horizontal="justify" vertical="top"/>
    </xf>
    <xf numFmtId="9" fontId="33" fillId="0" borderId="0" xfId="0" applyNumberFormat="1" applyFont="1" applyBorder="1" applyAlignment="1">
      <alignment/>
    </xf>
    <xf numFmtId="0" fontId="32" fillId="0" borderId="4" xfId="0" applyFont="1" applyBorder="1" applyAlignment="1">
      <alignment vertical="center"/>
    </xf>
    <xf numFmtId="0" fontId="33" fillId="0" borderId="4" xfId="0" applyFont="1" applyBorder="1" applyAlignment="1">
      <alignment vertical="center"/>
    </xf>
    <xf numFmtId="0" fontId="32" fillId="0" borderId="4" xfId="0" applyFont="1" applyBorder="1" applyAlignment="1">
      <alignment horizontal="right" vertical="center"/>
    </xf>
    <xf numFmtId="173" fontId="33" fillId="0" borderId="0" xfId="25" applyNumberFormat="1" applyFont="1" applyFill="1" applyBorder="1" applyAlignment="1">
      <alignment/>
    </xf>
    <xf numFmtId="0" fontId="32" fillId="0" borderId="47" xfId="0" applyFont="1" applyBorder="1" applyAlignment="1">
      <alignment horizontal="left"/>
    </xf>
    <xf numFmtId="43" fontId="33" fillId="0" borderId="47" xfId="25" applyFont="1" applyBorder="1" applyAlignment="1">
      <alignment horizontal="justify"/>
    </xf>
    <xf numFmtId="43" fontId="33" fillId="0" borderId="47" xfId="25" applyFont="1" applyBorder="1" applyAlignment="1">
      <alignment horizontal="right"/>
    </xf>
    <xf numFmtId="0" fontId="32" fillId="0" borderId="47" xfId="0" applyFont="1" applyBorder="1" applyAlignment="1">
      <alignment horizontal="justify"/>
    </xf>
    <xf numFmtId="0" fontId="33" fillId="0" borderId="47" xfId="0" applyFont="1" applyBorder="1" applyAlignment="1">
      <alignment/>
    </xf>
    <xf numFmtId="0" fontId="35" fillId="0" borderId="6" xfId="0" applyFont="1" applyBorder="1" applyAlignment="1">
      <alignment/>
    </xf>
    <xf numFmtId="49" fontId="35" fillId="0" borderId="6" xfId="0" applyNumberFormat="1" applyFont="1" applyBorder="1" applyAlignment="1">
      <alignment horizontal="center"/>
    </xf>
    <xf numFmtId="0" fontId="36" fillId="0" borderId="6" xfId="0" applyFont="1" applyBorder="1" applyAlignment="1">
      <alignment horizontal="center"/>
    </xf>
    <xf numFmtId="0" fontId="37" fillId="0" borderId="6" xfId="0" applyFont="1" applyBorder="1" applyAlignment="1">
      <alignment horizontal="right"/>
    </xf>
    <xf numFmtId="0" fontId="37" fillId="0" borderId="31" xfId="0" applyFont="1" applyBorder="1" applyAlignment="1">
      <alignment/>
    </xf>
    <xf numFmtId="0" fontId="36" fillId="0" borderId="47" xfId="0" applyFont="1" applyBorder="1" applyAlignment="1">
      <alignment horizontal="center" wrapText="1"/>
    </xf>
    <xf numFmtId="0" fontId="37" fillId="0" borderId="57" xfId="0" applyFont="1" applyBorder="1" applyAlignment="1">
      <alignment horizontal="center"/>
    </xf>
    <xf numFmtId="0" fontId="33" fillId="0" borderId="57" xfId="0" applyFont="1" applyBorder="1" applyAlignment="1">
      <alignment/>
    </xf>
    <xf numFmtId="49" fontId="33" fillId="0" borderId="57" xfId="0" applyNumberFormat="1" applyFont="1" applyBorder="1" applyAlignment="1">
      <alignment horizontal="center"/>
    </xf>
    <xf numFmtId="0" fontId="33" fillId="0" borderId="57" xfId="0" applyFont="1" applyBorder="1" applyAlignment="1">
      <alignment horizontal="center"/>
    </xf>
    <xf numFmtId="0" fontId="32" fillId="0" borderId="57" xfId="0" applyFont="1" applyBorder="1" applyAlignment="1">
      <alignment horizontal="center"/>
    </xf>
    <xf numFmtId="43" fontId="42" fillId="0" borderId="58" xfId="25" applyFont="1" applyBorder="1" applyAlignment="1">
      <alignment horizontal="right" wrapText="1"/>
    </xf>
    <xf numFmtId="0" fontId="33" fillId="0" borderId="58" xfId="0" applyFont="1" applyBorder="1" applyAlignment="1">
      <alignment horizontal="center"/>
    </xf>
    <xf numFmtId="0" fontId="32" fillId="0" borderId="58" xfId="0" applyFont="1" applyBorder="1" applyAlignment="1">
      <alignment horizontal="center"/>
    </xf>
    <xf numFmtId="43" fontId="33" fillId="0" borderId="58" xfId="25" applyFont="1" applyBorder="1" applyAlignment="1">
      <alignment horizontal="justify"/>
    </xf>
    <xf numFmtId="43" fontId="33" fillId="0" borderId="58" xfId="25" applyFont="1" applyBorder="1" applyAlignment="1">
      <alignment horizontal="right"/>
    </xf>
    <xf numFmtId="0" fontId="32" fillId="0" borderId="58" xfId="0" applyFont="1" applyBorder="1" applyAlignment="1">
      <alignment horizontal="justify"/>
    </xf>
    <xf numFmtId="0" fontId="32" fillId="0" borderId="49" xfId="0" applyFont="1" applyBorder="1" applyAlignment="1">
      <alignment horizontal="left"/>
    </xf>
    <xf numFmtId="49" fontId="33" fillId="0" borderId="39" xfId="0" applyNumberFormat="1" applyFont="1" applyBorder="1" applyAlignment="1">
      <alignment horizontal="center"/>
    </xf>
    <xf numFmtId="0" fontId="33" fillId="0" borderId="39" xfId="0" applyFont="1" applyBorder="1" applyAlignment="1">
      <alignment horizontal="center"/>
    </xf>
    <xf numFmtId="43" fontId="33" fillId="0" borderId="39" xfId="25" applyFont="1" applyBorder="1" applyAlignment="1">
      <alignment horizontal="justify"/>
    </xf>
    <xf numFmtId="43" fontId="33" fillId="0" borderId="59" xfId="25" applyFont="1" applyBorder="1" applyAlignment="1">
      <alignment horizontal="justify"/>
    </xf>
    <xf numFmtId="43" fontId="33" fillId="0" borderId="60" xfId="25" applyFont="1" applyBorder="1" applyAlignment="1">
      <alignment horizontal="justify"/>
    </xf>
    <xf numFmtId="175" fontId="33" fillId="0" borderId="0" xfId="25" applyNumberFormat="1" applyFont="1" applyAlignment="1">
      <alignment vertical="center"/>
    </xf>
    <xf numFmtId="0" fontId="53" fillId="0" borderId="0" xfId="0" applyNumberFormat="1" applyFont="1" applyAlignment="1">
      <alignment vertical="center"/>
    </xf>
    <xf numFmtId="0" fontId="54" fillId="0" borderId="0" xfId="0" applyFont="1" applyAlignment="1">
      <alignment horizontal="right" vertical="center"/>
    </xf>
    <xf numFmtId="0" fontId="53" fillId="0" borderId="0" xfId="0" applyNumberFormat="1" applyFont="1" applyBorder="1" applyAlignment="1">
      <alignment vertical="center"/>
    </xf>
    <xf numFmtId="0" fontId="55" fillId="0" borderId="0" xfId="0" applyNumberFormat="1" applyFont="1" applyAlignment="1">
      <alignment horizontal="right" vertical="center"/>
    </xf>
    <xf numFmtId="0" fontId="56" fillId="0" borderId="34" xfId="0" applyNumberFormat="1" applyFont="1" applyBorder="1" applyAlignment="1">
      <alignment vertical="center"/>
    </xf>
    <xf numFmtId="0" fontId="56" fillId="0" borderId="34" xfId="0" applyNumberFormat="1" applyFont="1" applyBorder="1" applyAlignment="1">
      <alignment horizontal="center" vertical="center"/>
    </xf>
    <xf numFmtId="0" fontId="56" fillId="0" borderId="40" xfId="0" applyNumberFormat="1" applyFont="1" applyBorder="1" applyAlignment="1">
      <alignment horizontal="center" vertical="center" wrapText="1"/>
    </xf>
    <xf numFmtId="0" fontId="57" fillId="0" borderId="40" xfId="0" applyNumberFormat="1" applyFont="1" applyBorder="1" applyAlignment="1">
      <alignment horizontal="right" vertical="center" wrapText="1"/>
    </xf>
    <xf numFmtId="0" fontId="53" fillId="0" borderId="31" xfId="0" applyFont="1" applyBorder="1" applyAlignment="1">
      <alignment horizontal="left" vertical="center"/>
    </xf>
    <xf numFmtId="0" fontId="56" fillId="0" borderId="0" xfId="0" applyFont="1" applyBorder="1" applyAlignment="1">
      <alignment horizontal="right" vertical="center"/>
    </xf>
    <xf numFmtId="0" fontId="33" fillId="0" borderId="0" xfId="0" applyFont="1" applyFill="1" applyBorder="1" applyAlignment="1">
      <alignment horizontal="left" wrapText="1"/>
    </xf>
    <xf numFmtId="0" fontId="54" fillId="0" borderId="0" xfId="0" applyNumberFormat="1" applyFont="1" applyFill="1" applyBorder="1" applyAlignment="1">
      <alignment horizontal="justify" wrapText="1"/>
    </xf>
    <xf numFmtId="0" fontId="56" fillId="0" borderId="0" xfId="0" applyNumberFormat="1" applyFont="1" applyBorder="1" applyAlignment="1">
      <alignment vertical="center"/>
    </xf>
    <xf numFmtId="0" fontId="56" fillId="0" borderId="29" xfId="0" applyFont="1" applyBorder="1" applyAlignment="1">
      <alignment horizontal="center"/>
    </xf>
    <xf numFmtId="0" fontId="54" fillId="0" borderId="0" xfId="0" applyFont="1" applyBorder="1" applyAlignment="1" quotePrefix="1">
      <alignment horizontal="right" vertical="center"/>
    </xf>
    <xf numFmtId="0" fontId="54" fillId="0" borderId="32" xfId="0" applyNumberFormat="1" applyFont="1" applyBorder="1" applyAlignment="1">
      <alignment vertical="center"/>
    </xf>
    <xf numFmtId="0" fontId="56" fillId="0" borderId="0" xfId="0" applyFont="1" applyBorder="1" applyAlignment="1" quotePrefix="1">
      <alignment horizontal="right" vertical="center"/>
    </xf>
    <xf numFmtId="0" fontId="54" fillId="0" borderId="0" xfId="0" applyFont="1" applyBorder="1" applyAlignment="1">
      <alignment horizontal="right" vertical="center"/>
    </xf>
    <xf numFmtId="49" fontId="54" fillId="0" borderId="0" xfId="25" applyNumberFormat="1" applyFont="1" applyBorder="1" applyAlignment="1">
      <alignment horizontal="center" vertical="center"/>
    </xf>
    <xf numFmtId="49" fontId="56" fillId="0" borderId="0" xfId="25" applyNumberFormat="1" applyFont="1" applyBorder="1" applyAlignment="1">
      <alignment horizontal="center" vertical="center"/>
    </xf>
    <xf numFmtId="0" fontId="53" fillId="0" borderId="31" xfId="0" applyFont="1" applyBorder="1" applyAlignment="1">
      <alignment vertical="center"/>
    </xf>
    <xf numFmtId="49" fontId="53" fillId="0" borderId="0" xfId="25" applyNumberFormat="1" applyFont="1" applyBorder="1" applyAlignment="1">
      <alignment horizontal="center" vertical="center"/>
    </xf>
    <xf numFmtId="173" fontId="56" fillId="0" borderId="29" xfId="25" applyNumberFormat="1" applyFont="1" applyBorder="1" applyAlignment="1">
      <alignment horizontal="center" vertical="center"/>
    </xf>
    <xf numFmtId="173" fontId="54" fillId="0" borderId="32" xfId="0" applyNumberFormat="1" applyFont="1" applyBorder="1" applyAlignment="1">
      <alignment vertical="center"/>
    </xf>
    <xf numFmtId="49" fontId="54" fillId="0" borderId="32" xfId="0" applyNumberFormat="1" applyFont="1" applyBorder="1" applyAlignment="1">
      <alignment vertical="center"/>
    </xf>
    <xf numFmtId="0" fontId="54" fillId="0" borderId="0" xfId="0" applyFont="1" applyBorder="1" applyAlignment="1">
      <alignment vertical="center"/>
    </xf>
    <xf numFmtId="49" fontId="53" fillId="0" borderId="43" xfId="0" applyNumberFormat="1" applyFont="1" applyBorder="1" applyAlignment="1">
      <alignment vertical="center"/>
    </xf>
    <xf numFmtId="49" fontId="56" fillId="0" borderId="34" xfId="0" applyNumberFormat="1" applyFont="1" applyBorder="1" applyAlignment="1">
      <alignment vertical="center"/>
    </xf>
    <xf numFmtId="49" fontId="56" fillId="0" borderId="34" xfId="0" applyNumberFormat="1" applyFont="1" applyBorder="1" applyAlignment="1">
      <alignment horizontal="center" vertical="center"/>
    </xf>
    <xf numFmtId="49" fontId="56" fillId="0" borderId="40" xfId="0" applyNumberFormat="1" applyFont="1" applyBorder="1" applyAlignment="1">
      <alignment horizontal="center" vertical="center" wrapText="1"/>
    </xf>
    <xf numFmtId="0" fontId="56" fillId="0" borderId="29" xfId="0" applyFont="1" applyFill="1" applyBorder="1" applyAlignment="1">
      <alignment horizontal="center"/>
    </xf>
    <xf numFmtId="49" fontId="53" fillId="0" borderId="0" xfId="0" applyNumberFormat="1" applyFont="1" applyBorder="1" applyAlignment="1">
      <alignment vertical="center"/>
    </xf>
    <xf numFmtId="49" fontId="53" fillId="0" borderId="0" xfId="0" applyNumberFormat="1" applyFont="1" applyAlignment="1">
      <alignment vertical="center"/>
    </xf>
    <xf numFmtId="49" fontId="56" fillId="0" borderId="33" xfId="0" applyNumberFormat="1" applyFont="1" applyBorder="1" applyAlignment="1">
      <alignment vertical="center"/>
    </xf>
    <xf numFmtId="0" fontId="54" fillId="0" borderId="0" xfId="0" applyNumberFormat="1" applyFont="1" applyBorder="1" applyAlignment="1">
      <alignment vertical="center"/>
    </xf>
    <xf numFmtId="0" fontId="53" fillId="0" borderId="0" xfId="0" applyNumberFormat="1" applyFont="1" applyAlignment="1">
      <alignment horizontal="left"/>
    </xf>
    <xf numFmtId="0" fontId="55" fillId="0" borderId="0" xfId="0" applyNumberFormat="1" applyFont="1" applyAlignment="1">
      <alignment horizontal="center"/>
    </xf>
    <xf numFmtId="0" fontId="53" fillId="0" borderId="0" xfId="0" applyNumberFormat="1" applyFont="1" applyBorder="1" applyAlignment="1">
      <alignment horizontal="center"/>
    </xf>
    <xf numFmtId="0" fontId="53" fillId="0" borderId="0" xfId="0" applyNumberFormat="1" applyFont="1" applyAlignment="1">
      <alignment horizontal="center" vertical="center"/>
    </xf>
    <xf numFmtId="173" fontId="54" fillId="0" borderId="0" xfId="25" applyNumberFormat="1" applyFont="1" applyBorder="1" applyAlignment="1">
      <alignment horizontal="right" vertical="center"/>
    </xf>
    <xf numFmtId="0" fontId="33" fillId="0" borderId="0" xfId="0" applyFont="1" applyAlignment="1">
      <alignment horizontal="justify" wrapText="1"/>
    </xf>
    <xf numFmtId="173" fontId="53" fillId="0" borderId="0" xfId="0" applyNumberFormat="1" applyFont="1" applyAlignment="1">
      <alignment vertical="center"/>
    </xf>
    <xf numFmtId="173" fontId="53" fillId="0" borderId="0" xfId="0" applyNumberFormat="1" applyFont="1" applyBorder="1" applyAlignment="1">
      <alignment vertical="center"/>
    </xf>
    <xf numFmtId="173" fontId="55" fillId="0" borderId="0" xfId="0" applyNumberFormat="1" applyFont="1" applyBorder="1" applyAlignment="1">
      <alignment horizontal="right" vertical="center"/>
    </xf>
    <xf numFmtId="173" fontId="56" fillId="0" borderId="40" xfId="0" applyNumberFormat="1" applyFont="1" applyBorder="1" applyAlignment="1">
      <alignment horizontal="center" vertical="center"/>
    </xf>
    <xf numFmtId="173" fontId="56" fillId="0" borderId="40" xfId="0" applyNumberFormat="1" applyFont="1" applyBorder="1" applyAlignment="1">
      <alignment horizontal="center" vertical="center" wrapText="1"/>
    </xf>
    <xf numFmtId="173" fontId="57" fillId="0" borderId="34" xfId="25" applyNumberFormat="1" applyFont="1" applyBorder="1" applyAlignment="1">
      <alignment horizontal="right" vertical="center" wrapText="1"/>
    </xf>
    <xf numFmtId="173" fontId="57" fillId="0" borderId="41" xfId="25" applyNumberFormat="1" applyFont="1" applyBorder="1" applyAlignment="1">
      <alignment horizontal="right" vertical="center" wrapText="1"/>
    </xf>
    <xf numFmtId="173" fontId="53" fillId="0" borderId="0" xfId="0" applyNumberFormat="1" applyFont="1" applyBorder="1" applyAlignment="1">
      <alignment horizontal="left"/>
    </xf>
    <xf numFmtId="173" fontId="56" fillId="0" borderId="29" xfId="25" applyNumberFormat="1" applyFont="1" applyBorder="1" applyAlignment="1">
      <alignment horizontal="center"/>
    </xf>
    <xf numFmtId="0" fontId="53" fillId="0" borderId="31" xfId="0" applyFont="1" applyBorder="1" applyAlignment="1">
      <alignment horizontal="right"/>
    </xf>
    <xf numFmtId="0" fontId="54" fillId="0" borderId="31" xfId="0" applyNumberFormat="1" applyFont="1" applyBorder="1" applyAlignment="1">
      <alignment horizontal="right"/>
    </xf>
    <xf numFmtId="49" fontId="53" fillId="0" borderId="29" xfId="25" applyNumberFormat="1" applyFont="1" applyBorder="1" applyAlignment="1" quotePrefix="1">
      <alignment horizontal="center"/>
    </xf>
    <xf numFmtId="49" fontId="54" fillId="0" borderId="29" xfId="25" applyNumberFormat="1" applyFont="1" applyBorder="1" applyAlignment="1">
      <alignment horizontal="center"/>
    </xf>
    <xf numFmtId="0" fontId="54" fillId="0" borderId="31" xfId="0" applyFont="1" applyBorder="1" applyAlignment="1">
      <alignment horizontal="right"/>
    </xf>
    <xf numFmtId="0" fontId="54" fillId="0" borderId="0" xfId="0" applyNumberFormat="1" applyFont="1" applyBorder="1" applyAlignment="1">
      <alignment horizontal="left"/>
    </xf>
    <xf numFmtId="0" fontId="54" fillId="0" borderId="32" xfId="0" applyNumberFormat="1" applyFont="1" applyBorder="1" applyAlignment="1">
      <alignment horizontal="left"/>
    </xf>
    <xf numFmtId="49" fontId="55" fillId="0" borderId="29" xfId="25" applyNumberFormat="1" applyFont="1" applyBorder="1" applyAlignment="1">
      <alignment horizontal="center"/>
    </xf>
    <xf numFmtId="0" fontId="55" fillId="0" borderId="29" xfId="0" applyFont="1" applyBorder="1" applyAlignment="1">
      <alignment horizontal="center" vertical="center"/>
    </xf>
    <xf numFmtId="0" fontId="53" fillId="0" borderId="0" xfId="0" applyNumberFormat="1" applyFont="1" applyBorder="1" applyAlignment="1">
      <alignment/>
    </xf>
    <xf numFmtId="0" fontId="54" fillId="0" borderId="0" xfId="0" applyNumberFormat="1" applyFont="1" applyBorder="1" applyAlignment="1">
      <alignment/>
    </xf>
    <xf numFmtId="173" fontId="54" fillId="0" borderId="0" xfId="0" applyNumberFormat="1" applyFont="1" applyBorder="1" applyAlignment="1">
      <alignment/>
    </xf>
    <xf numFmtId="49" fontId="54" fillId="0" borderId="29" xfId="0" applyNumberFormat="1" applyFont="1" applyBorder="1" applyAlignment="1">
      <alignment horizontal="center"/>
    </xf>
    <xf numFmtId="0" fontId="53" fillId="0" borderId="31" xfId="0" applyFont="1" applyBorder="1" applyAlignment="1">
      <alignment horizontal="right" vertical="center"/>
    </xf>
    <xf numFmtId="0" fontId="53" fillId="0" borderId="29" xfId="0" applyFont="1" applyBorder="1" applyAlignment="1">
      <alignment horizontal="center" vertical="center"/>
    </xf>
    <xf numFmtId="0" fontId="53" fillId="0" borderId="31" xfId="0" applyFont="1" applyBorder="1" applyAlignment="1">
      <alignment horizontal="left"/>
    </xf>
    <xf numFmtId="49" fontId="53" fillId="0" borderId="29" xfId="25" applyNumberFormat="1" applyFont="1" applyBorder="1" applyAlignment="1">
      <alignment horizontal="center"/>
    </xf>
    <xf numFmtId="49" fontId="53" fillId="0" borderId="0" xfId="0" applyNumberFormat="1" applyFont="1" applyBorder="1" applyAlignment="1">
      <alignment/>
    </xf>
    <xf numFmtId="49" fontId="54" fillId="0" borderId="0" xfId="0" applyNumberFormat="1" applyFont="1" applyBorder="1" applyAlignment="1">
      <alignment/>
    </xf>
    <xf numFmtId="0" fontId="54" fillId="0" borderId="31" xfId="0" applyFont="1" applyBorder="1" applyAlignment="1">
      <alignment horizontal="left"/>
    </xf>
    <xf numFmtId="49" fontId="53" fillId="0" borderId="31" xfId="25" applyNumberFormat="1" applyFont="1" applyBorder="1" applyAlignment="1">
      <alignment horizontal="left" vertical="center" wrapText="1"/>
    </xf>
    <xf numFmtId="49" fontId="53" fillId="0" borderId="29" xfId="25" applyNumberFormat="1" applyFont="1" applyBorder="1" applyAlignment="1">
      <alignment horizontal="center" vertical="center" wrapText="1"/>
    </xf>
    <xf numFmtId="0" fontId="56" fillId="0" borderId="40" xfId="54" applyNumberFormat="1" applyFont="1" applyBorder="1" applyAlignment="1">
      <alignment horizontal="center" vertical="center"/>
      <protection/>
    </xf>
    <xf numFmtId="0" fontId="53" fillId="0" borderId="31" xfId="0" applyNumberFormat="1" applyFont="1" applyBorder="1" applyAlignment="1">
      <alignment/>
    </xf>
    <xf numFmtId="0" fontId="53" fillId="0" borderId="29" xfId="0" applyFont="1" applyBorder="1" applyAlignment="1" quotePrefix="1">
      <alignment horizontal="center"/>
    </xf>
    <xf numFmtId="0" fontId="53" fillId="0" borderId="31" xfId="0" applyFont="1" applyBorder="1" applyAlignment="1">
      <alignment/>
    </xf>
    <xf numFmtId="0" fontId="54" fillId="0" borderId="0" xfId="0" applyNumberFormat="1" applyFont="1" applyFill="1" applyBorder="1" applyAlignment="1">
      <alignment/>
    </xf>
    <xf numFmtId="0" fontId="53" fillId="0" borderId="31" xfId="0" applyNumberFormat="1" applyFont="1" applyBorder="1" applyAlignment="1">
      <alignment horizontal="left"/>
    </xf>
    <xf numFmtId="0" fontId="54" fillId="0" borderId="29" xfId="0" applyFont="1" applyBorder="1" applyAlignment="1" quotePrefix="1">
      <alignment horizontal="center"/>
    </xf>
    <xf numFmtId="0" fontId="54" fillId="0" borderId="29" xfId="0" applyFont="1" applyFill="1" applyBorder="1" applyAlignment="1" quotePrefix="1">
      <alignment horizontal="center"/>
    </xf>
    <xf numFmtId="0" fontId="56" fillId="0" borderId="31" xfId="0" applyNumberFormat="1" applyFont="1" applyBorder="1" applyAlignment="1">
      <alignment/>
    </xf>
    <xf numFmtId="0" fontId="54" fillId="0" borderId="0" xfId="0" applyNumberFormat="1" applyFont="1" applyFill="1" applyBorder="1" applyAlignment="1">
      <alignment horizontal="left"/>
    </xf>
    <xf numFmtId="0" fontId="54" fillId="0" borderId="31" xfId="0" applyFont="1" applyFill="1" applyBorder="1" applyAlignment="1">
      <alignment horizontal="left"/>
    </xf>
    <xf numFmtId="0" fontId="54" fillId="0" borderId="31" xfId="0" applyFont="1" applyBorder="1" applyAlignment="1">
      <alignment/>
    </xf>
    <xf numFmtId="0" fontId="56" fillId="0" borderId="0" xfId="0" applyNumberFormat="1" applyFont="1" applyBorder="1" applyAlignment="1">
      <alignment/>
    </xf>
    <xf numFmtId="0" fontId="55" fillId="0" borderId="0" xfId="0" applyNumberFormat="1" applyFont="1" applyBorder="1" applyAlignment="1">
      <alignment/>
    </xf>
    <xf numFmtId="0" fontId="53" fillId="0" borderId="0" xfId="0" applyFont="1" applyAlignment="1">
      <alignment horizontal="right"/>
    </xf>
    <xf numFmtId="0" fontId="56" fillId="0" borderId="0" xfId="0" applyNumberFormat="1" applyFont="1" applyAlignment="1">
      <alignment horizontal="left"/>
    </xf>
    <xf numFmtId="0" fontId="56" fillId="0" borderId="0" xfId="0" applyNumberFormat="1" applyFont="1" applyAlignment="1">
      <alignment/>
    </xf>
    <xf numFmtId="0" fontId="54" fillId="0" borderId="0" xfId="25" applyNumberFormat="1" applyFont="1" applyAlignment="1">
      <alignment horizontal="left"/>
    </xf>
    <xf numFmtId="0" fontId="53" fillId="0" borderId="0" xfId="0" applyFont="1" applyAlignment="1">
      <alignment horizontal="right" vertical="center"/>
    </xf>
    <xf numFmtId="0" fontId="53" fillId="0" borderId="0" xfId="0" applyNumberFormat="1" applyFont="1" applyAlignment="1">
      <alignment horizontal="left" vertical="center"/>
    </xf>
    <xf numFmtId="0" fontId="54" fillId="0" borderId="0" xfId="0" applyNumberFormat="1" applyFont="1" applyAlignment="1">
      <alignment/>
    </xf>
    <xf numFmtId="0" fontId="54" fillId="0" borderId="0" xfId="0" applyNumberFormat="1" applyFont="1" applyFill="1" applyAlignment="1">
      <alignment/>
    </xf>
    <xf numFmtId="0" fontId="33" fillId="0" borderId="0" xfId="0" applyFont="1" applyFill="1" applyAlignment="1">
      <alignment wrapText="1"/>
    </xf>
    <xf numFmtId="0" fontId="54" fillId="0" borderId="0" xfId="0" applyNumberFormat="1" applyFont="1" applyFill="1" applyAlignment="1">
      <alignment horizontal="justify" wrapText="1"/>
    </xf>
    <xf numFmtId="0" fontId="33" fillId="0" borderId="0" xfId="0" applyFont="1" applyFill="1" applyAlignment="1">
      <alignment horizontal="justify" wrapText="1"/>
    </xf>
    <xf numFmtId="0" fontId="54" fillId="0" borderId="0" xfId="0" applyFont="1" applyAlignment="1">
      <alignment horizontal="justify" wrapText="1"/>
    </xf>
    <xf numFmtId="0" fontId="56" fillId="0" borderId="0" xfId="0" applyNumberFormat="1" applyFont="1" applyAlignment="1">
      <alignment horizontal="left" vertical="center"/>
    </xf>
    <xf numFmtId="0" fontId="59" fillId="0" borderId="0" xfId="0" applyNumberFormat="1" applyFont="1" applyAlignment="1">
      <alignment/>
    </xf>
    <xf numFmtId="0" fontId="56" fillId="0" borderId="0" xfId="0" applyNumberFormat="1" applyFont="1" applyAlignment="1">
      <alignment horizontal="right"/>
    </xf>
    <xf numFmtId="16" fontId="54" fillId="0" borderId="0" xfId="0" applyNumberFormat="1" applyFont="1" applyFill="1" applyAlignment="1" quotePrefix="1">
      <alignment horizontal="right"/>
    </xf>
    <xf numFmtId="16" fontId="56" fillId="0" borderId="0" xfId="0" applyNumberFormat="1" applyFont="1" applyAlignment="1">
      <alignment horizontal="left"/>
    </xf>
    <xf numFmtId="16" fontId="54" fillId="0" borderId="0" xfId="0" applyNumberFormat="1" applyFont="1" applyAlignment="1">
      <alignment horizontal="left"/>
    </xf>
    <xf numFmtId="0" fontId="54" fillId="0" borderId="0" xfId="0" applyFont="1" applyFill="1" applyAlignment="1" quotePrefix="1">
      <alignment horizontal="right"/>
    </xf>
    <xf numFmtId="0" fontId="53" fillId="0" borderId="0" xfId="0" applyNumberFormat="1" applyFont="1" applyAlignment="1">
      <alignment/>
    </xf>
    <xf numFmtId="0" fontId="56" fillId="0" borderId="0" xfId="0" applyFont="1" applyAlignment="1">
      <alignment horizontal="right"/>
    </xf>
    <xf numFmtId="14" fontId="56" fillId="0" borderId="0" xfId="0" applyNumberFormat="1" applyFont="1" applyBorder="1" applyAlignment="1" quotePrefix="1">
      <alignment horizontal="right" vertical="center"/>
    </xf>
    <xf numFmtId="14" fontId="54" fillId="0" borderId="0" xfId="0" applyNumberFormat="1" applyFont="1" applyBorder="1" applyAlignment="1">
      <alignment/>
    </xf>
    <xf numFmtId="14" fontId="55" fillId="0" borderId="0" xfId="0" applyNumberFormat="1" applyFont="1" applyBorder="1" applyAlignment="1">
      <alignment/>
    </xf>
    <xf numFmtId="14" fontId="55" fillId="0" borderId="0" xfId="0" applyNumberFormat="1" applyFont="1" applyFill="1" applyBorder="1" applyAlignment="1">
      <alignment/>
    </xf>
    <xf numFmtId="14" fontId="53" fillId="0" borderId="0" xfId="0" applyNumberFormat="1" applyFont="1" applyBorder="1" applyAlignment="1">
      <alignment/>
    </xf>
    <xf numFmtId="0" fontId="54" fillId="0" borderId="0" xfId="0" applyFont="1" applyAlignment="1">
      <alignment/>
    </xf>
    <xf numFmtId="14" fontId="54" fillId="0" borderId="0" xfId="0" applyNumberFormat="1" applyFont="1" applyBorder="1" applyAlignment="1">
      <alignment horizontal="left"/>
    </xf>
    <xf numFmtId="14" fontId="54" fillId="0" borderId="0" xfId="0" applyNumberFormat="1" applyFont="1" applyFill="1" applyBorder="1" applyAlignment="1">
      <alignment/>
    </xf>
    <xf numFmtId="14" fontId="53" fillId="0" borderId="0" xfId="0" applyNumberFormat="1" applyFont="1" applyBorder="1" applyAlignment="1">
      <alignment horizontal="left"/>
    </xf>
    <xf numFmtId="14" fontId="57" fillId="0" borderId="0" xfId="0" applyNumberFormat="1" applyFont="1" applyBorder="1" applyAlignment="1" quotePrefix="1">
      <alignment horizontal="right" vertical="center"/>
    </xf>
    <xf numFmtId="14" fontId="57" fillId="0" borderId="0" xfId="25" applyNumberFormat="1" applyFont="1" applyFill="1" applyBorder="1" applyAlignment="1">
      <alignment horizontal="right" vertical="center"/>
    </xf>
    <xf numFmtId="14" fontId="57" fillId="0" borderId="0" xfId="0" applyNumberFormat="1" applyFont="1" applyFill="1" applyBorder="1" applyAlignment="1" quotePrefix="1">
      <alignment horizontal="right" vertical="center"/>
    </xf>
    <xf numFmtId="14" fontId="54" fillId="0" borderId="0" xfId="0" applyNumberFormat="1" applyFont="1" applyAlignment="1">
      <alignment/>
    </xf>
    <xf numFmtId="14" fontId="54" fillId="0" borderId="0" xfId="55" applyNumberFormat="1" applyFont="1" applyBorder="1" applyAlignment="1">
      <alignment vertical="center"/>
      <protection/>
    </xf>
    <xf numFmtId="14" fontId="53" fillId="0" borderId="0" xfId="55" applyNumberFormat="1" applyFont="1" applyBorder="1" applyAlignment="1">
      <alignment/>
      <protection/>
    </xf>
    <xf numFmtId="14" fontId="54" fillId="0" borderId="0" xfId="55" applyNumberFormat="1" applyFont="1" applyFill="1" applyBorder="1" applyAlignment="1">
      <alignment vertical="center"/>
      <protection/>
    </xf>
    <xf numFmtId="14" fontId="56" fillId="0" borderId="0" xfId="0" applyNumberFormat="1" applyFont="1" applyBorder="1" applyAlignment="1">
      <alignment/>
    </xf>
    <xf numFmtId="0" fontId="54" fillId="0" borderId="0" xfId="0" applyFont="1" applyBorder="1" applyAlignment="1">
      <alignment/>
    </xf>
    <xf numFmtId="0" fontId="56" fillId="0" borderId="0" xfId="0" applyFont="1" applyAlignment="1">
      <alignment/>
    </xf>
    <xf numFmtId="14" fontId="54" fillId="0" borderId="0" xfId="0" applyNumberFormat="1" applyFont="1" applyFill="1" applyAlignment="1">
      <alignment/>
    </xf>
    <xf numFmtId="0" fontId="55" fillId="0" borderId="0" xfId="0" applyFont="1" applyFill="1" applyAlignment="1">
      <alignment/>
    </xf>
    <xf numFmtId="0" fontId="55" fillId="0" borderId="0" xfId="0" applyNumberFormat="1" applyFont="1" applyFill="1" applyBorder="1" applyAlignment="1">
      <alignment/>
    </xf>
    <xf numFmtId="0" fontId="53" fillId="0" borderId="0" xfId="0" applyNumberFormat="1" applyFont="1" applyFill="1" applyBorder="1" applyAlignment="1">
      <alignment horizontal="left"/>
    </xf>
    <xf numFmtId="0" fontId="56" fillId="0" borderId="0" xfId="0" applyFont="1" applyAlignment="1">
      <alignment horizontal="left"/>
    </xf>
    <xf numFmtId="14" fontId="55" fillId="0" borderId="0" xfId="0" applyNumberFormat="1" applyFont="1" applyAlignment="1">
      <alignment/>
    </xf>
    <xf numFmtId="0" fontId="55" fillId="0" borderId="0" xfId="0" applyFont="1" applyAlignment="1">
      <alignment/>
    </xf>
    <xf numFmtId="0" fontId="55" fillId="0" borderId="0" xfId="0" applyNumberFormat="1" applyFont="1" applyAlignment="1">
      <alignment/>
    </xf>
    <xf numFmtId="0" fontId="53" fillId="0" borderId="0" xfId="0" applyNumberFormat="1" applyFont="1" applyBorder="1" applyAlignment="1">
      <alignment horizontal="left"/>
    </xf>
    <xf numFmtId="0" fontId="54" fillId="0" borderId="0" xfId="0" applyFont="1" applyBorder="1" applyAlignment="1">
      <alignment horizontal="right"/>
    </xf>
    <xf numFmtId="0" fontId="54" fillId="0" borderId="0" xfId="0" applyNumberFormat="1" applyFont="1" applyAlignment="1">
      <alignment horizontal="left"/>
    </xf>
    <xf numFmtId="0" fontId="56" fillId="0" borderId="0" xfId="0" applyNumberFormat="1" applyFont="1" applyFill="1" applyBorder="1" applyAlignment="1">
      <alignment/>
    </xf>
    <xf numFmtId="41" fontId="54" fillId="0" borderId="0" xfId="0" applyNumberFormat="1" applyFont="1" applyBorder="1" applyAlignment="1">
      <alignment horizontal="right"/>
    </xf>
    <xf numFmtId="41" fontId="54" fillId="0" borderId="0" xfId="0" applyNumberFormat="1" applyFont="1" applyBorder="1" applyAlignment="1">
      <alignment/>
    </xf>
    <xf numFmtId="41" fontId="53" fillId="0" borderId="0" xfId="0" applyNumberFormat="1" applyFont="1" applyBorder="1" applyAlignment="1">
      <alignment/>
    </xf>
    <xf numFmtId="41" fontId="53" fillId="0" borderId="0" xfId="0" applyNumberFormat="1" applyFont="1" applyBorder="1" applyAlignment="1">
      <alignment horizontal="left"/>
    </xf>
    <xf numFmtId="0" fontId="56" fillId="0" borderId="0" xfId="0" applyFont="1" applyFill="1" applyAlignment="1">
      <alignment horizontal="left"/>
    </xf>
    <xf numFmtId="0" fontId="56" fillId="0" borderId="0" xfId="0" applyFont="1" applyFill="1" applyAlignment="1">
      <alignment/>
    </xf>
    <xf numFmtId="0" fontId="56" fillId="0" borderId="0" xfId="0" applyNumberFormat="1" applyFont="1" applyFill="1" applyAlignment="1">
      <alignment horizontal="left"/>
    </xf>
    <xf numFmtId="0" fontId="53" fillId="0" borderId="0" xfId="0" applyNumberFormat="1" applyFont="1" applyBorder="1" applyAlignment="1">
      <alignment horizontal="center" vertical="center" wrapText="1"/>
    </xf>
    <xf numFmtId="173" fontId="53" fillId="0" borderId="0" xfId="25" applyNumberFormat="1" applyFont="1" applyBorder="1" applyAlignment="1">
      <alignment horizontal="center" vertical="center" wrapText="1"/>
    </xf>
    <xf numFmtId="173" fontId="54" fillId="0" borderId="0" xfId="0" applyNumberFormat="1" applyFont="1" applyBorder="1" applyAlignment="1">
      <alignment vertical="center"/>
    </xf>
    <xf numFmtId="0" fontId="56" fillId="0" borderId="0" xfId="0" applyNumberFormat="1" applyFont="1" applyFill="1" applyBorder="1" applyAlignment="1">
      <alignment/>
    </xf>
    <xf numFmtId="0" fontId="53" fillId="0" borderId="0" xfId="0" applyNumberFormat="1" applyFont="1" applyFill="1" applyAlignment="1">
      <alignment horizontal="center" wrapText="1"/>
    </xf>
    <xf numFmtId="0" fontId="54" fillId="0" borderId="0" xfId="0" applyNumberFormat="1" applyFont="1" applyFill="1" applyAlignment="1">
      <alignment horizontal="left"/>
    </xf>
    <xf numFmtId="0" fontId="56" fillId="0" borderId="0" xfId="0" applyFont="1" applyFill="1" applyBorder="1" applyAlignment="1">
      <alignment horizontal="left"/>
    </xf>
    <xf numFmtId="0" fontId="56" fillId="0" borderId="0" xfId="0" applyNumberFormat="1" applyFont="1" applyFill="1" applyBorder="1" applyAlignment="1">
      <alignment horizontal="left"/>
    </xf>
    <xf numFmtId="14" fontId="54" fillId="0" borderId="0" xfId="0" applyNumberFormat="1" applyFont="1" applyFill="1" applyBorder="1" applyAlignment="1">
      <alignment horizontal="left"/>
    </xf>
    <xf numFmtId="14" fontId="55" fillId="0" borderId="0" xfId="0" applyNumberFormat="1" applyFont="1" applyFill="1" applyBorder="1" applyAlignment="1">
      <alignment horizontal="left"/>
    </xf>
    <xf numFmtId="37" fontId="54" fillId="0" borderId="0" xfId="0" applyNumberFormat="1" applyFont="1" applyFill="1" applyBorder="1" applyAlignment="1">
      <alignment horizontal="right"/>
    </xf>
    <xf numFmtId="37" fontId="55" fillId="0" borderId="0" xfId="0" applyNumberFormat="1" applyFont="1" applyFill="1" applyBorder="1" applyAlignment="1">
      <alignment horizontal="left"/>
    </xf>
    <xf numFmtId="37" fontId="54" fillId="0" borderId="0" xfId="0" applyNumberFormat="1" applyFont="1" applyFill="1" applyBorder="1" applyAlignment="1">
      <alignment horizontal="left"/>
    </xf>
    <xf numFmtId="0" fontId="53" fillId="0" borderId="0" xfId="0" applyNumberFormat="1" applyFont="1" applyFill="1" applyBorder="1" applyAlignment="1">
      <alignment/>
    </xf>
    <xf numFmtId="0" fontId="53" fillId="0" borderId="0" xfId="0" applyFont="1" applyAlignment="1">
      <alignment horizontal="left" vertical="top"/>
    </xf>
    <xf numFmtId="0" fontId="56" fillId="0" borderId="0" xfId="0" applyNumberFormat="1" applyFont="1" applyBorder="1" applyAlignment="1">
      <alignment horizontal="right"/>
    </xf>
    <xf numFmtId="0" fontId="56" fillId="0" borderId="0" xfId="0" applyNumberFormat="1" applyFont="1" applyBorder="1" applyAlignment="1">
      <alignment horizontal="left"/>
    </xf>
    <xf numFmtId="0" fontId="56" fillId="0" borderId="0" xfId="0" applyFont="1" applyFill="1" applyBorder="1" applyAlignment="1">
      <alignment/>
    </xf>
    <xf numFmtId="0" fontId="56" fillId="0" borderId="0" xfId="0" applyFont="1" applyFill="1" applyBorder="1" applyAlignment="1" quotePrefix="1">
      <alignment/>
    </xf>
    <xf numFmtId="0" fontId="56" fillId="0" borderId="0" xfId="0" applyNumberFormat="1" applyFont="1" applyFill="1" applyBorder="1" applyAlignment="1">
      <alignment horizontal="right"/>
    </xf>
    <xf numFmtId="0" fontId="55" fillId="0" borderId="0" xfId="0" applyNumberFormat="1" applyFont="1" applyFill="1" applyBorder="1" applyAlignment="1">
      <alignment horizontal="left"/>
    </xf>
    <xf numFmtId="0" fontId="53" fillId="0" borderId="0" xfId="0" applyFont="1" applyAlignment="1">
      <alignment horizontal="left"/>
    </xf>
    <xf numFmtId="0" fontId="56" fillId="0" borderId="0" xfId="0" applyNumberFormat="1" applyFont="1" applyAlignment="1">
      <alignment/>
    </xf>
    <xf numFmtId="0" fontId="56" fillId="0" borderId="0" xfId="0" applyFont="1" applyBorder="1" applyAlignment="1">
      <alignment horizontal="right"/>
    </xf>
    <xf numFmtId="0" fontId="56" fillId="0" borderId="0" xfId="0" applyNumberFormat="1" applyFont="1" applyBorder="1" applyAlignment="1">
      <alignment/>
    </xf>
    <xf numFmtId="0" fontId="54" fillId="0" borderId="0" xfId="0" applyNumberFormat="1" applyFont="1" applyAlignment="1">
      <alignment/>
    </xf>
    <xf numFmtId="0" fontId="53" fillId="0" borderId="0" xfId="0" applyNumberFormat="1" applyFont="1" applyAlignment="1">
      <alignment/>
    </xf>
    <xf numFmtId="173" fontId="53" fillId="0" borderId="0" xfId="25" applyNumberFormat="1" applyFont="1" applyAlignment="1">
      <alignment horizontal="center"/>
    </xf>
    <xf numFmtId="173" fontId="53" fillId="0" borderId="0" xfId="0" applyNumberFormat="1" applyFont="1" applyAlignment="1">
      <alignment/>
    </xf>
    <xf numFmtId="173" fontId="54" fillId="0" borderId="0" xfId="0" applyNumberFormat="1" applyFont="1" applyBorder="1" applyAlignment="1">
      <alignment/>
    </xf>
    <xf numFmtId="173" fontId="53" fillId="0" borderId="0" xfId="25" applyNumberFormat="1" applyFont="1" applyAlignment="1">
      <alignment/>
    </xf>
    <xf numFmtId="173" fontId="54" fillId="0" borderId="0" xfId="25" applyNumberFormat="1" applyFont="1" applyBorder="1" applyAlignment="1">
      <alignment/>
    </xf>
    <xf numFmtId="0" fontId="56" fillId="0" borderId="0" xfId="0" applyFont="1" applyBorder="1" applyAlignment="1">
      <alignment horizontal="justify" vertical="top"/>
    </xf>
    <xf numFmtId="0" fontId="56" fillId="0" borderId="0" xfId="0" applyFont="1" applyBorder="1" applyAlignment="1">
      <alignment/>
    </xf>
    <xf numFmtId="0" fontId="57" fillId="0" borderId="61" xfId="0" applyNumberFormat="1" applyFont="1" applyBorder="1" applyAlignment="1">
      <alignment/>
    </xf>
    <xf numFmtId="0" fontId="57" fillId="0" borderId="62" xfId="0" applyNumberFormat="1" applyFont="1" applyBorder="1" applyAlignment="1">
      <alignment horizontal="center"/>
    </xf>
    <xf numFmtId="0" fontId="57" fillId="0" borderId="63" xfId="0" applyNumberFormat="1" applyFont="1" applyBorder="1" applyAlignment="1">
      <alignment horizontal="right"/>
    </xf>
    <xf numFmtId="0" fontId="57" fillId="0" borderId="64" xfId="0" applyNumberFormat="1" applyFont="1" applyBorder="1" applyAlignment="1">
      <alignment horizontal="right"/>
    </xf>
    <xf numFmtId="0" fontId="56" fillId="0" borderId="31" xfId="0" applyNumberFormat="1" applyFont="1" applyBorder="1" applyAlignment="1">
      <alignment horizontal="left"/>
    </xf>
    <xf numFmtId="49" fontId="54" fillId="0" borderId="57" xfId="0" applyNumberFormat="1" applyFont="1" applyBorder="1" applyAlignment="1">
      <alignment horizontal="center"/>
    </xf>
    <xf numFmtId="9" fontId="54" fillId="0" borderId="57" xfId="57" applyFont="1" applyBorder="1" applyAlignment="1">
      <alignment horizontal="center"/>
    </xf>
    <xf numFmtId="9" fontId="53" fillId="0" borderId="31" xfId="0" applyNumberFormat="1" applyFont="1" applyBorder="1" applyAlignment="1">
      <alignment horizontal="left"/>
    </xf>
    <xf numFmtId="9" fontId="54" fillId="0" borderId="0" xfId="0" applyNumberFormat="1" applyFont="1" applyBorder="1" applyAlignment="1">
      <alignment/>
    </xf>
    <xf numFmtId="0" fontId="54" fillId="0" borderId="57" xfId="0" applyFont="1" applyBorder="1" applyAlignment="1">
      <alignment horizontal="center"/>
    </xf>
    <xf numFmtId="0" fontId="54" fillId="0" borderId="57" xfId="0" applyNumberFormat="1" applyFont="1" applyBorder="1" applyAlignment="1">
      <alignment horizontal="center"/>
    </xf>
    <xf numFmtId="0" fontId="54" fillId="0" borderId="39" xfId="0" applyNumberFormat="1" applyFont="1" applyBorder="1" applyAlignment="1">
      <alignment horizontal="left"/>
    </xf>
    <xf numFmtId="0" fontId="54" fillId="0" borderId="65" xfId="0" applyFont="1" applyBorder="1" applyAlignment="1">
      <alignment horizontal="center"/>
    </xf>
    <xf numFmtId="0" fontId="53" fillId="0" borderId="0" xfId="0" applyNumberFormat="1" applyFont="1" applyAlignment="1">
      <alignment horizontal="center"/>
    </xf>
    <xf numFmtId="49" fontId="53" fillId="0" borderId="0" xfId="0" applyNumberFormat="1" applyFont="1" applyBorder="1" applyAlignment="1">
      <alignment horizontal="left"/>
    </xf>
    <xf numFmtId="0" fontId="32" fillId="0" borderId="0" xfId="0" applyFont="1" applyBorder="1" applyAlignment="1">
      <alignment horizontal="left"/>
    </xf>
    <xf numFmtId="0" fontId="32" fillId="0" borderId="32" xfId="0" applyFont="1" applyBorder="1" applyAlignment="1">
      <alignment horizontal="left"/>
    </xf>
    <xf numFmtId="0" fontId="53" fillId="0" borderId="0" xfId="0" applyNumberFormat="1" applyFont="1" applyBorder="1" applyAlignment="1">
      <alignment horizontal="center"/>
    </xf>
    <xf numFmtId="0" fontId="54" fillId="0" borderId="0" xfId="0" applyNumberFormat="1" applyFont="1" applyBorder="1" applyAlignment="1">
      <alignment horizontal="justify" vertical="distributed" wrapText="1"/>
    </xf>
    <xf numFmtId="0" fontId="33" fillId="0" borderId="0" xfId="0" applyFont="1" applyBorder="1" applyAlignment="1" quotePrefix="1">
      <alignment horizontal="justify" vertical="distributed" wrapText="1"/>
    </xf>
    <xf numFmtId="0" fontId="33" fillId="0" borderId="32" xfId="0" applyFont="1" applyBorder="1" applyAlignment="1" quotePrefix="1">
      <alignment horizontal="justify" vertical="distributed" wrapText="1"/>
    </xf>
    <xf numFmtId="0" fontId="53" fillId="0" borderId="0" xfId="0" applyNumberFormat="1" applyFont="1" applyFill="1" applyBorder="1" applyAlignment="1">
      <alignment horizontal="justify" wrapText="1"/>
    </xf>
    <xf numFmtId="0" fontId="32" fillId="0" borderId="0" xfId="0" applyFont="1" applyFill="1" applyBorder="1" applyAlignment="1" quotePrefix="1">
      <alignment horizontal="justify" wrapText="1"/>
    </xf>
    <xf numFmtId="0" fontId="32" fillId="0" borderId="32" xfId="0" applyFont="1" applyFill="1" applyBorder="1" applyAlignment="1" quotePrefix="1">
      <alignment horizontal="justify" wrapText="1"/>
    </xf>
    <xf numFmtId="0" fontId="54" fillId="0" borderId="0" xfId="25" applyNumberFormat="1" applyFont="1" applyFill="1" applyAlignment="1">
      <alignment horizontal="justify" wrapText="1"/>
    </xf>
    <xf numFmtId="0" fontId="56" fillId="0" borderId="33" xfId="54" applyNumberFormat="1" applyFont="1" applyBorder="1" applyAlignment="1">
      <alignment horizontal="left" vertical="center"/>
      <protection/>
    </xf>
    <xf numFmtId="0" fontId="36" fillId="0" borderId="34" xfId="54" applyFont="1" applyBorder="1" applyAlignment="1">
      <alignment horizontal="left" vertical="center"/>
      <protection/>
    </xf>
    <xf numFmtId="0" fontId="36" fillId="0" borderId="35" xfId="54" applyFont="1" applyBorder="1" applyAlignment="1">
      <alignment horizontal="left" vertical="center"/>
      <protection/>
    </xf>
    <xf numFmtId="0" fontId="53" fillId="0" borderId="31" xfId="0" applyNumberFormat="1" applyFont="1" applyBorder="1" applyAlignment="1">
      <alignment horizontal="left"/>
    </xf>
    <xf numFmtId="0" fontId="56" fillId="0" borderId="0" xfId="0" applyFont="1" applyBorder="1" applyAlignment="1">
      <alignment horizontal="center" vertical="center"/>
    </xf>
    <xf numFmtId="0" fontId="36" fillId="0" borderId="0" xfId="0" applyFont="1" applyBorder="1" applyAlignment="1">
      <alignment horizontal="center" vertical="center"/>
    </xf>
    <xf numFmtId="0" fontId="55" fillId="0" borderId="0" xfId="0" applyFont="1" applyBorder="1" applyAlignment="1">
      <alignment horizontal="center" vertical="center"/>
    </xf>
    <xf numFmtId="0" fontId="35" fillId="0" borderId="0" xfId="0" applyFont="1" applyBorder="1" applyAlignment="1">
      <alignment horizontal="center" vertical="center"/>
    </xf>
    <xf numFmtId="0" fontId="35" fillId="0" borderId="0" xfId="0" applyFont="1" applyBorder="1" applyAlignment="1">
      <alignment horizontal="center"/>
    </xf>
    <xf numFmtId="173" fontId="53" fillId="0" borderId="0" xfId="0" applyNumberFormat="1" applyFont="1" applyBorder="1" applyAlignment="1">
      <alignment horizontal="center"/>
    </xf>
    <xf numFmtId="49" fontId="32" fillId="0" borderId="0" xfId="0" applyNumberFormat="1" applyFont="1" applyBorder="1" applyAlignment="1">
      <alignment horizontal="center"/>
    </xf>
    <xf numFmtId="0" fontId="32" fillId="0" borderId="0" xfId="0" applyFont="1" applyBorder="1" applyAlignment="1">
      <alignment horizontal="center"/>
    </xf>
    <xf numFmtId="173" fontId="56" fillId="0" borderId="33" xfId="0" applyNumberFormat="1" applyFont="1" applyBorder="1" applyAlignment="1">
      <alignment horizontal="left" vertical="center"/>
    </xf>
    <xf numFmtId="0" fontId="36" fillId="0" borderId="34" xfId="0" applyFont="1" applyBorder="1" applyAlignment="1">
      <alignment horizontal="left" vertical="center"/>
    </xf>
    <xf numFmtId="0" fontId="36" fillId="0" borderId="35" xfId="0" applyFont="1" applyBorder="1" applyAlignment="1">
      <alignment horizontal="left" vertical="center"/>
    </xf>
    <xf numFmtId="0" fontId="53" fillId="0" borderId="0" xfId="0" applyNumberFormat="1" applyFont="1" applyBorder="1" applyAlignment="1">
      <alignment horizontal="left" wrapText="1"/>
    </xf>
    <xf numFmtId="0" fontId="32" fillId="0" borderId="32" xfId="0" applyFont="1" applyBorder="1" applyAlignment="1">
      <alignment horizontal="left" wrapText="1"/>
    </xf>
    <xf numFmtId="49" fontId="54" fillId="0" borderId="0" xfId="0" applyNumberFormat="1" applyFont="1" applyBorder="1" applyAlignment="1">
      <alignment horizontal="justify" wrapText="1"/>
    </xf>
    <xf numFmtId="0" fontId="33" fillId="0" borderId="32" xfId="0" applyFont="1" applyBorder="1" applyAlignment="1">
      <alignment wrapText="1"/>
    </xf>
    <xf numFmtId="49" fontId="53" fillId="0" borderId="0" xfId="0" applyNumberFormat="1" applyFont="1" applyBorder="1" applyAlignment="1">
      <alignment horizontal="left" wrapText="1"/>
    </xf>
    <xf numFmtId="0" fontId="33" fillId="0" borderId="0" xfId="0" applyFont="1" applyFill="1" applyBorder="1" applyAlignment="1">
      <alignment horizontal="justify" wrapText="1"/>
    </xf>
    <xf numFmtId="0" fontId="54" fillId="0" borderId="0" xfId="25" applyNumberFormat="1" applyFont="1" applyAlignment="1">
      <alignment horizontal="justify" wrapText="1"/>
    </xf>
    <xf numFmtId="0" fontId="33" fillId="0" borderId="0" xfId="0" applyFont="1" applyAlignment="1">
      <alignment wrapText="1"/>
    </xf>
    <xf numFmtId="0" fontId="56" fillId="0" borderId="0" xfId="25" applyNumberFormat="1" applyFont="1" applyAlignment="1">
      <alignment horizontal="justify" wrapText="1"/>
    </xf>
    <xf numFmtId="0" fontId="36" fillId="0" borderId="0" xfId="25" applyNumberFormat="1" applyFont="1" applyAlignment="1">
      <alignment horizontal="justify" wrapText="1"/>
    </xf>
    <xf numFmtId="0" fontId="54" fillId="0" borderId="0" xfId="0" applyNumberFormat="1" applyFont="1" applyAlignment="1">
      <alignment horizontal="justify" wrapText="1"/>
    </xf>
    <xf numFmtId="0" fontId="53" fillId="0" borderId="0" xfId="0" applyNumberFormat="1" applyFont="1" applyAlignment="1">
      <alignment horizontal="justify" vertical="top" wrapText="1"/>
    </xf>
    <xf numFmtId="0" fontId="32" fillId="0" borderId="0" xfId="0" applyFont="1" applyAlignment="1">
      <alignment horizontal="justify" vertical="top" wrapText="1"/>
    </xf>
    <xf numFmtId="0" fontId="54" fillId="0" borderId="0" xfId="0" applyFont="1" applyAlignment="1">
      <alignment horizontal="justify" vertical="center" wrapText="1"/>
    </xf>
    <xf numFmtId="0" fontId="33" fillId="0" borderId="0" xfId="0" applyFont="1" applyAlignment="1" quotePrefix="1">
      <alignment horizontal="justify" vertical="center" wrapText="1"/>
    </xf>
    <xf numFmtId="0" fontId="54" fillId="0" borderId="0" xfId="0" applyFont="1" applyFill="1" applyBorder="1" applyAlignment="1">
      <alignment horizontal="justify" wrapText="1"/>
    </xf>
    <xf numFmtId="173" fontId="54" fillId="0" borderId="0" xfId="0" applyNumberFormat="1" applyFont="1" applyBorder="1" applyAlignment="1">
      <alignment horizontal="center" vertical="center" wrapText="1"/>
    </xf>
    <xf numFmtId="0" fontId="33" fillId="0" borderId="0" xfId="0" applyFont="1" applyBorder="1" applyAlignment="1">
      <alignment horizontal="center" vertical="center" wrapText="1"/>
    </xf>
    <xf numFmtId="0" fontId="54" fillId="0" borderId="0" xfId="0" applyNumberFormat="1" applyFont="1" applyFill="1" applyBorder="1" applyAlignment="1">
      <alignment horizontal="justify" vertical="center" wrapText="1"/>
    </xf>
    <xf numFmtId="0" fontId="33" fillId="0" borderId="0" xfId="0" applyFont="1" applyFill="1" applyBorder="1" applyAlignment="1">
      <alignment horizontal="justify" vertical="center" wrapText="1"/>
    </xf>
    <xf numFmtId="0" fontId="33" fillId="0" borderId="0" xfId="0" applyFont="1" applyAlignment="1">
      <alignment horizontal="justify" vertical="center" wrapText="1"/>
    </xf>
    <xf numFmtId="0" fontId="53" fillId="0" borderId="0" xfId="0" applyNumberFormat="1" applyFont="1" applyFill="1" applyBorder="1" applyAlignment="1">
      <alignment horizontal="center" vertical="top" wrapText="1"/>
    </xf>
    <xf numFmtId="0" fontId="32" fillId="0" borderId="0" xfId="0" applyFont="1" applyFill="1" applyBorder="1" applyAlignment="1">
      <alignment horizontal="center" vertical="top" wrapText="1"/>
    </xf>
    <xf numFmtId="0" fontId="54" fillId="0" borderId="0" xfId="0" applyFont="1" applyFill="1" applyBorder="1" applyAlignment="1">
      <alignment horizontal="justify" vertical="center" wrapText="1"/>
    </xf>
    <xf numFmtId="0" fontId="33" fillId="0" borderId="0" xfId="25" applyNumberFormat="1" applyFont="1" applyAlignment="1">
      <alignment horizontal="justify" wrapText="1"/>
    </xf>
    <xf numFmtId="0" fontId="56" fillId="0" borderId="0" xfId="0" applyNumberFormat="1" applyFont="1" applyBorder="1" applyAlignment="1">
      <alignment horizontal="justify" vertical="top" wrapText="1"/>
    </xf>
    <xf numFmtId="0" fontId="36" fillId="0" borderId="0" xfId="0" applyFont="1" applyBorder="1" applyAlignment="1">
      <alignment horizontal="justify" vertical="top" wrapText="1"/>
    </xf>
    <xf numFmtId="173" fontId="54" fillId="0" borderId="0" xfId="0" applyNumberFormat="1" applyFont="1" applyBorder="1" applyAlignment="1">
      <alignment horizontal="justify" vertical="center" wrapText="1"/>
    </xf>
    <xf numFmtId="0" fontId="33" fillId="0" borderId="0" xfId="0" applyFont="1" applyBorder="1" applyAlignment="1">
      <alignment horizontal="justify" vertical="center" wrapText="1"/>
    </xf>
    <xf numFmtId="173" fontId="54" fillId="0" borderId="0" xfId="25" applyNumberFormat="1" applyFont="1" applyBorder="1" applyAlignment="1">
      <alignment horizontal="justify" vertical="top" wrapText="1"/>
    </xf>
    <xf numFmtId="173" fontId="33" fillId="0" borderId="0" xfId="25" applyNumberFormat="1" applyFont="1" applyBorder="1" applyAlignment="1">
      <alignment horizontal="justify" vertical="top" wrapText="1"/>
    </xf>
    <xf numFmtId="173" fontId="33" fillId="0" borderId="0" xfId="25" applyNumberFormat="1" applyFont="1" applyBorder="1" applyAlignment="1">
      <alignment horizontal="justify" vertical="top"/>
    </xf>
    <xf numFmtId="0" fontId="56" fillId="0" borderId="0" xfId="0" applyNumberFormat="1" applyFont="1" applyAlignment="1">
      <alignment wrapText="1"/>
    </xf>
    <xf numFmtId="0" fontId="36" fillId="0" borderId="0" xfId="0" applyFont="1" applyAlignment="1">
      <alignment wrapText="1"/>
    </xf>
    <xf numFmtId="0" fontId="54" fillId="0" borderId="0" xfId="25" applyNumberFormat="1" applyFont="1" applyFill="1" applyAlignment="1" quotePrefix="1">
      <alignment horizontal="justify" wrapText="1"/>
    </xf>
    <xf numFmtId="0" fontId="58" fillId="0" borderId="0" xfId="25" applyNumberFormat="1" applyFont="1" applyAlignment="1">
      <alignment horizontal="justify" wrapText="1"/>
    </xf>
    <xf numFmtId="0" fontId="38" fillId="0" borderId="0" xfId="0" applyFont="1" applyAlignment="1">
      <alignment wrapText="1"/>
    </xf>
    <xf numFmtId="0" fontId="54" fillId="0" borderId="0" xfId="25" applyNumberFormat="1" applyFont="1" applyAlignment="1">
      <alignment horizontal="left" wrapText="1"/>
    </xf>
    <xf numFmtId="0" fontId="0" fillId="0" borderId="0" xfId="0" applyAlignment="1">
      <alignment horizontal="left"/>
    </xf>
    <xf numFmtId="0" fontId="54" fillId="0" borderId="0" xfId="25" applyNumberFormat="1" applyFont="1" applyAlignment="1" quotePrefix="1">
      <alignment horizontal="justify" wrapText="1"/>
    </xf>
    <xf numFmtId="0" fontId="54" fillId="0" borderId="0" xfId="25" applyNumberFormat="1" applyFont="1" applyFill="1" applyBorder="1" applyAlignment="1">
      <alignment horizontal="justify" wrapText="1"/>
    </xf>
    <xf numFmtId="0" fontId="33" fillId="0" borderId="0" xfId="0" applyFont="1" applyFill="1" applyBorder="1" applyAlignment="1">
      <alignment wrapText="1"/>
    </xf>
    <xf numFmtId="0" fontId="58" fillId="0" borderId="0" xfId="25" applyNumberFormat="1" applyFont="1" applyFill="1" applyAlignment="1">
      <alignment horizontal="justify" wrapText="1"/>
    </xf>
    <xf numFmtId="0" fontId="38" fillId="0" borderId="0" xfId="0" applyFont="1" applyFill="1" applyAlignment="1">
      <alignment wrapText="1"/>
    </xf>
    <xf numFmtId="0" fontId="54" fillId="0" borderId="0" xfId="0" applyNumberFormat="1" applyFont="1" applyFill="1" applyAlignment="1">
      <alignment wrapText="1"/>
    </xf>
    <xf numFmtId="14" fontId="54" fillId="0" borderId="0" xfId="0" applyNumberFormat="1" applyFont="1" applyFill="1" applyBorder="1" applyAlignment="1">
      <alignment horizontal="justify" wrapText="1"/>
    </xf>
    <xf numFmtId="0" fontId="54" fillId="0" borderId="0" xfId="0" applyNumberFormat="1" applyFont="1" applyBorder="1" applyAlignment="1">
      <alignment horizontal="justify" wrapText="1"/>
    </xf>
    <xf numFmtId="0" fontId="33" fillId="0" borderId="0" xfId="0" applyFont="1" applyBorder="1" applyAlignment="1">
      <alignment horizontal="justify" wrapText="1"/>
    </xf>
    <xf numFmtId="14" fontId="53" fillId="0" borderId="0" xfId="0" applyNumberFormat="1" applyFont="1" applyBorder="1" applyAlignment="1">
      <alignment horizontal="left" wrapText="1"/>
    </xf>
    <xf numFmtId="0" fontId="32" fillId="0" borderId="0" xfId="0" applyFont="1" applyBorder="1" applyAlignment="1">
      <alignment horizontal="left" wrapText="1"/>
    </xf>
    <xf numFmtId="0" fontId="54" fillId="0" borderId="0" xfId="0" applyFont="1" applyBorder="1" applyAlignment="1">
      <alignment horizontal="right" wrapText="1"/>
    </xf>
    <xf numFmtId="0" fontId="33" fillId="0" borderId="0" xfId="0" applyFont="1" applyBorder="1" applyAlignment="1">
      <alignment horizontal="right" wrapText="1"/>
    </xf>
    <xf numFmtId="49" fontId="53" fillId="0" borderId="0" xfId="0" applyNumberFormat="1" applyFont="1" applyBorder="1" applyAlignment="1">
      <alignment horizontal="center"/>
    </xf>
    <xf numFmtId="0" fontId="7" fillId="0" borderId="28" xfId="53" applyFont="1" applyFill="1" applyBorder="1" applyAlignment="1">
      <alignment horizontal="center" vertical="center"/>
      <protection/>
    </xf>
    <xf numFmtId="0" fontId="7" fillId="0" borderId="2" xfId="53" applyFont="1" applyFill="1" applyBorder="1" applyAlignment="1">
      <alignment horizontal="center" vertical="center"/>
      <protection/>
    </xf>
    <xf numFmtId="0" fontId="7" fillId="0" borderId="18" xfId="53" applyFont="1" applyFill="1" applyBorder="1" applyAlignment="1">
      <alignment horizontal="center" vertical="center"/>
      <protection/>
    </xf>
    <xf numFmtId="0" fontId="29" fillId="0" borderId="66" xfId="53" applyFont="1" applyFill="1" applyBorder="1" applyAlignment="1">
      <alignment horizontal="center" vertical="center"/>
      <protection/>
    </xf>
    <xf numFmtId="0" fontId="29" fillId="0" borderId="27" xfId="53" applyFont="1" applyFill="1" applyBorder="1" applyAlignment="1">
      <alignment horizontal="center" vertical="center"/>
      <protection/>
    </xf>
    <xf numFmtId="43" fontId="27" fillId="0" borderId="0" xfId="25" applyFont="1" applyFill="1" applyBorder="1" applyAlignment="1">
      <alignment horizontal="center" vertical="center"/>
    </xf>
    <xf numFmtId="43" fontId="7" fillId="0" borderId="28" xfId="25" applyFont="1" applyFill="1" applyBorder="1" applyAlignment="1">
      <alignment horizontal="center" vertical="center"/>
    </xf>
    <xf numFmtId="43" fontId="7" fillId="0" borderId="18" xfId="25" applyFont="1" applyFill="1" applyBorder="1" applyAlignment="1">
      <alignment horizontal="center" vertical="center"/>
    </xf>
    <xf numFmtId="43" fontId="7" fillId="0" borderId="2" xfId="25" applyFont="1" applyFill="1" applyBorder="1" applyAlignment="1">
      <alignment horizontal="center" vertical="center"/>
    </xf>
    <xf numFmtId="0" fontId="7" fillId="0" borderId="66" xfId="53" applyFont="1" applyFill="1" applyBorder="1" applyAlignment="1">
      <alignment horizontal="center" vertical="center"/>
      <protection/>
    </xf>
    <xf numFmtId="0" fontId="7" fillId="0" borderId="27" xfId="53" applyFont="1" applyFill="1" applyBorder="1" applyAlignment="1">
      <alignment horizontal="center" vertical="center"/>
      <protection/>
    </xf>
    <xf numFmtId="0" fontId="7" fillId="0" borderId="67" xfId="53" applyFont="1" applyFill="1" applyBorder="1" applyAlignment="1">
      <alignment horizontal="center" vertical="center"/>
      <protection/>
    </xf>
    <xf numFmtId="0" fontId="7" fillId="0" borderId="56" xfId="53" applyFont="1" applyFill="1" applyBorder="1" applyAlignment="1">
      <alignment horizontal="center" vertical="center"/>
      <protection/>
    </xf>
    <xf numFmtId="0" fontId="7" fillId="0" borderId="68" xfId="53" applyFont="1" applyFill="1" applyBorder="1" applyAlignment="1">
      <alignment horizontal="center" vertical="center"/>
      <protection/>
    </xf>
    <xf numFmtId="0" fontId="7" fillId="0" borderId="69" xfId="53" applyFont="1" applyFill="1" applyBorder="1" applyAlignment="1">
      <alignment horizontal="center" vertical="center"/>
      <protection/>
    </xf>
    <xf numFmtId="0" fontId="7" fillId="0" borderId="17" xfId="53" applyFont="1" applyFill="1" applyBorder="1" applyAlignment="1">
      <alignment horizontal="center" vertical="center"/>
      <protection/>
    </xf>
    <xf numFmtId="0" fontId="7" fillId="0" borderId="37" xfId="53" applyFont="1" applyFill="1" applyBorder="1" applyAlignment="1">
      <alignment horizontal="center" vertical="center"/>
      <protection/>
    </xf>
    <xf numFmtId="43" fontId="28" fillId="0" borderId="0" xfId="25" applyFont="1" applyFill="1" applyBorder="1" applyAlignment="1">
      <alignment horizontal="center" vertical="center"/>
    </xf>
  </cellXfs>
  <cellStyles count="69">
    <cellStyle name="Normal" xfId="0"/>
    <cellStyle name="RowLevel_0" xfId="1"/>
    <cellStyle name="??" xfId="15"/>
    <cellStyle name="?? [0.00]_Region Orders (2)" xfId="16"/>
    <cellStyle name="?? [0]_RESULTS" xfId="17"/>
    <cellStyle name="???? [0.00]_PRODUCT DETAIL Q1" xfId="18"/>
    <cellStyle name="????_PRODUCT DETAIL Q1" xfId="19"/>
    <cellStyle name="???_HOBONG" xfId="20"/>
    <cellStyle name="??_(????)??????" xfId="21"/>
    <cellStyle name="args.style" xfId="22"/>
    <cellStyle name="Calc Currency (0)" xfId="23"/>
    <cellStyle name="category" xfId="24"/>
    <cellStyle name="Comma" xfId="25"/>
    <cellStyle name="Comma [0]" xfId="26"/>
    <cellStyle name="Comma0" xfId="27"/>
    <cellStyle name="Copied" xfId="28"/>
    <cellStyle name="COST1" xfId="29"/>
    <cellStyle name="Currency" xfId="30"/>
    <cellStyle name="Currency [0]" xfId="31"/>
    <cellStyle name="Currency0" xfId="32"/>
    <cellStyle name="Date" xfId="33"/>
    <cellStyle name="Entered" xfId="34"/>
    <cellStyle name="Fixed" xfId="35"/>
    <cellStyle name="Followed Hyperlink" xfId="36"/>
    <cellStyle name="Grey" xfId="37"/>
    <cellStyle name="HEADER" xfId="38"/>
    <cellStyle name="Header1" xfId="39"/>
    <cellStyle name="Header2" xfId="40"/>
    <cellStyle name="Heading 1" xfId="41"/>
    <cellStyle name="Heading 2" xfId="42"/>
    <cellStyle name="Hyperlink" xfId="43"/>
    <cellStyle name="Input [yellow]" xfId="44"/>
    <cellStyle name="Input Cells" xfId="45"/>
    <cellStyle name="Linked Cells" xfId="46"/>
    <cellStyle name="Milliers [0]_      " xfId="47"/>
    <cellStyle name="Milliers_      " xfId="48"/>
    <cellStyle name="Model" xfId="49"/>
    <cellStyle name="Mon?aire [0]_      " xfId="50"/>
    <cellStyle name="Mon?aire_      " xfId="51"/>
    <cellStyle name="Normal - Style1" xfId="52"/>
    <cellStyle name="Normal_BAO CAO DIEU CHINH" xfId="53"/>
    <cellStyle name="Normal_form" xfId="54"/>
    <cellStyle name="Normal_TAISANCODINH" xfId="55"/>
    <cellStyle name="per.style" xfId="56"/>
    <cellStyle name="Percent" xfId="57"/>
    <cellStyle name="Percent [2]" xfId="58"/>
    <cellStyle name="PERCENTAGE" xfId="59"/>
    <cellStyle name="pricing" xfId="60"/>
    <cellStyle name="PSChar" xfId="61"/>
    <cellStyle name="RevList" xfId="62"/>
    <cellStyle name="subhead" xfId="63"/>
    <cellStyle name="Subtotal" xfId="64"/>
    <cellStyle name="Total" xfId="65"/>
    <cellStyle name="똿뗦먛귟 [0.00]_PRODUCT DETAIL Q1" xfId="66"/>
    <cellStyle name="똿뗦먛귟_PRODUCT DETAIL Q1" xfId="67"/>
    <cellStyle name="믅됞 [0.00]_PRODUCT DETAIL Q1" xfId="68"/>
    <cellStyle name="믅됞_PRODUCT DETAIL Q1" xfId="69"/>
    <cellStyle name="백분율_95" xfId="70"/>
    <cellStyle name="뷭?_BOOKSHIP" xfId="71"/>
    <cellStyle name="一般_Book1" xfId="72"/>
    <cellStyle name="千分位[0]_Book1" xfId="73"/>
    <cellStyle name="千分位_Book1" xfId="74"/>
    <cellStyle name="콤마 [0]_1202" xfId="75"/>
    <cellStyle name="콤마_1202" xfId="76"/>
    <cellStyle name="통화 [0]_1202" xfId="77"/>
    <cellStyle name="통화_1202" xfId="78"/>
    <cellStyle name="표준_(정보부문)월별인원계획" xfId="79"/>
    <cellStyle name="貨幣 [0]_Book1" xfId="80"/>
    <cellStyle name="貨幣_Book1" xfId="8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ttt2\shared%20docs\Data\Working\Auditing_Enterprises\INCOMEX%20SAIGON\Audit%20Report\NOTES-LETTER%20MANAGE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ttt2\shared%20docs\Data\Thang\Working\Auditing%20Enterprises\VTD%20FINANCIAL\DATA\DTHU_T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ttt2\shared%20docs\AN\TREE\TIEN\EXCEL\LINH%20TINH\MEKONG_FLOURMILL(3rd-submission-netcos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ttt2\shared%20docs\CAL_ANPHU.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Hang\hang\DATA\hang\2006\BCKT%20An%20Phu\apsc\REPORT\Data\Thang\Working\Auditing%20Enterprises\VTD%20FINANCIAL\DATA\DTHU_T1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Hang\hang\DATA\hang\2006\BCKT%20An%20Phu\apsc\REPORT\AN\TREE\TIEN\EXCEL\LINH%20TINH\MEKONG_FLOURMILL(3rd-submission-netcos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Ktdn6\d\DATA\Khanh\CAL_ANPH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36-336"/>
      <sheetName val="NOTES-2002"/>
      <sheetName val="NOTES-200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N_DV"/>
      <sheetName val="DON_GIA"/>
      <sheetName val="TP-HCM"/>
      <sheetName val="TONKHO"/>
      <sheetName val="Sheet9"/>
      <sheetName val="Sheet10"/>
      <sheetName val="Sheet11"/>
      <sheetName val="Sheet12"/>
      <sheetName val="Sheet13"/>
      <sheetName val="Sheet14"/>
      <sheetName val="Sheet15"/>
      <sheetName val="Sheet16"/>
      <sheetName val="XL4Poppy"/>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reakdown"/>
      <sheetName val="Sheet2"/>
      <sheetName val="Sheet3"/>
      <sheetName val="XL4Poppy"/>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ien98"/>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EN_DV"/>
      <sheetName val="DON_GIA"/>
      <sheetName val="TP-HCM"/>
      <sheetName val="TONKHO"/>
      <sheetName val="Sheet9"/>
      <sheetName val="Sheet10"/>
      <sheetName val="Sheet11"/>
      <sheetName val="Sheet12"/>
      <sheetName val="Sheet13"/>
      <sheetName val="Sheet14"/>
      <sheetName val="Sheet15"/>
      <sheetName val="Sheet16"/>
      <sheetName val="XL4Poppy"/>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breakdown"/>
      <sheetName val="Sheet2"/>
      <sheetName val="Sheet3"/>
      <sheetName val="XL4Poppy"/>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ien9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Q172"/>
  <sheetViews>
    <sheetView workbookViewId="0" topLeftCell="B4">
      <selection activeCell="I69" sqref="I69"/>
    </sheetView>
  </sheetViews>
  <sheetFormatPr defaultColWidth="9.00390625" defaultRowHeight="12.75"/>
  <cols>
    <col min="1" max="1" width="1.37890625" style="66" customWidth="1"/>
    <col min="2" max="2" width="1.00390625" style="66" customWidth="1"/>
    <col min="3" max="3" width="2.00390625" style="66" customWidth="1"/>
    <col min="4" max="4" width="2.25390625" style="66" customWidth="1"/>
    <col min="5" max="5" width="44.375" style="66" customWidth="1"/>
    <col min="6" max="6" width="7.25390625" style="66" customWidth="1"/>
    <col min="7" max="7" width="7.125" style="195" customWidth="1"/>
    <col min="8" max="8" width="22.25390625" style="66" customWidth="1"/>
    <col min="9" max="9" width="19.75390625" style="66" customWidth="1"/>
    <col min="10" max="10" width="9.125" style="66" customWidth="1"/>
    <col min="11" max="11" width="16.00390625" style="66" hidden="1" customWidth="1"/>
    <col min="12" max="12" width="17.875" style="66" hidden="1" customWidth="1"/>
    <col min="13" max="13" width="17.125" style="66" hidden="1" customWidth="1"/>
    <col min="14" max="14" width="20.625" style="71" bestFit="1" customWidth="1"/>
    <col min="15" max="15" width="18.75390625" style="66" bestFit="1" customWidth="1"/>
    <col min="16" max="16" width="15.75390625" style="66" bestFit="1" customWidth="1"/>
    <col min="17" max="17" width="15.00390625" style="66" bestFit="1" customWidth="1"/>
    <col min="18" max="16384" width="9.125" style="66" customWidth="1"/>
  </cols>
  <sheetData>
    <row r="1" spans="1:9" ht="13.5">
      <c r="A1" s="639" t="s">
        <v>16</v>
      </c>
      <c r="I1" s="640" t="s">
        <v>622</v>
      </c>
    </row>
    <row r="2" ht="11.25" customHeight="1">
      <c r="A2" s="65"/>
    </row>
    <row r="3" ht="15.75" customHeight="1" hidden="1">
      <c r="A3" s="65"/>
    </row>
    <row r="4" ht="13.5">
      <c r="A4" s="639" t="s">
        <v>17</v>
      </c>
    </row>
    <row r="5" spans="1:13" ht="13.5">
      <c r="A5" s="641" t="s">
        <v>18</v>
      </c>
      <c r="C5" s="69"/>
      <c r="D5" s="69"/>
      <c r="E5" s="69"/>
      <c r="F5" s="69"/>
      <c r="G5" s="204"/>
      <c r="H5" s="69"/>
      <c r="I5" s="69"/>
      <c r="L5" s="69"/>
      <c r="M5" s="69"/>
    </row>
    <row r="6" ht="6.75" customHeight="1"/>
    <row r="7" ht="14.25" thickBot="1">
      <c r="I7" s="642" t="s">
        <v>19</v>
      </c>
    </row>
    <row r="8" spans="1:14" s="83" customFormat="1" ht="30" customHeight="1" thickTop="1">
      <c r="A8" s="80"/>
      <c r="B8" s="643" t="s">
        <v>20</v>
      </c>
      <c r="C8" s="81"/>
      <c r="D8" s="81"/>
      <c r="E8" s="82"/>
      <c r="F8" s="644" t="s">
        <v>21</v>
      </c>
      <c r="G8" s="645" t="s">
        <v>22</v>
      </c>
      <c r="H8" s="133">
        <v>39447</v>
      </c>
      <c r="I8" s="134">
        <v>39082</v>
      </c>
      <c r="L8" s="646" t="s">
        <v>23</v>
      </c>
      <c r="M8" s="646" t="s">
        <v>24</v>
      </c>
      <c r="N8" s="479"/>
    </row>
    <row r="9" spans="1:14" s="83" customFormat="1" ht="9.75" customHeight="1">
      <c r="A9" s="84"/>
      <c r="B9" s="85"/>
      <c r="C9" s="85"/>
      <c r="D9" s="85"/>
      <c r="E9" s="86"/>
      <c r="F9" s="87"/>
      <c r="G9" s="88"/>
      <c r="H9" s="89"/>
      <c r="I9" s="90"/>
      <c r="L9" s="89"/>
      <c r="M9" s="89"/>
      <c r="N9" s="479"/>
    </row>
    <row r="10" spans="1:13" ht="15.75" customHeight="1">
      <c r="A10" s="647" t="s">
        <v>145</v>
      </c>
      <c r="B10" s="70"/>
      <c r="C10" s="641" t="s">
        <v>25</v>
      </c>
      <c r="D10" s="69"/>
      <c r="E10" s="76"/>
      <c r="F10" s="91">
        <v>100</v>
      </c>
      <c r="G10" s="92"/>
      <c r="H10" s="93">
        <f>H12+H16+H20+H28+H32</f>
        <v>1194841463360</v>
      </c>
      <c r="I10" s="94">
        <f>I12+I16+I20+I28+I32</f>
        <v>241057537242</v>
      </c>
      <c r="L10" s="93">
        <f>L12+L16+L20+L28+L32</f>
        <v>1169767629991</v>
      </c>
      <c r="M10" s="93">
        <f>M12+M16+M20+M28+M32</f>
        <v>25073833369</v>
      </c>
    </row>
    <row r="11" spans="1:13" ht="9" customHeight="1">
      <c r="A11" s="75"/>
      <c r="B11" s="70"/>
      <c r="C11" s="68"/>
      <c r="D11" s="69"/>
      <c r="E11" s="76"/>
      <c r="F11" s="91"/>
      <c r="G11" s="92"/>
      <c r="H11" s="93"/>
      <c r="I11" s="94"/>
      <c r="L11" s="93"/>
      <c r="M11" s="93"/>
    </row>
    <row r="12" spans="1:14" s="99" customFormat="1" ht="15.75" customHeight="1">
      <c r="A12" s="84"/>
      <c r="B12" s="85"/>
      <c r="C12" s="648" t="s">
        <v>146</v>
      </c>
      <c r="D12" s="651" t="s">
        <v>26</v>
      </c>
      <c r="E12" s="86"/>
      <c r="F12" s="96">
        <v>110</v>
      </c>
      <c r="G12" s="652" t="s">
        <v>653</v>
      </c>
      <c r="H12" s="97">
        <f>SUM(H13:H14)</f>
        <v>428316255364</v>
      </c>
      <c r="I12" s="98">
        <f>SUM(I13:I14)</f>
        <v>30405470607</v>
      </c>
      <c r="L12" s="97">
        <f>SUM(L13:L14)</f>
        <v>421714375423</v>
      </c>
      <c r="M12" s="97">
        <f>SUM(M13:M14)</f>
        <v>6601879941</v>
      </c>
      <c r="N12" s="505"/>
    </row>
    <row r="13" spans="1:13" ht="15.75" customHeight="1">
      <c r="A13" s="75"/>
      <c r="B13" s="69"/>
      <c r="C13" s="70"/>
      <c r="D13" s="653" t="s">
        <v>147</v>
      </c>
      <c r="E13" s="654" t="s">
        <v>27</v>
      </c>
      <c r="F13" s="101">
        <v>111</v>
      </c>
      <c r="G13" s="436"/>
      <c r="H13" s="77">
        <f>L13+M13</f>
        <v>428316255364</v>
      </c>
      <c r="I13" s="103">
        <v>30405470607</v>
      </c>
      <c r="K13" s="71">
        <f>383628090+22530195888+7491646629</f>
        <v>30405470607</v>
      </c>
      <c r="L13" s="77">
        <f>140828208+403427275178+18146272037</f>
        <v>421714375423</v>
      </c>
      <c r="M13" s="77">
        <v>6601879941</v>
      </c>
    </row>
    <row r="14" spans="1:13" ht="15.75" customHeight="1" hidden="1">
      <c r="A14" s="75"/>
      <c r="B14" s="69"/>
      <c r="C14" s="70"/>
      <c r="D14" s="653" t="s">
        <v>148</v>
      </c>
      <c r="E14" s="654" t="s">
        <v>28</v>
      </c>
      <c r="F14" s="101">
        <v>112</v>
      </c>
      <c r="G14" s="436"/>
      <c r="H14" s="77"/>
      <c r="I14" s="103">
        <v>0</v>
      </c>
      <c r="L14" s="77"/>
      <c r="M14" s="77"/>
    </row>
    <row r="15" spans="1:13" ht="7.5" customHeight="1">
      <c r="A15" s="75"/>
      <c r="B15" s="69"/>
      <c r="C15" s="70"/>
      <c r="D15" s="100"/>
      <c r="E15" s="76"/>
      <c r="F15" s="101"/>
      <c r="G15" s="92"/>
      <c r="H15" s="77"/>
      <c r="I15" s="74"/>
      <c r="L15" s="77"/>
      <c r="M15" s="77"/>
    </row>
    <row r="16" spans="1:14" s="83" customFormat="1" ht="15.75" customHeight="1">
      <c r="A16" s="104"/>
      <c r="B16" s="105"/>
      <c r="C16" s="648" t="s">
        <v>153</v>
      </c>
      <c r="D16" s="651" t="s">
        <v>29</v>
      </c>
      <c r="E16" s="106"/>
      <c r="F16" s="96">
        <v>120</v>
      </c>
      <c r="G16" s="113"/>
      <c r="H16" s="97">
        <f>SUM(H17:H18)</f>
        <v>0</v>
      </c>
      <c r="I16" s="98">
        <f>SUM(I17:I18)</f>
        <v>0</v>
      </c>
      <c r="L16" s="97">
        <f>SUM(L17:L18)</f>
        <v>0</v>
      </c>
      <c r="M16" s="97">
        <f>SUM(M17:M18)</f>
        <v>0</v>
      </c>
      <c r="N16" s="479"/>
    </row>
    <row r="17" spans="1:13" ht="15.75" customHeight="1" hidden="1">
      <c r="A17" s="75"/>
      <c r="B17" s="69"/>
      <c r="C17" s="70"/>
      <c r="D17" s="653" t="s">
        <v>147</v>
      </c>
      <c r="E17" s="654" t="s">
        <v>30</v>
      </c>
      <c r="F17" s="101">
        <v>121</v>
      </c>
      <c r="G17" s="92"/>
      <c r="H17" s="77">
        <f>L17+M17</f>
        <v>0</v>
      </c>
      <c r="I17" s="74">
        <v>0</v>
      </c>
      <c r="L17" s="73">
        <v>0</v>
      </c>
      <c r="M17" s="73">
        <v>0</v>
      </c>
    </row>
    <row r="18" spans="1:13" ht="15.75" customHeight="1" hidden="1">
      <c r="A18" s="75"/>
      <c r="B18" s="69"/>
      <c r="C18" s="70"/>
      <c r="D18" s="653" t="s">
        <v>148</v>
      </c>
      <c r="E18" s="654" t="s">
        <v>31</v>
      </c>
      <c r="F18" s="101">
        <v>129</v>
      </c>
      <c r="G18" s="92"/>
      <c r="H18" s="77">
        <f>L18+M18</f>
        <v>0</v>
      </c>
      <c r="I18" s="74">
        <v>0</v>
      </c>
      <c r="L18" s="73">
        <v>0</v>
      </c>
      <c r="M18" s="73">
        <v>0</v>
      </c>
    </row>
    <row r="19" spans="1:13" ht="8.25" customHeight="1">
      <c r="A19" s="75"/>
      <c r="B19" s="69"/>
      <c r="C19" s="70"/>
      <c r="D19" s="100"/>
      <c r="E19" s="76"/>
      <c r="F19" s="101"/>
      <c r="G19" s="92"/>
      <c r="H19" s="73"/>
      <c r="I19" s="74"/>
      <c r="L19" s="73"/>
      <c r="M19" s="73"/>
    </row>
    <row r="20" spans="1:14" s="83" customFormat="1" ht="15.75" customHeight="1">
      <c r="A20" s="104"/>
      <c r="B20" s="105"/>
      <c r="C20" s="655" t="s">
        <v>153</v>
      </c>
      <c r="D20" s="651" t="s">
        <v>32</v>
      </c>
      <c r="E20" s="106"/>
      <c r="F20" s="96">
        <v>130</v>
      </c>
      <c r="G20" s="652" t="s">
        <v>654</v>
      </c>
      <c r="H20" s="97">
        <f>SUM(H21:H26)</f>
        <v>705810508858</v>
      </c>
      <c r="I20" s="108">
        <f>SUM(I21:I26)</f>
        <v>189446465238</v>
      </c>
      <c r="L20" s="97">
        <f>SUM(L21:L26)</f>
        <v>690784468210</v>
      </c>
      <c r="M20" s="97">
        <f>SUM(M21:M26)</f>
        <v>15026040648</v>
      </c>
      <c r="N20" s="479"/>
    </row>
    <row r="21" spans="1:15" ht="15.75" customHeight="1">
      <c r="A21" s="75"/>
      <c r="B21" s="69"/>
      <c r="C21" s="70"/>
      <c r="D21" s="653" t="s">
        <v>147</v>
      </c>
      <c r="E21" s="654" t="s">
        <v>33</v>
      </c>
      <c r="F21" s="109">
        <v>131</v>
      </c>
      <c r="G21" s="158"/>
      <c r="H21" s="77">
        <f>L21+M21+5</f>
        <v>69992058635</v>
      </c>
      <c r="I21" s="74">
        <v>153179946085</v>
      </c>
      <c r="K21" s="504">
        <f>I21-I104</f>
        <v>153055607776</v>
      </c>
      <c r="L21" s="71">
        <v>57251759606</v>
      </c>
      <c r="M21" s="77">
        <f>13309686532-'AE'!H30</f>
        <v>12740299024</v>
      </c>
      <c r="O21" s="504"/>
    </row>
    <row r="22" spans="1:15" ht="13.5">
      <c r="A22" s="75"/>
      <c r="B22" s="69"/>
      <c r="C22" s="70"/>
      <c r="D22" s="653" t="s">
        <v>148</v>
      </c>
      <c r="E22" s="654" t="s">
        <v>34</v>
      </c>
      <c r="F22" s="109">
        <v>132</v>
      </c>
      <c r="G22" s="158"/>
      <c r="H22" s="77">
        <f>L22+M22</f>
        <v>566923696655</v>
      </c>
      <c r="I22" s="74">
        <v>21397981384</v>
      </c>
      <c r="L22" s="71">
        <v>566885696655</v>
      </c>
      <c r="M22" s="77">
        <v>38000000</v>
      </c>
      <c r="O22" s="504"/>
    </row>
    <row r="23" spans="1:15" ht="13.5">
      <c r="A23" s="75"/>
      <c r="B23" s="69"/>
      <c r="C23" s="70"/>
      <c r="D23" s="656" t="s">
        <v>152</v>
      </c>
      <c r="E23" s="654" t="s">
        <v>35</v>
      </c>
      <c r="F23" s="109">
        <v>133</v>
      </c>
      <c r="G23" s="92"/>
      <c r="H23" s="77">
        <f>L23+M23-'AE'!H39</f>
        <v>0</v>
      </c>
      <c r="I23" s="74">
        <v>0</v>
      </c>
      <c r="L23" s="77">
        <v>0</v>
      </c>
      <c r="M23" s="77">
        <f>7269148072-'AE'!H26+'AE'!H30-'AE'!H34</f>
        <v>569387508</v>
      </c>
      <c r="O23" s="504"/>
    </row>
    <row r="24" spans="1:15" ht="13.5">
      <c r="A24" s="75"/>
      <c r="B24" s="69"/>
      <c r="C24" s="70"/>
      <c r="D24" s="656" t="s">
        <v>155</v>
      </c>
      <c r="E24" s="654" t="s">
        <v>36</v>
      </c>
      <c r="F24" s="109">
        <v>134</v>
      </c>
      <c r="G24" s="92"/>
      <c r="H24" s="77">
        <f>L24+M24</f>
        <v>0</v>
      </c>
      <c r="I24" s="74">
        <v>0</v>
      </c>
      <c r="L24" s="77">
        <v>0</v>
      </c>
      <c r="M24" s="77"/>
      <c r="O24" s="504"/>
    </row>
    <row r="25" spans="1:16" ht="13.5">
      <c r="A25" s="75"/>
      <c r="B25" s="69"/>
      <c r="C25" s="70"/>
      <c r="D25" s="653" t="s">
        <v>156</v>
      </c>
      <c r="E25" s="654" t="s">
        <v>37</v>
      </c>
      <c r="F25" s="109">
        <v>138</v>
      </c>
      <c r="G25" s="158"/>
      <c r="H25" s="77">
        <f>L25+M25+'AE'!H39-5</f>
        <v>74894753568</v>
      </c>
      <c r="I25" s="74">
        <v>16342862535</v>
      </c>
      <c r="K25" s="504">
        <f>I25-I110</f>
        <v>13496989205</v>
      </c>
      <c r="L25" s="77">
        <v>72647011949</v>
      </c>
      <c r="M25" s="77">
        <f>1677427476-7005000+7931640</f>
        <v>1678354116</v>
      </c>
      <c r="O25" s="504"/>
      <c r="P25" s="504"/>
    </row>
    <row r="26" spans="1:15" ht="15.75" customHeight="1">
      <c r="A26" s="75"/>
      <c r="B26" s="69"/>
      <c r="C26" s="70"/>
      <c r="D26" s="653" t="s">
        <v>157</v>
      </c>
      <c r="E26" s="654" t="s">
        <v>38</v>
      </c>
      <c r="F26" s="109">
        <v>139</v>
      </c>
      <c r="G26" s="436"/>
      <c r="H26" s="77">
        <f>L26+M26</f>
        <v>-6000000000</v>
      </c>
      <c r="I26" s="74">
        <v>-1474324766</v>
      </c>
      <c r="L26" s="77">
        <v>-6000000000</v>
      </c>
      <c r="M26" s="77"/>
      <c r="O26" s="504"/>
    </row>
    <row r="27" spans="1:15" ht="9" customHeight="1">
      <c r="A27" s="75"/>
      <c r="B27" s="69"/>
      <c r="C27" s="70"/>
      <c r="D27" s="100"/>
      <c r="E27" s="76"/>
      <c r="F27" s="109"/>
      <c r="G27" s="436"/>
      <c r="H27" s="77"/>
      <c r="I27" s="74"/>
      <c r="L27" s="77"/>
      <c r="M27" s="77"/>
      <c r="O27" s="504"/>
    </row>
    <row r="28" spans="1:15" ht="15.75" customHeight="1">
      <c r="A28" s="75"/>
      <c r="B28" s="105"/>
      <c r="C28" s="648" t="s">
        <v>154</v>
      </c>
      <c r="D28" s="651" t="s">
        <v>39</v>
      </c>
      <c r="E28" s="76"/>
      <c r="F28" s="91">
        <v>140</v>
      </c>
      <c r="G28" s="652" t="s">
        <v>655</v>
      </c>
      <c r="H28" s="113">
        <f>SUM(H29:H30)</f>
        <v>50627306890</v>
      </c>
      <c r="I28" s="114">
        <f>SUM(I29:I30)</f>
        <v>15482149709</v>
      </c>
      <c r="L28" s="113">
        <f>SUM(L29:L30)</f>
        <v>48040277948</v>
      </c>
      <c r="M28" s="113">
        <f>SUM(M29:M30)</f>
        <v>2587028942</v>
      </c>
      <c r="O28" s="504"/>
    </row>
    <row r="29" spans="1:15" ht="15.75" customHeight="1">
      <c r="A29" s="75"/>
      <c r="B29" s="69"/>
      <c r="C29" s="70"/>
      <c r="D29" s="656" t="s">
        <v>147</v>
      </c>
      <c r="E29" s="654" t="s">
        <v>39</v>
      </c>
      <c r="F29" s="657" t="s">
        <v>685</v>
      </c>
      <c r="G29" s="92"/>
      <c r="H29" s="77">
        <f>L29+M29</f>
        <v>50627306890</v>
      </c>
      <c r="I29" s="74">
        <v>15482149709</v>
      </c>
      <c r="L29" s="77">
        <f>16403871724+176197256+31460208968</f>
        <v>48040277948</v>
      </c>
      <c r="M29" s="77">
        <v>2587028942</v>
      </c>
      <c r="O29" s="504"/>
    </row>
    <row r="30" spans="1:15" ht="14.25" customHeight="1">
      <c r="A30" s="75"/>
      <c r="B30" s="69"/>
      <c r="C30" s="70"/>
      <c r="D30" s="656" t="s">
        <v>148</v>
      </c>
      <c r="E30" s="654" t="s">
        <v>40</v>
      </c>
      <c r="F30" s="657" t="s">
        <v>686</v>
      </c>
      <c r="G30" s="92"/>
      <c r="H30" s="77">
        <f>L30+M30</f>
        <v>0</v>
      </c>
      <c r="I30" s="74">
        <v>0</v>
      </c>
      <c r="L30" s="77"/>
      <c r="M30" s="77"/>
      <c r="O30" s="504"/>
    </row>
    <row r="31" spans="1:15" ht="9" customHeight="1">
      <c r="A31" s="75"/>
      <c r="B31" s="69"/>
      <c r="C31" s="70"/>
      <c r="D31" s="100"/>
      <c r="E31" s="76"/>
      <c r="F31" s="101"/>
      <c r="G31" s="92"/>
      <c r="H31" s="77"/>
      <c r="I31" s="74"/>
      <c r="L31" s="77"/>
      <c r="M31" s="77"/>
      <c r="O31" s="504"/>
    </row>
    <row r="32" spans="1:15" s="83" customFormat="1" ht="15.75" customHeight="1">
      <c r="A32" s="104"/>
      <c r="B32" s="105"/>
      <c r="C32" s="648" t="s">
        <v>158</v>
      </c>
      <c r="D32" s="651" t="s">
        <v>41</v>
      </c>
      <c r="E32" s="106"/>
      <c r="F32" s="658" t="s">
        <v>161</v>
      </c>
      <c r="G32" s="652" t="s">
        <v>656</v>
      </c>
      <c r="H32" s="97">
        <f>SUM(H33:H36)</f>
        <v>10087392248</v>
      </c>
      <c r="I32" s="108">
        <f>SUM(I33:I36)</f>
        <v>5723451688</v>
      </c>
      <c r="L32" s="97">
        <f>SUM(L33:L36)</f>
        <v>9228508410</v>
      </c>
      <c r="M32" s="97">
        <f>SUM(M33:M36)</f>
        <v>858883838</v>
      </c>
      <c r="N32" s="479"/>
      <c r="O32" s="504"/>
    </row>
    <row r="33" spans="1:15" ht="15.75" customHeight="1">
      <c r="A33" s="75"/>
      <c r="B33" s="69"/>
      <c r="C33" s="70"/>
      <c r="D33" s="656" t="s">
        <v>147</v>
      </c>
      <c r="E33" s="654" t="s">
        <v>42</v>
      </c>
      <c r="F33" s="657" t="s">
        <v>687</v>
      </c>
      <c r="G33" s="92"/>
      <c r="H33" s="77">
        <f>L33+M33</f>
        <v>20628098</v>
      </c>
      <c r="I33" s="74">
        <v>156133132</v>
      </c>
      <c r="L33" s="77">
        <v>20628098</v>
      </c>
      <c r="M33" s="77">
        <f>65000000+'AE'!H22</f>
        <v>0</v>
      </c>
      <c r="O33" s="504"/>
    </row>
    <row r="34" spans="1:15" ht="15.75" customHeight="1">
      <c r="A34" s="75"/>
      <c r="B34" s="69"/>
      <c r="C34" s="70"/>
      <c r="D34" s="656" t="s">
        <v>148</v>
      </c>
      <c r="E34" s="654" t="s">
        <v>43</v>
      </c>
      <c r="F34" s="657" t="s">
        <v>582</v>
      </c>
      <c r="G34" s="92"/>
      <c r="H34" s="77">
        <f>L34+M34</f>
        <v>8117385187</v>
      </c>
      <c r="I34" s="74">
        <v>3130391564</v>
      </c>
      <c r="K34" s="513">
        <f>1929782699+2129008355</f>
        <v>4058791054</v>
      </c>
      <c r="L34" s="77">
        <v>7420662140</v>
      </c>
      <c r="M34" s="77">
        <v>696723047</v>
      </c>
      <c r="O34" s="504"/>
    </row>
    <row r="35" spans="1:15" ht="15.75" customHeight="1">
      <c r="A35" s="75"/>
      <c r="B35" s="69"/>
      <c r="C35" s="70"/>
      <c r="D35" s="656" t="s">
        <v>152</v>
      </c>
      <c r="E35" s="654" t="s">
        <v>44</v>
      </c>
      <c r="F35" s="657" t="s">
        <v>587</v>
      </c>
      <c r="G35" s="435"/>
      <c r="H35" s="77">
        <f>L35+M35</f>
        <v>6011219</v>
      </c>
      <c r="I35" s="74">
        <v>0</v>
      </c>
      <c r="L35" s="77"/>
      <c r="M35" s="77">
        <v>6011219</v>
      </c>
      <c r="O35" s="504"/>
    </row>
    <row r="36" spans="1:15" ht="15.75" customHeight="1">
      <c r="A36" s="75"/>
      <c r="B36" s="69"/>
      <c r="C36" s="70"/>
      <c r="D36" s="656" t="s">
        <v>155</v>
      </c>
      <c r="E36" s="654" t="s">
        <v>41</v>
      </c>
      <c r="F36" s="657" t="s">
        <v>688</v>
      </c>
      <c r="G36" s="92"/>
      <c r="H36" s="77">
        <f>L36+M36</f>
        <v>1943367744</v>
      </c>
      <c r="I36" s="74">
        <v>2436926992</v>
      </c>
      <c r="K36" s="66">
        <f>1735295933+701631059</f>
        <v>2436926992</v>
      </c>
      <c r="L36" s="77">
        <f>1752345172+34873000</f>
        <v>1787218172</v>
      </c>
      <c r="M36" s="77">
        <v>156149572</v>
      </c>
      <c r="O36" s="504"/>
    </row>
    <row r="37" spans="1:15" ht="9" customHeight="1">
      <c r="A37" s="75"/>
      <c r="B37" s="69"/>
      <c r="C37" s="70"/>
      <c r="D37" s="110"/>
      <c r="E37" s="76"/>
      <c r="F37" s="101"/>
      <c r="G37" s="92"/>
      <c r="H37" s="77"/>
      <c r="I37" s="74"/>
      <c r="L37" s="77"/>
      <c r="M37" s="77"/>
      <c r="O37" s="504"/>
    </row>
    <row r="38" spans="1:15" ht="15.75" customHeight="1">
      <c r="A38" s="659" t="s">
        <v>166</v>
      </c>
      <c r="B38" s="70"/>
      <c r="C38" s="641" t="s">
        <v>45</v>
      </c>
      <c r="D38" s="69"/>
      <c r="E38" s="76"/>
      <c r="F38" s="660" t="s">
        <v>167</v>
      </c>
      <c r="G38" s="112"/>
      <c r="H38" s="93">
        <f>H40+H50+H71+H75+H83</f>
        <v>1327952796470</v>
      </c>
      <c r="I38" s="94">
        <f>I40+I50+I71+I75+I83</f>
        <v>499248947661</v>
      </c>
      <c r="L38" s="93">
        <f>L40+L50+L71+L75+L83</f>
        <v>1322943293853</v>
      </c>
      <c r="M38" s="93">
        <f>M40+M50+M71+M75+M83</f>
        <v>18740354545</v>
      </c>
      <c r="O38" s="504"/>
    </row>
    <row r="39" spans="1:15" ht="9" customHeight="1">
      <c r="A39" s="75"/>
      <c r="B39" s="70"/>
      <c r="C39" s="68"/>
      <c r="D39" s="69"/>
      <c r="E39" s="76"/>
      <c r="F39" s="91"/>
      <c r="G39" s="112"/>
      <c r="H39" s="93"/>
      <c r="I39" s="94"/>
      <c r="L39" s="93"/>
      <c r="M39" s="93"/>
      <c r="O39" s="504"/>
    </row>
    <row r="40" spans="1:15" s="83" customFormat="1" ht="15.75" customHeight="1">
      <c r="A40" s="104"/>
      <c r="B40" s="105"/>
      <c r="C40" s="648" t="s">
        <v>146</v>
      </c>
      <c r="D40" s="651" t="s">
        <v>46</v>
      </c>
      <c r="E40" s="106"/>
      <c r="F40" s="658" t="s">
        <v>168</v>
      </c>
      <c r="G40" s="139"/>
      <c r="H40" s="97">
        <f>H41+H42+H43</f>
        <v>11680000</v>
      </c>
      <c r="I40" s="108">
        <f>SUM(I41:I44)</f>
        <v>11680000</v>
      </c>
      <c r="L40" s="97">
        <f>L41+L42+L43</f>
        <v>11680000</v>
      </c>
      <c r="M40" s="97">
        <f>M41+M42+M43</f>
        <v>0</v>
      </c>
      <c r="N40" s="479"/>
      <c r="O40" s="504"/>
    </row>
    <row r="41" spans="1:15" ht="15.75" customHeight="1" hidden="1">
      <c r="A41" s="75"/>
      <c r="B41" s="69"/>
      <c r="C41" s="70"/>
      <c r="D41" s="653" t="s">
        <v>147</v>
      </c>
      <c r="E41" s="654" t="s">
        <v>47</v>
      </c>
      <c r="F41" s="657" t="s">
        <v>169</v>
      </c>
      <c r="G41" s="112"/>
      <c r="H41" s="73"/>
      <c r="I41" s="74">
        <v>0</v>
      </c>
      <c r="L41" s="73"/>
      <c r="M41" s="73"/>
      <c r="O41" s="504"/>
    </row>
    <row r="42" spans="1:15" ht="15.75" customHeight="1" hidden="1">
      <c r="A42" s="75"/>
      <c r="B42" s="69"/>
      <c r="C42" s="70"/>
      <c r="D42" s="653" t="s">
        <v>148</v>
      </c>
      <c r="E42" s="654" t="s">
        <v>48</v>
      </c>
      <c r="F42" s="657" t="s">
        <v>689</v>
      </c>
      <c r="G42" s="437"/>
      <c r="H42" s="73"/>
      <c r="I42" s="74">
        <v>0</v>
      </c>
      <c r="L42" s="73"/>
      <c r="M42" s="73"/>
      <c r="O42" s="504"/>
    </row>
    <row r="43" spans="1:15" ht="15.75" customHeight="1">
      <c r="A43" s="75"/>
      <c r="B43" s="69"/>
      <c r="C43" s="70"/>
      <c r="D43" s="653" t="s">
        <v>147</v>
      </c>
      <c r="E43" s="654" t="s">
        <v>49</v>
      </c>
      <c r="F43" s="657" t="s">
        <v>690</v>
      </c>
      <c r="G43" s="437"/>
      <c r="H43" s="77">
        <f>L43+M43</f>
        <v>11680000</v>
      </c>
      <c r="I43" s="74">
        <v>11680000</v>
      </c>
      <c r="L43" s="73">
        <v>11680000</v>
      </c>
      <c r="M43" s="73">
        <v>0</v>
      </c>
      <c r="O43" s="504"/>
    </row>
    <row r="44" spans="1:15" ht="15.75" customHeight="1" hidden="1">
      <c r="A44" s="75"/>
      <c r="B44" s="69"/>
      <c r="C44" s="70"/>
      <c r="D44" s="656" t="s">
        <v>155</v>
      </c>
      <c r="E44" s="654" t="s">
        <v>50</v>
      </c>
      <c r="F44" s="657" t="s">
        <v>691</v>
      </c>
      <c r="G44" s="438"/>
      <c r="H44" s="77"/>
      <c r="I44" s="74">
        <v>0</v>
      </c>
      <c r="L44" s="77"/>
      <c r="M44" s="77"/>
      <c r="O44" s="504"/>
    </row>
    <row r="45" spans="1:15" ht="9" customHeight="1">
      <c r="A45" s="75"/>
      <c r="B45" s="69"/>
      <c r="C45" s="70"/>
      <c r="D45" s="100"/>
      <c r="E45" s="76"/>
      <c r="F45" s="101"/>
      <c r="G45" s="113"/>
      <c r="H45" s="77"/>
      <c r="I45" s="115"/>
      <c r="L45" s="77"/>
      <c r="M45" s="77"/>
      <c r="O45" s="504"/>
    </row>
    <row r="46" spans="1:15" s="83" customFormat="1" ht="15.75" customHeight="1" hidden="1">
      <c r="A46" s="104"/>
      <c r="B46" s="105"/>
      <c r="C46" s="648" t="s">
        <v>162</v>
      </c>
      <c r="D46" s="651" t="s">
        <v>51</v>
      </c>
      <c r="E46" s="106"/>
      <c r="F46" s="658" t="s">
        <v>163</v>
      </c>
      <c r="G46" s="113"/>
      <c r="H46" s="97">
        <f>SUM(H47:H48)</f>
        <v>0</v>
      </c>
      <c r="I46" s="116">
        <v>0</v>
      </c>
      <c r="L46" s="97">
        <f>SUM(L47:L48)</f>
        <v>0</v>
      </c>
      <c r="M46" s="97">
        <f>SUM(M47:M48)</f>
        <v>0</v>
      </c>
      <c r="N46" s="479"/>
      <c r="O46" s="504"/>
    </row>
    <row r="47" spans="1:15" ht="15.75" customHeight="1" hidden="1">
      <c r="A47" s="75"/>
      <c r="B47" s="69"/>
      <c r="C47" s="70"/>
      <c r="D47" s="653" t="s">
        <v>147</v>
      </c>
      <c r="E47" s="654" t="s">
        <v>52</v>
      </c>
      <c r="F47" s="657" t="s">
        <v>164</v>
      </c>
      <c r="G47" s="113"/>
      <c r="H47" s="73"/>
      <c r="I47" s="74">
        <v>0</v>
      </c>
      <c r="L47" s="73"/>
      <c r="M47" s="73"/>
      <c r="O47" s="504"/>
    </row>
    <row r="48" spans="1:15" ht="15.75" customHeight="1" hidden="1">
      <c r="A48" s="75"/>
      <c r="B48" s="69"/>
      <c r="C48" s="70"/>
      <c r="D48" s="653" t="s">
        <v>148</v>
      </c>
      <c r="E48" s="654" t="s">
        <v>53</v>
      </c>
      <c r="F48" s="657" t="s">
        <v>165</v>
      </c>
      <c r="G48" s="113"/>
      <c r="H48" s="73"/>
      <c r="I48" s="74">
        <v>0</v>
      </c>
      <c r="L48" s="73"/>
      <c r="M48" s="73"/>
      <c r="O48" s="504"/>
    </row>
    <row r="49" spans="1:15" ht="15.75" customHeight="1" hidden="1">
      <c r="A49" s="75"/>
      <c r="B49" s="69"/>
      <c r="C49" s="70"/>
      <c r="D49" s="100"/>
      <c r="E49" s="76"/>
      <c r="F49" s="101"/>
      <c r="G49" s="113"/>
      <c r="H49" s="73"/>
      <c r="I49" s="74"/>
      <c r="L49" s="73"/>
      <c r="M49" s="73"/>
      <c r="O49" s="504"/>
    </row>
    <row r="50" spans="1:15" s="83" customFormat="1" ht="15.75" customHeight="1">
      <c r="A50" s="104"/>
      <c r="B50" s="105"/>
      <c r="C50" s="648" t="s">
        <v>153</v>
      </c>
      <c r="D50" s="651" t="s">
        <v>54</v>
      </c>
      <c r="E50" s="106"/>
      <c r="F50" s="658" t="s">
        <v>170</v>
      </c>
      <c r="G50" s="439"/>
      <c r="H50" s="93">
        <f>H51+H54+H57+H60</f>
        <v>893786768115</v>
      </c>
      <c r="I50" s="94">
        <f>I51+I54+I57+I60</f>
        <v>498764574413</v>
      </c>
      <c r="L50" s="93">
        <f>L51+L54+L57+L60</f>
        <v>892937805523</v>
      </c>
      <c r="M50" s="93">
        <f>M51+M54+M57+M60</f>
        <v>848962592</v>
      </c>
      <c r="N50" s="479"/>
      <c r="O50" s="504"/>
    </row>
    <row r="51" spans="1:15" ht="15.75" customHeight="1">
      <c r="A51" s="75"/>
      <c r="B51" s="69"/>
      <c r="C51" s="70"/>
      <c r="D51" s="653" t="s">
        <v>147</v>
      </c>
      <c r="E51" s="654" t="s">
        <v>55</v>
      </c>
      <c r="F51" s="657" t="s">
        <v>171</v>
      </c>
      <c r="G51" s="661" t="s">
        <v>658</v>
      </c>
      <c r="H51" s="102">
        <f>SUM(H52:H53)</f>
        <v>693113856729</v>
      </c>
      <c r="I51" s="74">
        <f>SUM(I52:I53)</f>
        <v>422223861061</v>
      </c>
      <c r="L51" s="102">
        <f>SUM(L52:L53)</f>
        <v>692264894137</v>
      </c>
      <c r="M51" s="102">
        <f>SUM(M52:M53)</f>
        <v>848962592</v>
      </c>
      <c r="O51" s="504"/>
    </row>
    <row r="52" spans="1:15" ht="15.75" customHeight="1">
      <c r="A52" s="75"/>
      <c r="B52" s="69"/>
      <c r="C52" s="70"/>
      <c r="D52" s="100"/>
      <c r="E52" s="662" t="s">
        <v>56</v>
      </c>
      <c r="F52" s="657" t="s">
        <v>172</v>
      </c>
      <c r="G52" s="139"/>
      <c r="H52" s="77">
        <f>L52+M52</f>
        <v>802245890239</v>
      </c>
      <c r="I52" s="74">
        <v>468332470670</v>
      </c>
      <c r="L52" s="77">
        <f>3236194429+796967759701+1123052927</f>
        <v>801327007057</v>
      </c>
      <c r="M52" s="77">
        <v>918883182</v>
      </c>
      <c r="O52" s="504"/>
    </row>
    <row r="53" spans="1:15" ht="13.5">
      <c r="A53" s="75"/>
      <c r="B53" s="69"/>
      <c r="C53" s="70"/>
      <c r="D53" s="100"/>
      <c r="E53" s="663" t="s">
        <v>57</v>
      </c>
      <c r="F53" s="657" t="s">
        <v>692</v>
      </c>
      <c r="G53" s="139"/>
      <c r="H53" s="77">
        <f>L53+M53</f>
        <v>-109132033510</v>
      </c>
      <c r="I53" s="74">
        <v>-46108609609</v>
      </c>
      <c r="L53" s="77">
        <v>-109062112920</v>
      </c>
      <c r="M53" s="77">
        <v>-69920590</v>
      </c>
      <c r="O53" s="504"/>
    </row>
    <row r="54" spans="1:15" ht="14.25">
      <c r="A54" s="75"/>
      <c r="B54" s="69"/>
      <c r="C54" s="70"/>
      <c r="D54" s="653" t="s">
        <v>148</v>
      </c>
      <c r="E54" s="654" t="s">
        <v>58</v>
      </c>
      <c r="F54" s="657" t="s">
        <v>693</v>
      </c>
      <c r="G54" s="661" t="s">
        <v>659</v>
      </c>
      <c r="H54" s="77">
        <v>0</v>
      </c>
      <c r="I54" s="74">
        <f>SUM(I55:I56)</f>
        <v>321137779</v>
      </c>
      <c r="L54" s="77"/>
      <c r="M54" s="77"/>
      <c r="O54" s="504"/>
    </row>
    <row r="55" spans="1:15" ht="13.5">
      <c r="A55" s="75"/>
      <c r="B55" s="69"/>
      <c r="C55" s="70"/>
      <c r="D55" s="100"/>
      <c r="E55" s="662" t="s">
        <v>56</v>
      </c>
      <c r="F55" s="657" t="s">
        <v>694</v>
      </c>
      <c r="G55" s="139"/>
      <c r="H55" s="77">
        <f>L55+M55</f>
        <v>0</v>
      </c>
      <c r="I55" s="74">
        <v>570911611</v>
      </c>
      <c r="L55" s="77"/>
      <c r="M55" s="77"/>
      <c r="O55" s="504"/>
    </row>
    <row r="56" spans="1:15" ht="13.5">
      <c r="A56" s="75"/>
      <c r="B56" s="69"/>
      <c r="C56" s="70"/>
      <c r="D56" s="100"/>
      <c r="E56" s="663" t="s">
        <v>57</v>
      </c>
      <c r="F56" s="657" t="s">
        <v>695</v>
      </c>
      <c r="G56" s="139"/>
      <c r="H56" s="77">
        <f>L56+M56</f>
        <v>0</v>
      </c>
      <c r="I56" s="74">
        <v>-249773832</v>
      </c>
      <c r="L56" s="77"/>
      <c r="M56" s="77"/>
      <c r="O56" s="504"/>
    </row>
    <row r="57" spans="1:15" ht="14.25">
      <c r="A57" s="75"/>
      <c r="B57" s="69"/>
      <c r="C57" s="70"/>
      <c r="D57" s="653" t="s">
        <v>148</v>
      </c>
      <c r="E57" s="654" t="s">
        <v>59</v>
      </c>
      <c r="F57" s="657" t="s">
        <v>761</v>
      </c>
      <c r="G57" s="661" t="s">
        <v>680</v>
      </c>
      <c r="H57" s="77">
        <f>SUM(H58:H59)</f>
        <v>7426666656</v>
      </c>
      <c r="I57" s="74">
        <f>SUM(I58:I59)</f>
        <v>8054999991</v>
      </c>
      <c r="L57" s="77">
        <f>SUM(L58:L59)</f>
        <v>7426666656</v>
      </c>
      <c r="M57" s="77">
        <f>SUM(M58:M59)</f>
        <v>0</v>
      </c>
      <c r="O57" s="504"/>
    </row>
    <row r="58" spans="1:15" ht="15.75" customHeight="1">
      <c r="A58" s="75"/>
      <c r="B58" s="69"/>
      <c r="C58" s="70"/>
      <c r="D58" s="100"/>
      <c r="E58" s="662" t="s">
        <v>56</v>
      </c>
      <c r="F58" s="657" t="s">
        <v>173</v>
      </c>
      <c r="G58" s="113"/>
      <c r="H58" s="77">
        <f>L58+M58</f>
        <v>10385000000</v>
      </c>
      <c r="I58" s="74">
        <v>10385000000</v>
      </c>
      <c r="L58" s="77">
        <v>10385000000</v>
      </c>
      <c r="M58" s="77"/>
      <c r="O58" s="504"/>
    </row>
    <row r="59" spans="1:15" ht="15.75" customHeight="1">
      <c r="A59" s="75"/>
      <c r="B59" s="69"/>
      <c r="C59" s="70"/>
      <c r="D59" s="100"/>
      <c r="E59" s="663" t="s">
        <v>57</v>
      </c>
      <c r="F59" s="657" t="s">
        <v>174</v>
      </c>
      <c r="G59" s="113"/>
      <c r="H59" s="77">
        <f>L59+M59</f>
        <v>-2958333344</v>
      </c>
      <c r="I59" s="74">
        <v>-2330000009</v>
      </c>
      <c r="L59" s="77">
        <v>-2958333344</v>
      </c>
      <c r="M59" s="77"/>
      <c r="O59" s="504"/>
    </row>
    <row r="60" spans="1:15" ht="15.75" customHeight="1">
      <c r="A60" s="75"/>
      <c r="B60" s="69"/>
      <c r="C60" s="70"/>
      <c r="D60" s="653" t="s">
        <v>152</v>
      </c>
      <c r="E60" s="654" t="s">
        <v>60</v>
      </c>
      <c r="F60" s="657" t="s">
        <v>179</v>
      </c>
      <c r="G60" s="652" t="s">
        <v>657</v>
      </c>
      <c r="H60" s="77">
        <f>L60+M60</f>
        <v>193246244730</v>
      </c>
      <c r="I60" s="74">
        <v>68164575582</v>
      </c>
      <c r="L60" s="77">
        <f>113810938862+79435305868</f>
        <v>193246244730</v>
      </c>
      <c r="M60" s="77">
        <v>0</v>
      </c>
      <c r="O60" s="504"/>
    </row>
    <row r="61" spans="1:15" ht="3.75" customHeight="1">
      <c r="A61" s="117"/>
      <c r="B61" s="118"/>
      <c r="C61" s="119"/>
      <c r="D61" s="120"/>
      <c r="E61" s="121"/>
      <c r="F61" s="122"/>
      <c r="G61" s="440"/>
      <c r="H61" s="123"/>
      <c r="I61" s="124"/>
      <c r="L61" s="123"/>
      <c r="M61" s="123"/>
      <c r="O61" s="504"/>
    </row>
    <row r="62" spans="1:15" ht="6.75" customHeight="1" hidden="1">
      <c r="A62" s="69"/>
      <c r="B62" s="69"/>
      <c r="C62" s="70"/>
      <c r="D62" s="100"/>
      <c r="E62" s="69"/>
      <c r="F62" s="101"/>
      <c r="G62" s="441"/>
      <c r="H62" s="126"/>
      <c r="I62" s="78"/>
      <c r="L62" s="126"/>
      <c r="M62" s="126"/>
      <c r="O62" s="504"/>
    </row>
    <row r="63" spans="1:15" ht="15.75" customHeight="1">
      <c r="A63" s="68" t="str">
        <f>A1</f>
        <v>CÔNG TY CỔ PHẦN ĐẦU TƯ VÀ VẬN TẢI DẦU KHÍ VINASHIN VÀ CÔNG TY CON</v>
      </c>
      <c r="B63" s="69"/>
      <c r="C63" s="70"/>
      <c r="D63" s="100"/>
      <c r="E63" s="69"/>
      <c r="F63" s="101"/>
      <c r="G63" s="441"/>
      <c r="H63" s="126"/>
      <c r="I63" s="78"/>
      <c r="L63" s="126"/>
      <c r="M63" s="126"/>
      <c r="O63" s="504"/>
    </row>
    <row r="64" spans="1:15" ht="15.75" customHeight="1">
      <c r="A64" s="68"/>
      <c r="B64" s="69"/>
      <c r="C64" s="70"/>
      <c r="D64" s="100"/>
      <c r="E64" s="69"/>
      <c r="F64" s="101"/>
      <c r="G64" s="441"/>
      <c r="H64" s="126"/>
      <c r="I64" s="78"/>
      <c r="L64" s="126"/>
      <c r="M64" s="126"/>
      <c r="O64" s="504"/>
    </row>
    <row r="65" spans="1:15" ht="15.75" customHeight="1">
      <c r="A65" s="641" t="s">
        <v>61</v>
      </c>
      <c r="B65" s="69"/>
      <c r="C65" s="70"/>
      <c r="D65" s="100"/>
      <c r="E65" s="69"/>
      <c r="F65" s="101"/>
      <c r="G65" s="441"/>
      <c r="H65" s="126"/>
      <c r="I65" s="78"/>
      <c r="L65" s="126"/>
      <c r="M65" s="126"/>
      <c r="O65" s="504"/>
    </row>
    <row r="66" spans="1:15" ht="15.75" customHeight="1">
      <c r="A66" s="641" t="s">
        <v>18</v>
      </c>
      <c r="B66" s="69"/>
      <c r="C66" s="70"/>
      <c r="D66" s="100"/>
      <c r="E66" s="69"/>
      <c r="F66" s="101"/>
      <c r="G66" s="441"/>
      <c r="H66" s="126"/>
      <c r="I66" s="78"/>
      <c r="L66" s="126"/>
      <c r="M66" s="126"/>
      <c r="O66" s="504"/>
    </row>
    <row r="67" spans="1:15" ht="15.75" customHeight="1">
      <c r="A67" s="68"/>
      <c r="B67" s="69"/>
      <c r="C67" s="70"/>
      <c r="D67" s="100"/>
      <c r="E67" s="69"/>
      <c r="F67" s="101"/>
      <c r="G67" s="441"/>
      <c r="H67" s="126"/>
      <c r="I67" s="78"/>
      <c r="L67" s="126"/>
      <c r="M67" s="126"/>
      <c r="O67" s="504"/>
    </row>
    <row r="68" spans="1:15" ht="15.75" customHeight="1" thickBot="1">
      <c r="A68" s="127"/>
      <c r="B68" s="127"/>
      <c r="C68" s="128"/>
      <c r="D68" s="129"/>
      <c r="E68" s="127"/>
      <c r="F68" s="130"/>
      <c r="G68" s="442"/>
      <c r="H68" s="131"/>
      <c r="I68" s="132"/>
      <c r="L68" s="131"/>
      <c r="M68" s="131"/>
      <c r="O68" s="504"/>
    </row>
    <row r="69" spans="1:15" ht="34.5" customHeight="1" thickTop="1">
      <c r="A69" s="80"/>
      <c r="B69" s="643" t="s">
        <v>20</v>
      </c>
      <c r="C69" s="81"/>
      <c r="D69" s="81"/>
      <c r="E69" s="82"/>
      <c r="F69" s="644" t="s">
        <v>21</v>
      </c>
      <c r="G69" s="645" t="s">
        <v>22</v>
      </c>
      <c r="H69" s="133">
        <f>H8</f>
        <v>39447</v>
      </c>
      <c r="I69" s="134">
        <f>I8</f>
        <v>39082</v>
      </c>
      <c r="L69" s="133" t="str">
        <f>L8</f>
        <v>Vphòng</v>
      </c>
      <c r="M69" s="133" t="str">
        <f>M8</f>
        <v>Phương Bắc</v>
      </c>
      <c r="O69" s="504"/>
    </row>
    <row r="70" spans="1:15" ht="9.75" customHeight="1">
      <c r="A70" s="84"/>
      <c r="B70" s="85"/>
      <c r="C70" s="85"/>
      <c r="D70" s="85"/>
      <c r="E70" s="86"/>
      <c r="F70" s="87"/>
      <c r="G70" s="135"/>
      <c r="H70" s="136"/>
      <c r="I70" s="137"/>
      <c r="L70" s="136"/>
      <c r="M70" s="136"/>
      <c r="O70" s="504"/>
    </row>
    <row r="71" spans="1:15" s="83" customFormat="1" ht="15.75" customHeight="1">
      <c r="A71" s="104"/>
      <c r="B71" s="105"/>
      <c r="C71" s="648" t="s">
        <v>154</v>
      </c>
      <c r="D71" s="651" t="s">
        <v>62</v>
      </c>
      <c r="E71" s="106"/>
      <c r="F71" s="658" t="s">
        <v>180</v>
      </c>
      <c r="G71" s="139"/>
      <c r="H71" s="97">
        <f>SUM(H72:H73)</f>
        <v>0</v>
      </c>
      <c r="I71" s="108">
        <f>SUM(I72:I73)</f>
        <v>0</v>
      </c>
      <c r="L71" s="97">
        <f>SUM(L72:L73)</f>
        <v>0</v>
      </c>
      <c r="M71" s="97">
        <f>SUM(M72:M73)</f>
        <v>0</v>
      </c>
      <c r="N71" s="479"/>
      <c r="O71" s="504"/>
    </row>
    <row r="72" spans="1:15" s="83" customFormat="1" ht="15.75" customHeight="1" hidden="1">
      <c r="A72" s="104"/>
      <c r="B72" s="105"/>
      <c r="C72" s="95"/>
      <c r="D72" s="85"/>
      <c r="E72" s="663" t="s">
        <v>56</v>
      </c>
      <c r="F72" s="657" t="s">
        <v>204</v>
      </c>
      <c r="G72" s="139"/>
      <c r="H72" s="138">
        <v>0</v>
      </c>
      <c r="I72" s="116">
        <v>0</v>
      </c>
      <c r="L72" s="138">
        <v>0</v>
      </c>
      <c r="M72" s="138">
        <v>0</v>
      </c>
      <c r="N72" s="479"/>
      <c r="O72" s="504"/>
    </row>
    <row r="73" spans="1:15" s="83" customFormat="1" ht="15.75" customHeight="1" hidden="1">
      <c r="A73" s="104"/>
      <c r="B73" s="105"/>
      <c r="C73" s="95"/>
      <c r="D73" s="85"/>
      <c r="E73" s="663" t="s">
        <v>57</v>
      </c>
      <c r="F73" s="657" t="s">
        <v>762</v>
      </c>
      <c r="G73" s="139"/>
      <c r="H73" s="97"/>
      <c r="I73" s="116">
        <v>0</v>
      </c>
      <c r="L73" s="97"/>
      <c r="M73" s="97"/>
      <c r="N73" s="479"/>
      <c r="O73" s="504"/>
    </row>
    <row r="74" spans="1:15" s="83" customFormat="1" ht="15.75" customHeight="1">
      <c r="A74" s="104"/>
      <c r="B74" s="105"/>
      <c r="C74" s="95"/>
      <c r="D74" s="85"/>
      <c r="E74" s="76"/>
      <c r="F74" s="96"/>
      <c r="G74" s="139"/>
      <c r="H74" s="97"/>
      <c r="I74" s="108"/>
      <c r="L74" s="97"/>
      <c r="M74" s="97"/>
      <c r="N74" s="479"/>
      <c r="O74" s="504"/>
    </row>
    <row r="75" spans="1:15" s="83" customFormat="1" ht="14.25">
      <c r="A75" s="104"/>
      <c r="B75" s="105"/>
      <c r="C75" s="648" t="s">
        <v>158</v>
      </c>
      <c r="D75" s="651" t="s">
        <v>63</v>
      </c>
      <c r="E75" s="106"/>
      <c r="F75" s="658" t="s">
        <v>181</v>
      </c>
      <c r="G75" s="439"/>
      <c r="H75" s="97">
        <f>SUM(H76:H78)</f>
        <v>400000000000</v>
      </c>
      <c r="I75" s="108">
        <f>SUM(I76:I78)</f>
        <v>0</v>
      </c>
      <c r="L75" s="97">
        <f>SUM(L76:L78)</f>
        <v>413730851928</v>
      </c>
      <c r="M75" s="97">
        <f>SUM(M76:M78)</f>
        <v>0</v>
      </c>
      <c r="N75" s="479"/>
      <c r="O75" s="504"/>
    </row>
    <row r="76" spans="1:15" s="83" customFormat="1" ht="13.5">
      <c r="A76" s="104"/>
      <c r="B76" s="105"/>
      <c r="C76" s="95"/>
      <c r="D76" s="664" t="s">
        <v>147</v>
      </c>
      <c r="E76" s="654" t="s">
        <v>64</v>
      </c>
      <c r="F76" s="657" t="s">
        <v>763</v>
      </c>
      <c r="G76" s="113"/>
      <c r="H76" s="77">
        <f>L76+M76-'AE'!H43</f>
        <v>0</v>
      </c>
      <c r="I76" s="74">
        <v>0</v>
      </c>
      <c r="L76" s="73">
        <v>13730851928</v>
      </c>
      <c r="M76" s="73">
        <v>0</v>
      </c>
      <c r="N76" s="479"/>
      <c r="O76" s="504"/>
    </row>
    <row r="77" spans="1:15" s="83" customFormat="1" ht="13.5">
      <c r="A77" s="104"/>
      <c r="B77" s="105"/>
      <c r="C77" s="95"/>
      <c r="D77" s="664" t="s">
        <v>148</v>
      </c>
      <c r="E77" s="654" t="s">
        <v>65</v>
      </c>
      <c r="F77" s="657" t="s">
        <v>764</v>
      </c>
      <c r="G77" s="113"/>
      <c r="H77" s="77">
        <f>L77+M77</f>
        <v>0</v>
      </c>
      <c r="I77" s="74">
        <v>0</v>
      </c>
      <c r="L77" s="73">
        <v>0</v>
      </c>
      <c r="M77" s="73">
        <v>0</v>
      </c>
      <c r="N77" s="479"/>
      <c r="O77" s="504"/>
    </row>
    <row r="78" spans="1:15" s="83" customFormat="1" ht="14.25">
      <c r="A78" s="104"/>
      <c r="B78" s="105"/>
      <c r="C78" s="95"/>
      <c r="D78" s="664" t="s">
        <v>152</v>
      </c>
      <c r="E78" s="654" t="s">
        <v>66</v>
      </c>
      <c r="F78" s="657" t="s">
        <v>765</v>
      </c>
      <c r="G78" s="652" t="s">
        <v>660</v>
      </c>
      <c r="H78" s="77">
        <f>L78+M78</f>
        <v>400000000000</v>
      </c>
      <c r="I78" s="74">
        <v>0</v>
      </c>
      <c r="L78" s="73">
        <v>400000000000</v>
      </c>
      <c r="M78" s="73">
        <v>0</v>
      </c>
      <c r="N78" s="479"/>
      <c r="O78" s="504"/>
    </row>
    <row r="79" spans="1:15" s="83" customFormat="1" ht="13.5">
      <c r="A79" s="104"/>
      <c r="B79" s="105"/>
      <c r="C79" s="95"/>
      <c r="D79" s="664" t="s">
        <v>155</v>
      </c>
      <c r="E79" s="654" t="s">
        <v>67</v>
      </c>
      <c r="F79" s="657" t="s">
        <v>766</v>
      </c>
      <c r="G79" s="113"/>
      <c r="H79" s="77">
        <f>L79+M79</f>
        <v>0</v>
      </c>
      <c r="I79" s="74">
        <v>0</v>
      </c>
      <c r="L79" s="73">
        <v>0</v>
      </c>
      <c r="M79" s="73">
        <v>0</v>
      </c>
      <c r="N79" s="479"/>
      <c r="O79" s="504"/>
    </row>
    <row r="80" spans="1:15" s="83" customFormat="1" ht="12.75">
      <c r="A80" s="104"/>
      <c r="B80" s="105"/>
      <c r="C80" s="95"/>
      <c r="D80" s="69"/>
      <c r="E80" s="76"/>
      <c r="F80" s="96"/>
      <c r="G80" s="113"/>
      <c r="H80" s="97"/>
      <c r="I80" s="108"/>
      <c r="L80" s="97"/>
      <c r="M80" s="97"/>
      <c r="N80" s="479"/>
      <c r="O80" s="504"/>
    </row>
    <row r="81" spans="1:15" s="83" customFormat="1" ht="15" customHeight="1" hidden="1">
      <c r="A81" s="104"/>
      <c r="B81" s="849" t="s">
        <v>683</v>
      </c>
      <c r="C81" s="850"/>
      <c r="D81" s="651" t="s">
        <v>68</v>
      </c>
      <c r="E81" s="106"/>
      <c r="F81" s="658" t="s">
        <v>767</v>
      </c>
      <c r="G81" s="113"/>
      <c r="H81" s="97">
        <f>SUM(H82:H84)</f>
        <v>65605574359</v>
      </c>
      <c r="I81" s="108">
        <v>0</v>
      </c>
      <c r="L81" s="97">
        <f>SUM(L82:L84)</f>
        <v>29822790453</v>
      </c>
      <c r="M81" s="97">
        <f>SUM(M82:M84)</f>
        <v>35782783906</v>
      </c>
      <c r="N81" s="479"/>
      <c r="O81" s="504"/>
    </row>
    <row r="82" spans="1:15" s="83" customFormat="1" ht="15" customHeight="1" hidden="1">
      <c r="A82" s="104"/>
      <c r="B82" s="105"/>
      <c r="C82" s="95"/>
      <c r="D82" s="69"/>
      <c r="E82" s="76"/>
      <c r="F82" s="101"/>
      <c r="G82" s="439"/>
      <c r="H82" s="73"/>
      <c r="I82" s="74"/>
      <c r="L82" s="73"/>
      <c r="M82" s="73"/>
      <c r="N82" s="479"/>
      <c r="O82" s="504"/>
    </row>
    <row r="83" spans="1:15" s="83" customFormat="1" ht="15.75" customHeight="1">
      <c r="A83" s="104"/>
      <c r="B83" s="847" t="s">
        <v>675</v>
      </c>
      <c r="C83" s="848"/>
      <c r="D83" s="651" t="s">
        <v>69</v>
      </c>
      <c r="E83" s="106"/>
      <c r="F83" s="658" t="s">
        <v>768</v>
      </c>
      <c r="G83" s="113"/>
      <c r="H83" s="97">
        <f>SUM(H84:H86)</f>
        <v>34154348355</v>
      </c>
      <c r="I83" s="108">
        <f>SUM(I84:I86)</f>
        <v>472693248</v>
      </c>
      <c r="L83" s="97">
        <f>SUM(L84:L86)</f>
        <v>16262956402</v>
      </c>
      <c r="M83" s="97">
        <f>SUM(M84:M86)</f>
        <v>17891391953</v>
      </c>
      <c r="N83" s="479"/>
      <c r="O83" s="504"/>
    </row>
    <row r="84" spans="1:15" s="83" customFormat="1" ht="13.5">
      <c r="A84" s="104"/>
      <c r="B84" s="105"/>
      <c r="C84" s="95"/>
      <c r="D84" s="664" t="s">
        <v>147</v>
      </c>
      <c r="E84" s="654" t="s">
        <v>70</v>
      </c>
      <c r="F84" s="657" t="s">
        <v>676</v>
      </c>
      <c r="G84" s="435"/>
      <c r="H84" s="77">
        <f>L84+M84</f>
        <v>31451226004</v>
      </c>
      <c r="I84" s="74">
        <v>3650366</v>
      </c>
      <c r="L84" s="73">
        <f>15304871554+108571428-1840942266-12666665</f>
        <v>13559834051</v>
      </c>
      <c r="M84" s="73">
        <v>17891391953</v>
      </c>
      <c r="N84" s="479"/>
      <c r="O84" s="504"/>
    </row>
    <row r="85" spans="1:15" s="83" customFormat="1" ht="13.5">
      <c r="A85" s="104"/>
      <c r="B85" s="105"/>
      <c r="C85" s="95"/>
      <c r="D85" s="664" t="s">
        <v>148</v>
      </c>
      <c r="E85" s="654" t="s">
        <v>71</v>
      </c>
      <c r="F85" s="657" t="s">
        <v>677</v>
      </c>
      <c r="G85" s="139"/>
      <c r="H85" s="77">
        <f>L85+M85</f>
        <v>2703122351</v>
      </c>
      <c r="I85" s="74">
        <v>469042882</v>
      </c>
      <c r="L85" s="73">
        <v>2703122351</v>
      </c>
      <c r="M85" s="73"/>
      <c r="N85" s="479"/>
      <c r="O85" s="504"/>
    </row>
    <row r="86" spans="1:15" s="83" customFormat="1" ht="13.5">
      <c r="A86" s="104"/>
      <c r="B86" s="105"/>
      <c r="C86" s="95"/>
      <c r="D86" s="664" t="s">
        <v>152</v>
      </c>
      <c r="E86" s="654" t="s">
        <v>69</v>
      </c>
      <c r="F86" s="657" t="s">
        <v>678</v>
      </c>
      <c r="G86" s="139"/>
      <c r="H86" s="77">
        <f>L86+M86</f>
        <v>0</v>
      </c>
      <c r="I86" s="74">
        <v>0</v>
      </c>
      <c r="L86" s="73">
        <v>0</v>
      </c>
      <c r="M86" s="73">
        <v>0</v>
      </c>
      <c r="N86" s="479"/>
      <c r="O86" s="504"/>
    </row>
    <row r="87" spans="1:14" s="83" customFormat="1" ht="9" customHeight="1">
      <c r="A87" s="104"/>
      <c r="B87" s="105"/>
      <c r="C87" s="95"/>
      <c r="D87" s="69"/>
      <c r="E87" s="76"/>
      <c r="F87" s="96"/>
      <c r="G87" s="139"/>
      <c r="H87" s="93"/>
      <c r="I87" s="94"/>
      <c r="L87" s="93"/>
      <c r="M87" s="93"/>
      <c r="N87" s="479"/>
    </row>
    <row r="88" spans="1:15" ht="21.75" customHeight="1" thickBot="1">
      <c r="A88" s="140"/>
      <c r="B88" s="665" t="s">
        <v>72</v>
      </c>
      <c r="C88" s="141"/>
      <c r="D88" s="142"/>
      <c r="E88" s="143"/>
      <c r="F88" s="144"/>
      <c r="G88" s="443"/>
      <c r="H88" s="145">
        <f>H10+H38</f>
        <v>2522794259830</v>
      </c>
      <c r="I88" s="146">
        <f>I10+I38</f>
        <v>740306484903</v>
      </c>
      <c r="L88" s="145">
        <f>L10+L38</f>
        <v>2492710923844</v>
      </c>
      <c r="M88" s="145">
        <f>M10+M38</f>
        <v>43814187914</v>
      </c>
      <c r="O88" s="482"/>
    </row>
    <row r="89" spans="1:13" ht="21.75" customHeight="1" thickTop="1">
      <c r="A89" s="68"/>
      <c r="B89" s="68"/>
      <c r="C89" s="68"/>
      <c r="D89" s="69"/>
      <c r="E89" s="69"/>
      <c r="F89" s="91"/>
      <c r="G89" s="444"/>
      <c r="H89" s="111"/>
      <c r="I89" s="111"/>
      <c r="L89" s="111"/>
      <c r="M89" s="111"/>
    </row>
    <row r="90" spans="1:13" ht="21.75" customHeight="1">
      <c r="A90" s="68"/>
      <c r="B90" s="68"/>
      <c r="C90" s="68"/>
      <c r="D90" s="69"/>
      <c r="E90" s="69"/>
      <c r="F90" s="91"/>
      <c r="G90" s="444"/>
      <c r="H90" s="111"/>
      <c r="I90" s="111"/>
      <c r="L90" s="111"/>
      <c r="M90" s="111"/>
    </row>
    <row r="91" spans="1:13" ht="15.75" customHeight="1">
      <c r="A91" s="65" t="str">
        <f>A1</f>
        <v>CÔNG TY CỔ PHẦN ĐẦU TƯ VÀ VẬN TẢI DẦU KHÍ VINASHIN VÀ CÔNG TY CON</v>
      </c>
      <c r="B91" s="69"/>
      <c r="C91" s="69"/>
      <c r="D91" s="70"/>
      <c r="E91" s="100"/>
      <c r="F91" s="69"/>
      <c r="G91" s="147"/>
      <c r="H91" s="126"/>
      <c r="I91" s="148" t="str">
        <f>I1</f>
        <v>B01-DN</v>
      </c>
      <c r="L91" s="126"/>
      <c r="M91" s="126"/>
    </row>
    <row r="92" spans="1:13" ht="11.25" customHeight="1">
      <c r="A92" s="65"/>
      <c r="B92" s="69"/>
      <c r="C92" s="69"/>
      <c r="D92" s="70"/>
      <c r="E92" s="100"/>
      <c r="F92" s="69"/>
      <c r="G92" s="147"/>
      <c r="H92" s="126"/>
      <c r="I92" s="78"/>
      <c r="L92" s="126"/>
      <c r="M92" s="126"/>
    </row>
    <row r="93" spans="1:13" ht="15.75" customHeight="1">
      <c r="A93" s="65" t="str">
        <f>A65</f>
        <v>BẢNG CÂN ĐỐI KẾ TOÁN HỢP NHẤT (TIẾP THEO)</v>
      </c>
      <c r="B93" s="69"/>
      <c r="C93" s="69"/>
      <c r="D93" s="70"/>
      <c r="E93" s="100"/>
      <c r="F93" s="69"/>
      <c r="G93" s="147"/>
      <c r="H93" s="126"/>
      <c r="I93" s="78"/>
      <c r="L93" s="126"/>
      <c r="M93" s="126"/>
    </row>
    <row r="94" spans="1:13" ht="15.75" customHeight="1">
      <c r="A94" s="68" t="str">
        <f>A5</f>
        <v>Ngày 31 tháng 12 năm 2007</v>
      </c>
      <c r="B94" s="69"/>
      <c r="C94" s="69"/>
      <c r="D94" s="70"/>
      <c r="E94" s="100"/>
      <c r="F94" s="69"/>
      <c r="G94" s="147"/>
      <c r="H94" s="126"/>
      <c r="I94" s="78"/>
      <c r="L94" s="126"/>
      <c r="M94" s="126"/>
    </row>
    <row r="95" spans="1:13" ht="8.25" customHeight="1">
      <c r="A95" s="150"/>
      <c r="D95" s="65"/>
      <c r="G95" s="151"/>
      <c r="H95" s="71"/>
      <c r="I95" s="71"/>
      <c r="L95" s="71"/>
      <c r="M95" s="71"/>
    </row>
    <row r="96" spans="1:13" ht="15.75" customHeight="1" thickBot="1">
      <c r="A96" s="150"/>
      <c r="D96" s="65"/>
      <c r="G96" s="151"/>
      <c r="H96" s="71"/>
      <c r="I96" s="152" t="str">
        <f>I7</f>
        <v>Đơn vị tính: VNĐ</v>
      </c>
      <c r="L96" s="71"/>
      <c r="M96" s="71"/>
    </row>
    <row r="97" spans="1:14" s="83" customFormat="1" ht="31.5" customHeight="1" thickTop="1">
      <c r="A97" s="153"/>
      <c r="B97" s="666" t="s">
        <v>73</v>
      </c>
      <c r="C97" s="81"/>
      <c r="D97" s="154"/>
      <c r="E97" s="155"/>
      <c r="F97" s="667" t="s">
        <v>21</v>
      </c>
      <c r="G97" s="668" t="s">
        <v>22</v>
      </c>
      <c r="H97" s="133">
        <f>H69</f>
        <v>39447</v>
      </c>
      <c r="I97" s="134">
        <f>I69</f>
        <v>39082</v>
      </c>
      <c r="L97" s="133" t="str">
        <f>L69</f>
        <v>Vphòng</v>
      </c>
      <c r="M97" s="133" t="str">
        <f>M69</f>
        <v>Phương Bắc</v>
      </c>
      <c r="N97" s="479"/>
    </row>
    <row r="98" spans="1:14" s="83" customFormat="1" ht="9" customHeight="1">
      <c r="A98" s="104"/>
      <c r="B98" s="85"/>
      <c r="C98" s="85"/>
      <c r="D98" s="105"/>
      <c r="E98" s="106"/>
      <c r="F98" s="87"/>
      <c r="G98" s="135"/>
      <c r="H98" s="89"/>
      <c r="I98" s="90"/>
      <c r="L98" s="89"/>
      <c r="M98" s="89"/>
      <c r="N98" s="479"/>
    </row>
    <row r="99" spans="1:13" ht="15.75" customHeight="1">
      <c r="A99" s="659" t="s">
        <v>145</v>
      </c>
      <c r="B99" s="70"/>
      <c r="C99" s="641" t="s">
        <v>74</v>
      </c>
      <c r="D99" s="69"/>
      <c r="E99" s="76"/>
      <c r="F99" s="660" t="s">
        <v>182</v>
      </c>
      <c r="G99" s="92"/>
      <c r="H99" s="93">
        <f>H101+H113</f>
        <v>2400902511693</v>
      </c>
      <c r="I99" s="94">
        <f>I101+I113</f>
        <v>676668380935</v>
      </c>
      <c r="L99" s="93">
        <f>L101+L113</f>
        <v>2370725989680</v>
      </c>
      <c r="M99" s="93">
        <f>M101+M113</f>
        <v>30176522013</v>
      </c>
    </row>
    <row r="100" spans="1:13" ht="9" customHeight="1">
      <c r="A100" s="75"/>
      <c r="B100" s="70"/>
      <c r="C100" s="68"/>
      <c r="D100" s="69"/>
      <c r="E100" s="76"/>
      <c r="F100" s="91"/>
      <c r="G100" s="92"/>
      <c r="H100" s="93"/>
      <c r="I100" s="94"/>
      <c r="L100" s="93"/>
      <c r="M100" s="93"/>
    </row>
    <row r="101" spans="1:14" s="83" customFormat="1" ht="15.75" customHeight="1">
      <c r="A101" s="104"/>
      <c r="B101" s="105"/>
      <c r="C101" s="648" t="s">
        <v>146</v>
      </c>
      <c r="D101" s="651" t="s">
        <v>75</v>
      </c>
      <c r="E101" s="106"/>
      <c r="F101" s="658" t="s">
        <v>183</v>
      </c>
      <c r="G101" s="113"/>
      <c r="H101" s="97">
        <f>SUM(H102:H111)</f>
        <v>1510594927736</v>
      </c>
      <c r="I101" s="108">
        <f>SUM(I102:I110)</f>
        <v>279911037396</v>
      </c>
      <c r="L101" s="97">
        <f>SUM(L102:L111)</f>
        <v>1485610782913</v>
      </c>
      <c r="M101" s="97">
        <f>SUM(M102:M111)</f>
        <v>24984144823</v>
      </c>
      <c r="N101" s="479"/>
    </row>
    <row r="102" spans="1:13" ht="15.75" customHeight="1">
      <c r="A102" s="75"/>
      <c r="B102" s="69"/>
      <c r="C102" s="68"/>
      <c r="D102" s="653" t="s">
        <v>147</v>
      </c>
      <c r="E102" s="654" t="s">
        <v>76</v>
      </c>
      <c r="F102" s="657" t="s">
        <v>184</v>
      </c>
      <c r="G102" s="652" t="s">
        <v>661</v>
      </c>
      <c r="H102" s="77">
        <f aca="true" t="shared" si="0" ref="H102:H111">L102+M102</f>
        <v>219562555079</v>
      </c>
      <c r="I102" s="103">
        <v>218467935646</v>
      </c>
      <c r="L102" s="73">
        <v>216562555079</v>
      </c>
      <c r="M102" s="73">
        <v>3000000000</v>
      </c>
    </row>
    <row r="103" spans="1:15" ht="15.75" customHeight="1">
      <c r="A103" s="75"/>
      <c r="B103" s="69"/>
      <c r="C103" s="68"/>
      <c r="D103" s="656" t="s">
        <v>148</v>
      </c>
      <c r="E103" s="654" t="s">
        <v>77</v>
      </c>
      <c r="F103" s="657" t="s">
        <v>769</v>
      </c>
      <c r="G103" s="652" t="s">
        <v>662</v>
      </c>
      <c r="H103" s="77">
        <f t="shared" si="0"/>
        <v>81904186611</v>
      </c>
      <c r="I103" s="74">
        <v>21109030344</v>
      </c>
      <c r="L103" s="71">
        <v>60392036422</v>
      </c>
      <c r="M103" s="77">
        <f>22512150189-'AE'!H26</f>
        <v>21512150189</v>
      </c>
      <c r="O103" s="504"/>
    </row>
    <row r="104" spans="1:15" ht="15.75" customHeight="1">
      <c r="A104" s="75"/>
      <c r="B104" s="69"/>
      <c r="C104" s="68"/>
      <c r="D104" s="656" t="s">
        <v>152</v>
      </c>
      <c r="E104" s="654" t="s">
        <v>78</v>
      </c>
      <c r="F104" s="657" t="s">
        <v>185</v>
      </c>
      <c r="G104" s="652" t="s">
        <v>662</v>
      </c>
      <c r="H104" s="77">
        <f t="shared" si="0"/>
        <v>21539475</v>
      </c>
      <c r="I104" s="103">
        <v>124338309</v>
      </c>
      <c r="L104" s="71">
        <v>18856571</v>
      </c>
      <c r="M104" s="77">
        <v>2682904</v>
      </c>
      <c r="O104" s="504"/>
    </row>
    <row r="105" spans="1:15" ht="15.75" customHeight="1">
      <c r="A105" s="75"/>
      <c r="B105" s="69"/>
      <c r="C105" s="68"/>
      <c r="D105" s="656" t="s">
        <v>155</v>
      </c>
      <c r="E105" s="654" t="s">
        <v>79</v>
      </c>
      <c r="F105" s="657" t="s">
        <v>186</v>
      </c>
      <c r="G105" s="652" t="s">
        <v>663</v>
      </c>
      <c r="H105" s="77">
        <f t="shared" si="0"/>
        <v>13722358742</v>
      </c>
      <c r="I105" s="103">
        <v>7336268484</v>
      </c>
      <c r="L105" s="77">
        <v>13722358742</v>
      </c>
      <c r="M105" s="77"/>
      <c r="O105" s="504"/>
    </row>
    <row r="106" spans="1:15" ht="15.75" customHeight="1">
      <c r="A106" s="75"/>
      <c r="B106" s="69"/>
      <c r="C106" s="68"/>
      <c r="D106" s="656" t="s">
        <v>156</v>
      </c>
      <c r="E106" s="654" t="s">
        <v>80</v>
      </c>
      <c r="F106" s="657" t="s">
        <v>187</v>
      </c>
      <c r="G106" s="445"/>
      <c r="H106" s="77">
        <f>L106+M106+'AE'!H47</f>
        <v>16211211252</v>
      </c>
      <c r="I106" s="74">
        <v>6053896480</v>
      </c>
      <c r="L106" s="77">
        <f>3295523240+46814270</f>
        <v>3342337510</v>
      </c>
      <c r="M106" s="77"/>
      <c r="O106" s="504"/>
    </row>
    <row r="107" spans="1:15" ht="14.25">
      <c r="A107" s="75"/>
      <c r="B107" s="69"/>
      <c r="C107" s="68"/>
      <c r="D107" s="656" t="s">
        <v>157</v>
      </c>
      <c r="E107" s="654" t="s">
        <v>81</v>
      </c>
      <c r="F107" s="657" t="s">
        <v>188</v>
      </c>
      <c r="G107" s="652" t="s">
        <v>664</v>
      </c>
      <c r="H107" s="77">
        <f>L107+M107-'AE'!H47</f>
        <v>33417226748</v>
      </c>
      <c r="I107" s="74">
        <v>23973694803</v>
      </c>
      <c r="L107" s="156">
        <v>45821900490</v>
      </c>
      <c r="M107" s="156">
        <f>529200000+'AE'!H22</f>
        <v>464200000</v>
      </c>
      <c r="O107" s="504"/>
    </row>
    <row r="108" spans="1:15" ht="13.5">
      <c r="A108" s="75"/>
      <c r="B108" s="69"/>
      <c r="C108" s="68"/>
      <c r="D108" s="656" t="s">
        <v>159</v>
      </c>
      <c r="E108" s="654" t="s">
        <v>82</v>
      </c>
      <c r="F108" s="657" t="s">
        <v>189</v>
      </c>
      <c r="G108" s="158"/>
      <c r="H108" s="77">
        <f t="shared" si="0"/>
        <v>0</v>
      </c>
      <c r="I108" s="157">
        <v>0</v>
      </c>
      <c r="L108" s="156"/>
      <c r="M108" s="156"/>
      <c r="O108" s="504"/>
    </row>
    <row r="109" spans="1:15" ht="13.5">
      <c r="A109" s="75"/>
      <c r="B109" s="69"/>
      <c r="C109" s="68"/>
      <c r="D109" s="656" t="s">
        <v>160</v>
      </c>
      <c r="E109" s="654" t="s">
        <v>83</v>
      </c>
      <c r="F109" s="657" t="s">
        <v>190</v>
      </c>
      <c r="G109" s="158"/>
      <c r="H109" s="77">
        <f t="shared" si="0"/>
        <v>0</v>
      </c>
      <c r="I109" s="157">
        <v>0</v>
      </c>
      <c r="L109" s="156"/>
      <c r="M109" s="156"/>
      <c r="O109" s="504"/>
    </row>
    <row r="110" spans="1:15" ht="15.75" customHeight="1">
      <c r="A110" s="75"/>
      <c r="B110" s="69"/>
      <c r="C110" s="68"/>
      <c r="D110" s="656" t="s">
        <v>218</v>
      </c>
      <c r="E110" s="654" t="s">
        <v>84</v>
      </c>
      <c r="F110" s="657" t="s">
        <v>770</v>
      </c>
      <c r="G110" s="652" t="s">
        <v>681</v>
      </c>
      <c r="H110" s="77">
        <f t="shared" si="0"/>
        <v>1145755849829</v>
      </c>
      <c r="I110" s="157">
        <v>2845873330</v>
      </c>
      <c r="L110" s="77">
        <v>1145750738099</v>
      </c>
      <c r="M110" s="77">
        <v>5111730</v>
      </c>
      <c r="O110" s="504"/>
    </row>
    <row r="111" spans="1:15" ht="15.75" customHeight="1">
      <c r="A111" s="75"/>
      <c r="B111" s="69"/>
      <c r="C111" s="68"/>
      <c r="D111" s="656" t="s">
        <v>219</v>
      </c>
      <c r="E111" s="654" t="s">
        <v>85</v>
      </c>
      <c r="F111" s="657" t="s">
        <v>191</v>
      </c>
      <c r="G111" s="439"/>
      <c r="H111" s="77">
        <f t="shared" si="0"/>
        <v>0</v>
      </c>
      <c r="I111" s="157">
        <v>0</v>
      </c>
      <c r="L111" s="77"/>
      <c r="M111" s="77"/>
      <c r="O111" s="504"/>
    </row>
    <row r="112" spans="1:15" ht="9" customHeight="1">
      <c r="A112" s="75"/>
      <c r="B112" s="69"/>
      <c r="C112" s="68"/>
      <c r="D112" s="100"/>
      <c r="E112" s="76"/>
      <c r="F112" s="101"/>
      <c r="G112" s="158"/>
      <c r="H112" s="77"/>
      <c r="I112" s="157"/>
      <c r="L112" s="77"/>
      <c r="M112" s="77"/>
      <c r="O112" s="504"/>
    </row>
    <row r="113" spans="1:15" s="83" customFormat="1" ht="14.25">
      <c r="A113" s="104"/>
      <c r="B113" s="105"/>
      <c r="C113" s="648" t="s">
        <v>153</v>
      </c>
      <c r="D113" s="651" t="s">
        <v>86</v>
      </c>
      <c r="E113" s="106"/>
      <c r="F113" s="658" t="s">
        <v>612</v>
      </c>
      <c r="G113" s="113"/>
      <c r="H113" s="97">
        <f>SUM(H114:H120)</f>
        <v>890307583957</v>
      </c>
      <c r="I113" s="159">
        <f>SUM(I114:I120)</f>
        <v>396757343539</v>
      </c>
      <c r="L113" s="97">
        <f>SUM(L114:L120)</f>
        <v>885115206767</v>
      </c>
      <c r="M113" s="97">
        <f>SUM(M114:M120)</f>
        <v>5192377190</v>
      </c>
      <c r="N113" s="479"/>
      <c r="O113" s="504"/>
    </row>
    <row r="114" spans="1:15" ht="13.5">
      <c r="A114" s="75"/>
      <c r="B114" s="69"/>
      <c r="C114" s="68"/>
      <c r="D114" s="656" t="s">
        <v>147</v>
      </c>
      <c r="E114" s="654" t="s">
        <v>87</v>
      </c>
      <c r="F114" s="657" t="s">
        <v>613</v>
      </c>
      <c r="G114" s="92"/>
      <c r="H114" s="77">
        <f aca="true" t="shared" si="1" ref="H114:H120">L114+M114</f>
        <v>0</v>
      </c>
      <c r="I114" s="157">
        <v>0</v>
      </c>
      <c r="L114" s="77">
        <v>0</v>
      </c>
      <c r="M114" s="77">
        <v>0</v>
      </c>
      <c r="O114" s="504"/>
    </row>
    <row r="115" spans="1:15" ht="13.5">
      <c r="A115" s="75"/>
      <c r="B115" s="69"/>
      <c r="C115" s="68"/>
      <c r="D115" s="656" t="s">
        <v>148</v>
      </c>
      <c r="E115" s="654" t="s">
        <v>88</v>
      </c>
      <c r="F115" s="657" t="s">
        <v>614</v>
      </c>
      <c r="G115" s="139"/>
      <c r="H115" s="77">
        <f t="shared" si="1"/>
        <v>0</v>
      </c>
      <c r="I115" s="157">
        <v>0</v>
      </c>
      <c r="L115" s="77">
        <v>0</v>
      </c>
      <c r="M115" s="77">
        <v>0</v>
      </c>
      <c r="O115" s="504"/>
    </row>
    <row r="116" spans="1:15" ht="14.25">
      <c r="A116" s="75"/>
      <c r="B116" s="69"/>
      <c r="C116" s="68"/>
      <c r="D116" s="656" t="s">
        <v>152</v>
      </c>
      <c r="E116" s="654" t="s">
        <v>89</v>
      </c>
      <c r="F116" s="657" t="s">
        <v>615</v>
      </c>
      <c r="G116" s="652" t="s">
        <v>681</v>
      </c>
      <c r="H116" s="77">
        <f t="shared" si="1"/>
        <v>46396465000</v>
      </c>
      <c r="I116" s="157">
        <v>30000000000</v>
      </c>
      <c r="L116" s="77">
        <v>41540705000</v>
      </c>
      <c r="M116" s="77">
        <f>4855760000</f>
        <v>4855760000</v>
      </c>
      <c r="O116" s="504"/>
    </row>
    <row r="117" spans="1:15" ht="14.25">
      <c r="A117" s="75"/>
      <c r="B117" s="69"/>
      <c r="C117" s="68"/>
      <c r="D117" s="656" t="s">
        <v>155</v>
      </c>
      <c r="E117" s="654" t="s">
        <v>90</v>
      </c>
      <c r="F117" s="657" t="s">
        <v>616</v>
      </c>
      <c r="G117" s="652" t="s">
        <v>682</v>
      </c>
      <c r="H117" s="77">
        <f t="shared" si="1"/>
        <v>843825153705</v>
      </c>
      <c r="I117" s="157">
        <v>366723885943</v>
      </c>
      <c r="L117" s="77">
        <v>843488536515</v>
      </c>
      <c r="M117" s="77">
        <v>336617190</v>
      </c>
      <c r="O117" s="504"/>
    </row>
    <row r="118" spans="1:15" ht="13.5">
      <c r="A118" s="75"/>
      <c r="B118" s="69"/>
      <c r="C118" s="68"/>
      <c r="D118" s="656" t="s">
        <v>156</v>
      </c>
      <c r="E118" s="654" t="s">
        <v>91</v>
      </c>
      <c r="F118" s="657" t="s">
        <v>617</v>
      </c>
      <c r="G118" s="112"/>
      <c r="H118" s="77">
        <f t="shared" si="1"/>
        <v>0</v>
      </c>
      <c r="I118" s="157">
        <v>0</v>
      </c>
      <c r="L118" s="77">
        <v>0</v>
      </c>
      <c r="M118" s="77">
        <v>0</v>
      </c>
      <c r="O118" s="504"/>
    </row>
    <row r="119" spans="1:15" ht="13.5">
      <c r="A119" s="75"/>
      <c r="B119" s="69"/>
      <c r="C119" s="68"/>
      <c r="D119" s="656" t="s">
        <v>157</v>
      </c>
      <c r="E119" s="654" t="s">
        <v>92</v>
      </c>
      <c r="F119" s="657" t="s">
        <v>618</v>
      </c>
      <c r="G119" s="112"/>
      <c r="H119" s="77">
        <f t="shared" si="1"/>
        <v>85965252</v>
      </c>
      <c r="I119" s="160">
        <v>33457596</v>
      </c>
      <c r="L119" s="77">
        <v>85965252</v>
      </c>
      <c r="M119" s="77">
        <v>0</v>
      </c>
      <c r="O119" s="504"/>
    </row>
    <row r="120" spans="1:15" ht="13.5">
      <c r="A120" s="75"/>
      <c r="B120" s="69"/>
      <c r="C120" s="68"/>
      <c r="D120" s="656" t="s">
        <v>159</v>
      </c>
      <c r="E120" s="654" t="s">
        <v>93</v>
      </c>
      <c r="F120" s="657" t="s">
        <v>619</v>
      </c>
      <c r="G120" s="112"/>
      <c r="H120" s="77">
        <f t="shared" si="1"/>
        <v>0</v>
      </c>
      <c r="I120" s="157">
        <v>0</v>
      </c>
      <c r="L120" s="77">
        <v>0</v>
      </c>
      <c r="M120" s="77">
        <v>0</v>
      </c>
      <c r="O120" s="504"/>
    </row>
    <row r="121" spans="1:15" ht="12.75">
      <c r="A121" s="75"/>
      <c r="B121" s="69"/>
      <c r="C121" s="68"/>
      <c r="D121" s="100"/>
      <c r="E121" s="76"/>
      <c r="F121" s="101"/>
      <c r="G121" s="92"/>
      <c r="H121" s="77"/>
      <c r="I121" s="157"/>
      <c r="L121" s="77"/>
      <c r="M121" s="77"/>
      <c r="O121" s="504"/>
    </row>
    <row r="122" spans="1:15" ht="15.75" customHeight="1">
      <c r="A122" s="659" t="s">
        <v>166</v>
      </c>
      <c r="B122" s="70"/>
      <c r="C122" s="641" t="s">
        <v>94</v>
      </c>
      <c r="D122" s="69"/>
      <c r="E122" s="76"/>
      <c r="F122" s="660" t="s">
        <v>192</v>
      </c>
      <c r="G122" s="92"/>
      <c r="H122" s="93">
        <f>H124+H136</f>
        <v>121891748137</v>
      </c>
      <c r="I122" s="161">
        <f>I124+I136</f>
        <v>63638103968</v>
      </c>
      <c r="L122" s="93">
        <f>L124+L136</f>
        <v>121984934164</v>
      </c>
      <c r="M122" s="93">
        <f>M124+M136</f>
        <v>13637665901</v>
      </c>
      <c r="O122" s="504"/>
    </row>
    <row r="123" spans="1:15" ht="9" customHeight="1">
      <c r="A123" s="75"/>
      <c r="B123" s="70"/>
      <c r="C123" s="68"/>
      <c r="D123" s="69"/>
      <c r="E123" s="76"/>
      <c r="F123" s="91"/>
      <c r="G123" s="92"/>
      <c r="H123" s="93"/>
      <c r="I123" s="161"/>
      <c r="L123" s="93"/>
      <c r="M123" s="93"/>
      <c r="O123" s="504"/>
    </row>
    <row r="124" spans="1:15" s="83" customFormat="1" ht="15.75" customHeight="1">
      <c r="A124" s="104"/>
      <c r="B124" s="105"/>
      <c r="C124" s="648" t="s">
        <v>146</v>
      </c>
      <c r="D124" s="651" t="s">
        <v>95</v>
      </c>
      <c r="E124" s="106"/>
      <c r="F124" s="658" t="s">
        <v>193</v>
      </c>
      <c r="G124" s="669" t="s">
        <v>12</v>
      </c>
      <c r="H124" s="97">
        <f>SUM(H125:H134)</f>
        <v>110622157063</v>
      </c>
      <c r="I124" s="159">
        <f>SUM(I125:I134)</f>
        <v>61137114950</v>
      </c>
      <c r="L124" s="97">
        <f>SUM(L125:L134)</f>
        <v>110715343090</v>
      </c>
      <c r="M124" s="97">
        <f>SUM(M125:M134)</f>
        <v>13637665901</v>
      </c>
      <c r="N124" s="479">
        <f>(H124+I124)/2</f>
        <v>85879636006.5</v>
      </c>
      <c r="O124" s="504"/>
    </row>
    <row r="125" spans="1:15" ht="15.75" customHeight="1">
      <c r="A125" s="75"/>
      <c r="B125" s="69"/>
      <c r="C125" s="68"/>
      <c r="D125" s="656" t="s">
        <v>147</v>
      </c>
      <c r="E125" s="654" t="s">
        <v>96</v>
      </c>
      <c r="F125" s="657" t="s">
        <v>194</v>
      </c>
      <c r="G125" s="445"/>
      <c r="H125" s="77">
        <f>L125+M125-'AE'!H43</f>
        <v>40000000000</v>
      </c>
      <c r="I125" s="157">
        <v>40000000000</v>
      </c>
      <c r="L125" s="77">
        <v>40000000000</v>
      </c>
      <c r="M125" s="77">
        <f>20000000000-'AE'!H34</f>
        <v>13730851928</v>
      </c>
      <c r="N125" s="638">
        <f>KQKD1!G45/BCDKT!N124</f>
        <v>0.8424789811233467</v>
      </c>
      <c r="O125" s="504"/>
    </row>
    <row r="126" spans="1:15" ht="13.5">
      <c r="A126" s="75"/>
      <c r="B126" s="69"/>
      <c r="C126" s="68"/>
      <c r="D126" s="656" t="s">
        <v>148</v>
      </c>
      <c r="E126" s="654" t="s">
        <v>97</v>
      </c>
      <c r="F126" s="657" t="s">
        <v>195</v>
      </c>
      <c r="G126" s="92"/>
      <c r="H126" s="77">
        <f>L126+M126</f>
        <v>0</v>
      </c>
      <c r="I126" s="162">
        <v>0</v>
      </c>
      <c r="L126" s="77"/>
      <c r="M126" s="77"/>
      <c r="O126" s="504"/>
    </row>
    <row r="127" spans="1:15" ht="13.5">
      <c r="A127" s="75"/>
      <c r="B127" s="69"/>
      <c r="C127" s="68"/>
      <c r="D127" s="656" t="s">
        <v>152</v>
      </c>
      <c r="E127" s="654" t="s">
        <v>98</v>
      </c>
      <c r="F127" s="657" t="s">
        <v>196</v>
      </c>
      <c r="G127" s="92"/>
      <c r="H127" s="77">
        <f>L127+M127</f>
        <v>0</v>
      </c>
      <c r="I127" s="162">
        <v>0</v>
      </c>
      <c r="L127" s="77"/>
      <c r="M127" s="77"/>
      <c r="O127" s="504"/>
    </row>
    <row r="128" spans="1:15" ht="13.5">
      <c r="A128" s="75"/>
      <c r="B128" s="69"/>
      <c r="C128" s="68"/>
      <c r="D128" s="656" t="s">
        <v>155</v>
      </c>
      <c r="E128" s="654" t="s">
        <v>99</v>
      </c>
      <c r="F128" s="657" t="s">
        <v>201</v>
      </c>
      <c r="G128" s="92"/>
      <c r="H128" s="77">
        <f>L128+M128</f>
        <v>0</v>
      </c>
      <c r="I128" s="157">
        <v>0</v>
      </c>
      <c r="L128" s="77"/>
      <c r="M128" s="77"/>
      <c r="O128" s="504"/>
    </row>
    <row r="129" spans="1:15" ht="13.5" hidden="1">
      <c r="A129" s="75"/>
      <c r="B129" s="69"/>
      <c r="C129" s="68"/>
      <c r="D129" s="656" t="s">
        <v>156</v>
      </c>
      <c r="E129" s="654" t="s">
        <v>100</v>
      </c>
      <c r="F129" s="657" t="s">
        <v>202</v>
      </c>
      <c r="G129" s="446"/>
      <c r="H129" s="77">
        <v>0</v>
      </c>
      <c r="I129" s="157">
        <v>0</v>
      </c>
      <c r="L129" s="77"/>
      <c r="M129" s="77"/>
      <c r="O129" s="504"/>
    </row>
    <row r="130" spans="1:15" ht="13.5" hidden="1">
      <c r="A130" s="75"/>
      <c r="B130" s="69"/>
      <c r="C130" s="68"/>
      <c r="D130" s="656" t="s">
        <v>157</v>
      </c>
      <c r="E130" s="654" t="s">
        <v>101</v>
      </c>
      <c r="F130" s="657" t="s">
        <v>578</v>
      </c>
      <c r="G130" s="139"/>
      <c r="H130" s="77">
        <v>0</v>
      </c>
      <c r="I130" s="157">
        <v>0</v>
      </c>
      <c r="L130" s="77"/>
      <c r="M130" s="77"/>
      <c r="O130" s="504"/>
    </row>
    <row r="131" spans="1:16" ht="14.25">
      <c r="A131" s="75"/>
      <c r="B131" s="69"/>
      <c r="C131" s="68"/>
      <c r="D131" s="656" t="s">
        <v>159</v>
      </c>
      <c r="E131" s="654" t="s">
        <v>102</v>
      </c>
      <c r="F131" s="657" t="s">
        <v>771</v>
      </c>
      <c r="G131" s="446"/>
      <c r="H131" s="77">
        <f>L131+M131</f>
        <v>9490976758</v>
      </c>
      <c r="I131" s="157">
        <v>2246479338</v>
      </c>
      <c r="L131" s="77">
        <v>9490976758</v>
      </c>
      <c r="M131" s="77"/>
      <c r="O131" s="504"/>
      <c r="P131" s="496"/>
    </row>
    <row r="132" spans="1:16" ht="14.25">
      <c r="A132" s="75"/>
      <c r="B132" s="69"/>
      <c r="C132" s="68"/>
      <c r="D132" s="656" t="s">
        <v>160</v>
      </c>
      <c r="E132" s="654" t="s">
        <v>103</v>
      </c>
      <c r="F132" s="657" t="s">
        <v>772</v>
      </c>
      <c r="G132" s="92"/>
      <c r="H132" s="77">
        <f>L132+M132</f>
        <v>8467137202</v>
      </c>
      <c r="I132" s="157">
        <v>1222639782</v>
      </c>
      <c r="L132" s="77">
        <v>8467137202</v>
      </c>
      <c r="M132" s="77"/>
      <c r="O132" s="504"/>
      <c r="P132" s="496"/>
    </row>
    <row r="133" spans="1:15" ht="13.5">
      <c r="A133" s="75"/>
      <c r="B133" s="69"/>
      <c r="C133" s="68"/>
      <c r="D133" s="656" t="s">
        <v>218</v>
      </c>
      <c r="E133" s="654" t="s">
        <v>104</v>
      </c>
      <c r="F133" s="657" t="s">
        <v>773</v>
      </c>
      <c r="G133" s="92"/>
      <c r="H133" s="77">
        <f>L133+M133</f>
        <v>0</v>
      </c>
      <c r="I133" s="157">
        <v>0</v>
      </c>
      <c r="L133" s="163">
        <v>0</v>
      </c>
      <c r="M133" s="163"/>
      <c r="O133" s="504"/>
    </row>
    <row r="134" spans="1:15" ht="13.5">
      <c r="A134" s="75"/>
      <c r="B134" s="69"/>
      <c r="C134" s="68"/>
      <c r="D134" s="656" t="s">
        <v>219</v>
      </c>
      <c r="E134" s="654" t="s">
        <v>105</v>
      </c>
      <c r="F134" s="657" t="s">
        <v>579</v>
      </c>
      <c r="G134" s="92"/>
      <c r="H134" s="77">
        <f>L134+M134</f>
        <v>52664043103</v>
      </c>
      <c r="I134" s="157">
        <v>17667995830</v>
      </c>
      <c r="L134" s="77">
        <v>52757229130</v>
      </c>
      <c r="M134" s="77">
        <f>-94112667-7005000+7931640</f>
        <v>-93186027</v>
      </c>
      <c r="O134" s="504"/>
    </row>
    <row r="135" spans="1:15" ht="9" customHeight="1">
      <c r="A135" s="75"/>
      <c r="B135" s="69"/>
      <c r="C135" s="68"/>
      <c r="D135" s="100"/>
      <c r="E135" s="164"/>
      <c r="F135" s="165"/>
      <c r="G135" s="92"/>
      <c r="H135" s="163"/>
      <c r="I135" s="166"/>
      <c r="L135" s="163"/>
      <c r="M135" s="163"/>
      <c r="O135" s="504"/>
    </row>
    <row r="136" spans="1:15" s="83" customFormat="1" ht="15.75" customHeight="1">
      <c r="A136" s="104"/>
      <c r="B136" s="105"/>
      <c r="C136" s="648" t="s">
        <v>153</v>
      </c>
      <c r="D136" s="651" t="s">
        <v>106</v>
      </c>
      <c r="E136" s="106"/>
      <c r="F136" s="658" t="s">
        <v>203</v>
      </c>
      <c r="G136" s="167"/>
      <c r="H136" s="97">
        <f>SUM(H137:H139)</f>
        <v>11269591074</v>
      </c>
      <c r="I136" s="159">
        <f>SUM(I137:I139)</f>
        <v>2500989018</v>
      </c>
      <c r="L136" s="97">
        <f>SUM(L137:L139)</f>
        <v>11269591074</v>
      </c>
      <c r="M136" s="97">
        <f>SUM(M137:M139)</f>
        <v>0</v>
      </c>
      <c r="N136" s="479"/>
      <c r="O136" s="504"/>
    </row>
    <row r="137" spans="1:17" ht="15.75" customHeight="1">
      <c r="A137" s="75"/>
      <c r="B137" s="69"/>
      <c r="C137" s="68"/>
      <c r="D137" s="656" t="s">
        <v>147</v>
      </c>
      <c r="E137" s="654" t="s">
        <v>107</v>
      </c>
      <c r="F137" s="657" t="s">
        <v>620</v>
      </c>
      <c r="G137" s="92"/>
      <c r="H137" s="77">
        <f>L137+M137</f>
        <v>11269591074</v>
      </c>
      <c r="I137" s="157">
        <v>2500989018</v>
      </c>
      <c r="L137" s="77">
        <v>11269591074</v>
      </c>
      <c r="M137" s="77"/>
      <c r="O137" s="504"/>
      <c r="P137" s="496"/>
      <c r="Q137" s="504"/>
    </row>
    <row r="138" spans="1:15" ht="16.5" customHeight="1" hidden="1">
      <c r="A138" s="75"/>
      <c r="B138" s="69"/>
      <c r="C138" s="68"/>
      <c r="D138" s="656" t="s">
        <v>148</v>
      </c>
      <c r="E138" s="654" t="s">
        <v>108</v>
      </c>
      <c r="F138" s="657" t="s">
        <v>621</v>
      </c>
      <c r="G138" s="92"/>
      <c r="H138" s="77">
        <v>0</v>
      </c>
      <c r="I138" s="157">
        <v>0</v>
      </c>
      <c r="L138" s="77">
        <v>0</v>
      </c>
      <c r="M138" s="77">
        <v>0</v>
      </c>
      <c r="O138" s="504"/>
    </row>
    <row r="139" spans="1:15" ht="16.5" customHeight="1" hidden="1">
      <c r="A139" s="75"/>
      <c r="B139" s="69"/>
      <c r="C139" s="68"/>
      <c r="D139" s="656" t="s">
        <v>152</v>
      </c>
      <c r="E139" s="654" t="s">
        <v>109</v>
      </c>
      <c r="F139" s="657" t="s">
        <v>580</v>
      </c>
      <c r="G139" s="92"/>
      <c r="H139" s="163"/>
      <c r="I139" s="157">
        <v>0</v>
      </c>
      <c r="L139" s="163"/>
      <c r="M139" s="163"/>
      <c r="O139" s="504"/>
    </row>
    <row r="140" spans="1:15" ht="9" customHeight="1">
      <c r="A140" s="75"/>
      <c r="B140" s="69"/>
      <c r="C140" s="68"/>
      <c r="D140" s="100"/>
      <c r="E140" s="76"/>
      <c r="F140" s="101"/>
      <c r="G140" s="92"/>
      <c r="H140" s="73"/>
      <c r="I140" s="157"/>
      <c r="L140" s="73"/>
      <c r="M140" s="73"/>
      <c r="O140" s="504"/>
    </row>
    <row r="141" spans="1:15" ht="24.75" customHeight="1" thickBot="1">
      <c r="A141" s="140"/>
      <c r="B141" s="665" t="s">
        <v>110</v>
      </c>
      <c r="C141" s="141"/>
      <c r="D141" s="142"/>
      <c r="E141" s="143"/>
      <c r="F141" s="144"/>
      <c r="G141" s="168"/>
      <c r="H141" s="145">
        <f>H122+H99</f>
        <v>2522794259830</v>
      </c>
      <c r="I141" s="169">
        <f>I122+I99</f>
        <v>740306484903</v>
      </c>
      <c r="L141" s="145">
        <f>L122+L99</f>
        <v>2492710923844</v>
      </c>
      <c r="M141" s="145">
        <f>M122+M99</f>
        <v>43814187914</v>
      </c>
      <c r="O141" s="504"/>
    </row>
    <row r="142" spans="1:13" ht="15.75" customHeight="1" hidden="1" thickTop="1">
      <c r="A142" s="68"/>
      <c r="B142" s="68"/>
      <c r="C142" s="68"/>
      <c r="D142" s="69"/>
      <c r="E142" s="69"/>
      <c r="F142" s="91"/>
      <c r="G142" s="147"/>
      <c r="H142" s="111"/>
      <c r="I142" s="111"/>
      <c r="L142" s="111"/>
      <c r="M142" s="111"/>
    </row>
    <row r="143" spans="1:13" ht="15.75" customHeight="1" hidden="1">
      <c r="A143" s="68"/>
      <c r="B143" s="68"/>
      <c r="C143" s="68"/>
      <c r="D143" s="69"/>
      <c r="E143" s="69"/>
      <c r="F143" s="91"/>
      <c r="G143" s="147"/>
      <c r="H143" s="111"/>
      <c r="I143" s="111"/>
      <c r="L143" s="111"/>
      <c r="M143" s="111"/>
    </row>
    <row r="144" spans="1:13" ht="15.75" customHeight="1" hidden="1">
      <c r="A144" s="68"/>
      <c r="B144" s="68"/>
      <c r="C144" s="68"/>
      <c r="D144" s="69"/>
      <c r="E144" s="69"/>
      <c r="F144" s="91"/>
      <c r="G144" s="147"/>
      <c r="H144" s="111"/>
      <c r="I144" s="111"/>
      <c r="L144" s="111"/>
      <c r="M144" s="111"/>
    </row>
    <row r="145" spans="1:13" ht="15.75" customHeight="1" hidden="1">
      <c r="A145" s="68"/>
      <c r="B145" s="68"/>
      <c r="C145" s="68"/>
      <c r="D145" s="69"/>
      <c r="E145" s="69"/>
      <c r="F145" s="91"/>
      <c r="G145" s="147"/>
      <c r="H145" s="111"/>
      <c r="I145" s="111"/>
      <c r="L145" s="111"/>
      <c r="M145" s="111"/>
    </row>
    <row r="146" spans="1:13" ht="15.75" customHeight="1" thickTop="1">
      <c r="A146" s="68"/>
      <c r="B146" s="68"/>
      <c r="C146" s="68"/>
      <c r="D146" s="69"/>
      <c r="E146" s="69"/>
      <c r="F146" s="91"/>
      <c r="G146" s="147"/>
      <c r="H146" s="507">
        <f>H141-H88</f>
        <v>0</v>
      </c>
      <c r="I146" s="518">
        <f>I141-I88</f>
        <v>0</v>
      </c>
      <c r="J146" s="508"/>
      <c r="K146" s="508"/>
      <c r="L146" s="507">
        <f>L141-L88</f>
        <v>0</v>
      </c>
      <c r="M146" s="507">
        <f>M141-M88</f>
        <v>0</v>
      </c>
    </row>
    <row r="147" spans="1:15" ht="13.5">
      <c r="A147" s="65" t="str">
        <f>A91</f>
        <v>CÔNG TY CỔ PHẦN ĐẦU TƯ VÀ VẬN TẢI DẦU KHÍ VINASHIN VÀ CÔNG TY CON</v>
      </c>
      <c r="B147" s="69"/>
      <c r="G147" s="447"/>
      <c r="H147" s="454"/>
      <c r="I147" s="454"/>
      <c r="L147" s="454"/>
      <c r="M147" s="454"/>
      <c r="O147" s="504"/>
    </row>
    <row r="148" spans="1:13" ht="13.5">
      <c r="A148" s="65"/>
      <c r="B148" s="69"/>
      <c r="G148" s="447"/>
      <c r="H148" s="170"/>
      <c r="I148" s="170"/>
      <c r="L148" s="170"/>
      <c r="M148" s="170"/>
    </row>
    <row r="149" spans="1:13" ht="13.5">
      <c r="A149" s="65" t="str">
        <f>A93</f>
        <v>BẢNG CÂN ĐỐI KẾ TOÁN HỢP NHẤT (TIẾP THEO)</v>
      </c>
      <c r="B149" s="69"/>
      <c r="G149" s="447"/>
      <c r="H149" s="170"/>
      <c r="I149" s="170"/>
      <c r="L149" s="170"/>
      <c r="M149" s="170"/>
    </row>
    <row r="150" spans="1:13" ht="13.5">
      <c r="A150" s="670" t="s">
        <v>111</v>
      </c>
      <c r="B150" s="69"/>
      <c r="G150" s="447"/>
      <c r="H150" s="170"/>
      <c r="I150" s="170"/>
      <c r="L150" s="170"/>
      <c r="M150" s="170"/>
    </row>
    <row r="151" spans="1:13" ht="13.5">
      <c r="A151" s="68"/>
      <c r="B151" s="69"/>
      <c r="G151" s="447"/>
      <c r="H151" s="170"/>
      <c r="I151" s="170"/>
      <c r="L151" s="170"/>
      <c r="M151" s="170"/>
    </row>
    <row r="152" spans="1:13" ht="13.5">
      <c r="A152" s="671" t="s">
        <v>112</v>
      </c>
      <c r="H152" s="171"/>
      <c r="I152" s="171"/>
      <c r="L152" s="171"/>
      <c r="M152" s="171"/>
    </row>
    <row r="153" spans="8:13" ht="14.25" thickBot="1">
      <c r="H153" s="171"/>
      <c r="I153" s="171"/>
      <c r="L153" s="171"/>
      <c r="M153" s="171"/>
    </row>
    <row r="154" spans="1:13" ht="34.5" customHeight="1" thickTop="1">
      <c r="A154" s="672" t="s">
        <v>113</v>
      </c>
      <c r="B154" s="81"/>
      <c r="C154" s="81"/>
      <c r="D154" s="81"/>
      <c r="E154" s="81"/>
      <c r="F154" s="82"/>
      <c r="G154" s="668" t="s">
        <v>22</v>
      </c>
      <c r="H154" s="133">
        <f>H97</f>
        <v>39447</v>
      </c>
      <c r="I154" s="134">
        <f>I97</f>
        <v>39082</v>
      </c>
      <c r="L154" s="133" t="str">
        <f>L97</f>
        <v>Vphòng</v>
      </c>
      <c r="M154" s="133" t="str">
        <f>M97</f>
        <v>Phương Bắc</v>
      </c>
    </row>
    <row r="155" spans="1:13" ht="13.5">
      <c r="A155" s="84"/>
      <c r="B155" s="85"/>
      <c r="C155" s="85"/>
      <c r="D155" s="85"/>
      <c r="E155" s="85"/>
      <c r="F155" s="86"/>
      <c r="G155" s="448"/>
      <c r="H155" s="172"/>
      <c r="I155" s="173"/>
      <c r="L155" s="172"/>
      <c r="M155" s="172"/>
    </row>
    <row r="156" spans="1:13" ht="13.5">
      <c r="A156" s="84"/>
      <c r="B156" s="85"/>
      <c r="C156" s="85"/>
      <c r="D156" s="664" t="s">
        <v>147</v>
      </c>
      <c r="E156" s="673" t="s">
        <v>114</v>
      </c>
      <c r="F156" s="86"/>
      <c r="G156" s="448"/>
      <c r="H156" s="77">
        <f>L156+M156</f>
        <v>0</v>
      </c>
      <c r="I156" s="175">
        <v>0</v>
      </c>
      <c r="L156" s="174"/>
      <c r="M156" s="174"/>
    </row>
    <row r="157" spans="1:13" ht="13.5">
      <c r="A157" s="84"/>
      <c r="B157" s="85"/>
      <c r="C157" s="85"/>
      <c r="D157" s="664" t="s">
        <v>148</v>
      </c>
      <c r="E157" s="673" t="s">
        <v>115</v>
      </c>
      <c r="F157" s="86"/>
      <c r="G157" s="448"/>
      <c r="H157" s="77">
        <f>L157+M157</f>
        <v>0</v>
      </c>
      <c r="I157" s="103">
        <v>0</v>
      </c>
      <c r="L157" s="73"/>
      <c r="M157" s="73"/>
    </row>
    <row r="158" spans="1:13" ht="13.5">
      <c r="A158" s="84"/>
      <c r="B158" s="85"/>
      <c r="C158" s="85"/>
      <c r="D158" s="664" t="s">
        <v>152</v>
      </c>
      <c r="E158" s="673" t="s">
        <v>116</v>
      </c>
      <c r="F158" s="86"/>
      <c r="G158" s="448"/>
      <c r="H158" s="77">
        <f>L158+M158</f>
        <v>0</v>
      </c>
      <c r="I158" s="175">
        <v>0</v>
      </c>
      <c r="L158" s="174"/>
      <c r="M158" s="174"/>
    </row>
    <row r="159" spans="1:13" ht="13.5">
      <c r="A159" s="75"/>
      <c r="B159" s="69"/>
      <c r="C159" s="69"/>
      <c r="D159" s="664" t="s">
        <v>155</v>
      </c>
      <c r="E159" s="673" t="s">
        <v>117</v>
      </c>
      <c r="F159" s="176"/>
      <c r="G159" s="448"/>
      <c r="H159" s="77">
        <v>2106178238</v>
      </c>
      <c r="I159" s="178">
        <v>0</v>
      </c>
      <c r="L159" s="177"/>
      <c r="M159" s="177"/>
    </row>
    <row r="160" spans="1:13" ht="13.5">
      <c r="A160" s="75"/>
      <c r="B160" s="69"/>
      <c r="C160" s="69"/>
      <c r="D160" s="664" t="s">
        <v>156</v>
      </c>
      <c r="E160" s="673" t="s">
        <v>118</v>
      </c>
      <c r="F160" s="179"/>
      <c r="G160" s="204"/>
      <c r="H160" s="77">
        <f>L160+M160</f>
        <v>0</v>
      </c>
      <c r="I160" s="181">
        <v>466740.18</v>
      </c>
      <c r="L160" s="180"/>
      <c r="M160" s="180"/>
    </row>
    <row r="161" spans="1:13" ht="13.5" hidden="1">
      <c r="A161" s="75"/>
      <c r="B161" s="69"/>
      <c r="C161" s="69"/>
      <c r="D161" s="664" t="s">
        <v>157</v>
      </c>
      <c r="E161" s="673" t="s">
        <v>119</v>
      </c>
      <c r="F161" s="179"/>
      <c r="G161" s="204"/>
      <c r="H161" s="180"/>
      <c r="I161" s="181"/>
      <c r="L161" s="180"/>
      <c r="M161" s="180"/>
    </row>
    <row r="162" spans="1:13" ht="13.5">
      <c r="A162" s="75"/>
      <c r="B162" s="69"/>
      <c r="C162" s="69"/>
      <c r="D162" s="664" t="s">
        <v>157</v>
      </c>
      <c r="E162" s="673" t="s">
        <v>120</v>
      </c>
      <c r="F162" s="179"/>
      <c r="G162" s="204"/>
      <c r="H162" s="77">
        <f>L162+M162</f>
        <v>0</v>
      </c>
      <c r="I162" s="178">
        <v>0</v>
      </c>
      <c r="L162" s="177"/>
      <c r="M162" s="177"/>
    </row>
    <row r="163" spans="1:13" ht="14.25" thickBot="1">
      <c r="A163" s="182"/>
      <c r="B163" s="127"/>
      <c r="C163" s="127"/>
      <c r="D163" s="127"/>
      <c r="E163" s="127"/>
      <c r="F163" s="183"/>
      <c r="G163" s="449"/>
      <c r="H163" s="184"/>
      <c r="I163" s="185"/>
      <c r="L163" s="184"/>
      <c r="M163" s="184"/>
    </row>
    <row r="164" spans="8:13" ht="14.25" thickTop="1">
      <c r="H164" s="171"/>
      <c r="I164" s="171"/>
      <c r="L164" s="171"/>
      <c r="M164" s="171"/>
    </row>
    <row r="165" spans="1:13" ht="15.75" customHeight="1">
      <c r="A165" s="186"/>
      <c r="B165" s="67"/>
      <c r="C165" s="67"/>
      <c r="D165" s="187"/>
      <c r="E165" s="67"/>
      <c r="G165" s="429"/>
      <c r="H165" s="675" t="s">
        <v>122</v>
      </c>
      <c r="L165" s="188"/>
      <c r="M165" s="188"/>
    </row>
    <row r="166" spans="1:13" ht="20.25" customHeight="1">
      <c r="A166" s="186"/>
      <c r="B166" s="189"/>
      <c r="C166" s="189"/>
      <c r="D166" s="190"/>
      <c r="E166" s="674" t="s">
        <v>121</v>
      </c>
      <c r="H166" s="676" t="s">
        <v>123</v>
      </c>
      <c r="I166" s="192"/>
      <c r="L166" s="191"/>
      <c r="M166" s="191"/>
    </row>
    <row r="167" spans="1:9" ht="13.5">
      <c r="A167" s="186"/>
      <c r="B167" s="67"/>
      <c r="C167" s="67"/>
      <c r="D167" s="187"/>
      <c r="E167" s="189"/>
      <c r="F167" s="67"/>
      <c r="G167" s="193"/>
      <c r="I167" s="194"/>
    </row>
    <row r="168" spans="1:9" ht="13.5">
      <c r="A168" s="186"/>
      <c r="B168" s="67"/>
      <c r="C168" s="67"/>
      <c r="D168" s="187"/>
      <c r="E168" s="189"/>
      <c r="F168" s="67"/>
      <c r="G168" s="193"/>
      <c r="I168" s="67"/>
    </row>
    <row r="169" spans="1:9" ht="13.5">
      <c r="A169" s="186"/>
      <c r="B169" s="67"/>
      <c r="C169" s="67"/>
      <c r="D169" s="187"/>
      <c r="E169" s="189"/>
      <c r="F169" s="67"/>
      <c r="G169" s="193"/>
      <c r="I169" s="67"/>
    </row>
    <row r="170" spans="1:9" ht="13.5">
      <c r="A170" s="186"/>
      <c r="B170" s="189"/>
      <c r="C170" s="189"/>
      <c r="D170" s="190"/>
      <c r="E170" s="189"/>
      <c r="F170" s="190"/>
      <c r="G170" s="193"/>
      <c r="I170" s="193"/>
    </row>
    <row r="171" spans="1:13" ht="13.5">
      <c r="A171" s="186"/>
      <c r="E171" s="674" t="s">
        <v>124</v>
      </c>
      <c r="F171" s="65"/>
      <c r="H171" s="677" t="s">
        <v>125</v>
      </c>
      <c r="L171" s="195"/>
      <c r="M171" s="195"/>
    </row>
    <row r="172" ht="13.5">
      <c r="G172" s="447"/>
    </row>
  </sheetData>
  <mergeCells count="2">
    <mergeCell ref="B83:C83"/>
    <mergeCell ref="B81:C81"/>
  </mergeCells>
  <printOptions/>
  <pageMargins left="0.67" right="0.4" top="0.5" bottom="0.75" header="0.5" footer="0.34"/>
  <pageSetup firstPageNumber="5" useFirstPageNumber="1" horizontalDpi="600" verticalDpi="600" orientation="portrait" paperSize="9" r:id="rId3"/>
  <headerFooter alignWithMargins="0">
    <oddFooter>&amp;L&amp;9Caùc thuyeát minh töø trang 12 ñeán trang 29 laø phaàn khoâng theå taùch rôøi cuûa baùo caùo naøy.&amp;R&amp;9Trang &amp;P</oddFooter>
  </headerFooter>
  <rowBreaks count="1" manualBreakCount="1">
    <brk id="90" max="255" man="1"/>
  </rowBreaks>
  <legacyDrawing r:id="rId2"/>
</worksheet>
</file>

<file path=xl/worksheets/sheet2.xml><?xml version="1.0" encoding="utf-8"?>
<worksheet xmlns="http://schemas.openxmlformats.org/spreadsheetml/2006/main" xmlns:r="http://schemas.openxmlformats.org/officeDocument/2006/relationships">
  <dimension ref="A1:L55"/>
  <sheetViews>
    <sheetView tabSelected="1" workbookViewId="0" topLeftCell="D4">
      <selection activeCell="C3" sqref="C3"/>
    </sheetView>
  </sheetViews>
  <sheetFormatPr defaultColWidth="9.00390625" defaultRowHeight="12.75"/>
  <cols>
    <col min="1" max="1" width="3.25390625" style="67" customWidth="1"/>
    <col min="2" max="2" width="3.625" style="67" customWidth="1"/>
    <col min="3" max="3" width="45.25390625" style="67" customWidth="1"/>
    <col min="4" max="4" width="8.25390625" style="67" customWidth="1"/>
    <col min="5" max="5" width="7.75390625" style="193" customWidth="1"/>
    <col min="6" max="6" width="3.25390625" style="193" customWidth="1"/>
    <col min="7" max="7" width="19.75390625" style="196" customWidth="1"/>
    <col min="8" max="8" width="17.625" style="196" customWidth="1"/>
    <col min="9" max="9" width="9.00390625" style="67" customWidth="1"/>
    <col min="10" max="10" width="19.75390625" style="196" customWidth="1"/>
    <col min="11" max="11" width="17.00390625" style="196" bestFit="1" customWidth="1"/>
    <col min="12" max="12" width="11.625" style="67" bestFit="1" customWidth="1"/>
    <col min="13" max="16384" width="9.125" style="67" customWidth="1"/>
  </cols>
  <sheetData>
    <row r="1" spans="1:11" ht="15.75" customHeight="1">
      <c r="A1" s="65" t="str">
        <f>BCDKT!A1</f>
        <v>CÔNG TY CỔ PHẦN ĐẦU TƯ VÀ VẬN TẢI DẦU KHÍ VINASHIN VÀ CÔNG TY CON</v>
      </c>
      <c r="C1" s="66"/>
      <c r="D1" s="66"/>
      <c r="G1" s="71"/>
      <c r="H1" s="678" t="s">
        <v>623</v>
      </c>
      <c r="J1" s="71"/>
      <c r="K1" s="71"/>
    </row>
    <row r="2" spans="1:11" ht="15.75" customHeight="1">
      <c r="A2" s="65"/>
      <c r="C2" s="66"/>
      <c r="D2" s="66"/>
      <c r="G2" s="71"/>
      <c r="H2" s="148"/>
      <c r="J2" s="71"/>
      <c r="K2" s="71"/>
    </row>
    <row r="3" spans="1:11" ht="15.75" customHeight="1">
      <c r="A3" s="680" t="s">
        <v>126</v>
      </c>
      <c r="C3" s="66"/>
      <c r="D3" s="66"/>
      <c r="G3" s="71"/>
      <c r="H3" s="78"/>
      <c r="J3" s="71"/>
      <c r="K3" s="71"/>
    </row>
    <row r="4" spans="1:11" ht="15.75" customHeight="1">
      <c r="A4" s="681" t="s">
        <v>127</v>
      </c>
      <c r="C4" s="69"/>
      <c r="D4" s="69"/>
      <c r="E4" s="197"/>
      <c r="F4" s="197"/>
      <c r="G4" s="78"/>
      <c r="H4" s="682" t="s">
        <v>19</v>
      </c>
      <c r="J4" s="78"/>
      <c r="K4" s="78"/>
    </row>
    <row r="5" spans="1:8" ht="9" customHeight="1" thickBot="1">
      <c r="A5" s="186"/>
      <c r="C5" s="199"/>
      <c r="D5" s="187"/>
      <c r="H5" s="200"/>
    </row>
    <row r="6" spans="1:11" s="66" customFormat="1" ht="33.75" customHeight="1" thickTop="1">
      <c r="A6" s="855" t="s">
        <v>128</v>
      </c>
      <c r="B6" s="856"/>
      <c r="C6" s="857"/>
      <c r="D6" s="683" t="s">
        <v>129</v>
      </c>
      <c r="E6" s="684" t="s">
        <v>22</v>
      </c>
      <c r="F6" s="201"/>
      <c r="G6" s="685" t="s">
        <v>130</v>
      </c>
      <c r="H6" s="686" t="s">
        <v>131</v>
      </c>
      <c r="J6" s="685" t="s">
        <v>670</v>
      </c>
      <c r="K6" s="685" t="s">
        <v>24</v>
      </c>
    </row>
    <row r="7" spans="1:11" s="66" customFormat="1" ht="6" customHeight="1">
      <c r="A7" s="203"/>
      <c r="B7" s="204"/>
      <c r="C7" s="205"/>
      <c r="D7" s="206"/>
      <c r="E7" s="92"/>
      <c r="F7" s="207"/>
      <c r="G7" s="197"/>
      <c r="H7" s="208"/>
      <c r="J7" s="197"/>
      <c r="K7" s="197"/>
    </row>
    <row r="8" spans="1:11" ht="15.75" customHeight="1">
      <c r="A8" s="689" t="s">
        <v>147</v>
      </c>
      <c r="B8" s="687" t="s">
        <v>132</v>
      </c>
      <c r="C8" s="211"/>
      <c r="D8" s="691" t="s">
        <v>205</v>
      </c>
      <c r="E8" s="688" t="s">
        <v>665</v>
      </c>
      <c r="F8" s="214"/>
      <c r="G8" s="215">
        <f>J8+K8</f>
        <v>789682938311</v>
      </c>
      <c r="H8" s="216">
        <v>652275141801</v>
      </c>
      <c r="J8" s="215">
        <v>773118887634</v>
      </c>
      <c r="K8" s="126">
        <f>8816184153+7562164124+185702400</f>
        <v>16564050677</v>
      </c>
    </row>
    <row r="9" spans="1:11" ht="15.75" customHeight="1" hidden="1">
      <c r="A9" s="690" t="s">
        <v>133</v>
      </c>
      <c r="B9" s="218"/>
      <c r="C9" s="211"/>
      <c r="D9" s="692" t="s">
        <v>234</v>
      </c>
      <c r="E9" s="213"/>
      <c r="F9" s="214"/>
      <c r="G9" s="215"/>
      <c r="H9" s="216"/>
      <c r="J9" s="215"/>
      <c r="K9" s="215"/>
    </row>
    <row r="10" spans="1:11" ht="4.5" customHeight="1">
      <c r="A10" s="217"/>
      <c r="B10" s="218"/>
      <c r="C10" s="211"/>
      <c r="D10" s="219"/>
      <c r="E10" s="213"/>
      <c r="F10" s="214"/>
      <c r="G10" s="215"/>
      <c r="H10" s="216"/>
      <c r="J10" s="215"/>
      <c r="K10" s="215"/>
    </row>
    <row r="11" spans="1:11" ht="15.75" customHeight="1">
      <c r="A11" s="693" t="s">
        <v>148</v>
      </c>
      <c r="B11" s="694" t="s">
        <v>134</v>
      </c>
      <c r="C11" s="221"/>
      <c r="D11" s="692" t="s">
        <v>234</v>
      </c>
      <c r="E11" s="230"/>
      <c r="F11" s="222"/>
      <c r="G11" s="126">
        <f>J11+K11</f>
        <v>0</v>
      </c>
      <c r="H11" s="223">
        <v>0</v>
      </c>
      <c r="J11" s="126"/>
      <c r="K11" s="126">
        <v>0</v>
      </c>
    </row>
    <row r="12" spans="1:11" ht="19.5" customHeight="1" hidden="1">
      <c r="A12" s="217"/>
      <c r="B12" s="695" t="s">
        <v>738</v>
      </c>
      <c r="C12" s="221"/>
      <c r="D12" s="696" t="s">
        <v>207</v>
      </c>
      <c r="E12" s="213"/>
      <c r="F12" s="224"/>
      <c r="G12" s="225">
        <v>1636000</v>
      </c>
      <c r="H12" s="223"/>
      <c r="J12" s="225">
        <v>1636000</v>
      </c>
      <c r="K12" s="225">
        <v>1636000</v>
      </c>
    </row>
    <row r="13" spans="1:11" ht="21" customHeight="1" hidden="1">
      <c r="A13" s="217"/>
      <c r="B13" s="695" t="s">
        <v>739</v>
      </c>
      <c r="C13" s="221"/>
      <c r="D13" s="696" t="s">
        <v>208</v>
      </c>
      <c r="E13" s="213"/>
      <c r="F13" s="224"/>
      <c r="G13" s="225">
        <v>0</v>
      </c>
      <c r="H13" s="223">
        <v>0</v>
      </c>
      <c r="J13" s="225">
        <v>0</v>
      </c>
      <c r="K13" s="225">
        <v>0</v>
      </c>
    </row>
    <row r="14" spans="1:11" ht="30" customHeight="1" hidden="1">
      <c r="A14" s="217"/>
      <c r="B14" s="860" t="s">
        <v>740</v>
      </c>
      <c r="C14" s="861"/>
      <c r="D14" s="697" t="s">
        <v>209</v>
      </c>
      <c r="E14" s="113"/>
      <c r="F14" s="227"/>
      <c r="G14" s="107"/>
      <c r="H14" s="116"/>
      <c r="J14" s="107"/>
      <c r="K14" s="107"/>
    </row>
    <row r="15" spans="1:11" ht="4.5" customHeight="1">
      <c r="A15" s="217"/>
      <c r="B15" s="228"/>
      <c r="C15" s="229"/>
      <c r="D15" s="226"/>
      <c r="E15" s="230"/>
      <c r="F15" s="227"/>
      <c r="G15" s="107"/>
      <c r="H15" s="116"/>
      <c r="J15" s="107"/>
      <c r="K15" s="107"/>
    </row>
    <row r="16" spans="1:11" ht="15.75" customHeight="1">
      <c r="A16" s="689" t="s">
        <v>152</v>
      </c>
      <c r="B16" s="698" t="s">
        <v>741</v>
      </c>
      <c r="C16" s="211"/>
      <c r="D16" s="691" t="s">
        <v>210</v>
      </c>
      <c r="E16" s="230"/>
      <c r="F16" s="214"/>
      <c r="G16" s="215">
        <f>G8-G11</f>
        <v>789682938311</v>
      </c>
      <c r="H16" s="232">
        <f>H8-H11</f>
        <v>652275141801</v>
      </c>
      <c r="J16" s="215">
        <f>J8-J11</f>
        <v>773118887634</v>
      </c>
      <c r="K16" s="215">
        <f>K8-K11</f>
        <v>16564050677</v>
      </c>
    </row>
    <row r="17" spans="1:11" ht="4.5" customHeight="1">
      <c r="A17" s="233"/>
      <c r="B17" s="231"/>
      <c r="C17" s="211"/>
      <c r="D17" s="212"/>
      <c r="E17" s="213"/>
      <c r="F17" s="214"/>
      <c r="G17" s="215"/>
      <c r="H17" s="216"/>
      <c r="J17" s="215"/>
      <c r="K17" s="215"/>
    </row>
    <row r="18" spans="1:12" ht="15.75" customHeight="1">
      <c r="A18" s="693" t="s">
        <v>155</v>
      </c>
      <c r="B18" s="699" t="s">
        <v>742</v>
      </c>
      <c r="C18" s="221"/>
      <c r="D18" s="692" t="s">
        <v>211</v>
      </c>
      <c r="E18" s="688" t="s">
        <v>666</v>
      </c>
      <c r="F18" s="222"/>
      <c r="G18" s="126">
        <f>J18+K18</f>
        <v>599291822709</v>
      </c>
      <c r="H18" s="234">
        <v>571226913142</v>
      </c>
      <c r="J18" s="126">
        <v>583769555261</v>
      </c>
      <c r="K18" s="126">
        <v>15522267448</v>
      </c>
      <c r="L18" s="194"/>
    </row>
    <row r="19" spans="1:11" ht="4.5" customHeight="1">
      <c r="A19" s="235"/>
      <c r="B19" s="218"/>
      <c r="C19" s="221"/>
      <c r="D19" s="219"/>
      <c r="E19" s="213"/>
      <c r="F19" s="214"/>
      <c r="G19" s="126"/>
      <c r="H19" s="234"/>
      <c r="J19" s="126"/>
      <c r="K19" s="126"/>
    </row>
    <row r="20" spans="1:11" ht="15.75" customHeight="1">
      <c r="A20" s="689" t="s">
        <v>156</v>
      </c>
      <c r="B20" s="698" t="s">
        <v>743</v>
      </c>
      <c r="C20" s="211"/>
      <c r="D20" s="691" t="s">
        <v>212</v>
      </c>
      <c r="E20" s="213"/>
      <c r="F20" s="214"/>
      <c r="G20" s="215">
        <f>G16-G18</f>
        <v>190391115602</v>
      </c>
      <c r="H20" s="216">
        <f>H16-H18</f>
        <v>81048228659</v>
      </c>
      <c r="J20" s="215">
        <f>J16-J18</f>
        <v>189349332373</v>
      </c>
      <c r="K20" s="215">
        <f>K16-K18</f>
        <v>1041783229</v>
      </c>
    </row>
    <row r="21" spans="1:11" ht="4.5" customHeight="1">
      <c r="A21" s="209"/>
      <c r="B21" s="231"/>
      <c r="C21" s="211"/>
      <c r="D21" s="212"/>
      <c r="E21" s="213"/>
      <c r="F21" s="214"/>
      <c r="G21" s="215"/>
      <c r="H21" s="216"/>
      <c r="J21" s="215"/>
      <c r="K21" s="215"/>
    </row>
    <row r="22" spans="1:11" ht="15.75" customHeight="1">
      <c r="A22" s="693" t="s">
        <v>157</v>
      </c>
      <c r="B22" s="699" t="s">
        <v>744</v>
      </c>
      <c r="C22" s="221"/>
      <c r="D22" s="692" t="s">
        <v>213</v>
      </c>
      <c r="E22" s="688" t="s">
        <v>667</v>
      </c>
      <c r="F22" s="236"/>
      <c r="G22" s="126">
        <f>J22+K22</f>
        <v>4114491021</v>
      </c>
      <c r="H22" s="234">
        <v>886549740</v>
      </c>
      <c r="J22" s="126">
        <v>4090774677</v>
      </c>
      <c r="K22" s="126">
        <f>15784704+'AE'!G19</f>
        <v>23716344</v>
      </c>
    </row>
    <row r="23" spans="1:11" ht="4.5" customHeight="1">
      <c r="A23" s="235"/>
      <c r="B23" s="218"/>
      <c r="C23" s="221"/>
      <c r="D23" s="219"/>
      <c r="E23" s="230"/>
      <c r="F23" s="236"/>
      <c r="G23" s="126"/>
      <c r="H23" s="234"/>
      <c r="J23" s="126"/>
      <c r="K23" s="126"/>
    </row>
    <row r="24" spans="1:11" ht="15.75" customHeight="1">
      <c r="A24" s="693" t="s">
        <v>159</v>
      </c>
      <c r="B24" s="700" t="s">
        <v>745</v>
      </c>
      <c r="C24" s="221"/>
      <c r="D24" s="701" t="s">
        <v>214</v>
      </c>
      <c r="E24" s="688" t="s">
        <v>668</v>
      </c>
      <c r="F24" s="236"/>
      <c r="G24" s="126">
        <f>J24+K24</f>
        <v>73652447466</v>
      </c>
      <c r="H24" s="234">
        <v>39362273605</v>
      </c>
      <c r="J24" s="126">
        <v>73644022620</v>
      </c>
      <c r="K24" s="126">
        <v>8424846</v>
      </c>
    </row>
    <row r="25" spans="1:11" ht="15.75" customHeight="1">
      <c r="A25" s="235"/>
      <c r="B25" s="700" t="s">
        <v>746</v>
      </c>
      <c r="C25" s="221"/>
      <c r="D25" s="701" t="s">
        <v>581</v>
      </c>
      <c r="E25" s="213"/>
      <c r="F25" s="214"/>
      <c r="G25" s="225">
        <f>J25+K25</f>
        <v>67013941421</v>
      </c>
      <c r="H25" s="223">
        <v>32768747216</v>
      </c>
      <c r="J25" s="225">
        <f>57511871920+9493644655</f>
        <v>67005516575</v>
      </c>
      <c r="K25" s="225">
        <f>K24</f>
        <v>8424846</v>
      </c>
    </row>
    <row r="26" spans="1:11" ht="4.5" customHeight="1">
      <c r="A26" s="235"/>
      <c r="B26" s="218"/>
      <c r="C26" s="221"/>
      <c r="D26" s="237"/>
      <c r="E26" s="213"/>
      <c r="F26" s="214"/>
      <c r="G26" s="225"/>
      <c r="H26" s="223"/>
      <c r="J26" s="225"/>
      <c r="K26" s="225"/>
    </row>
    <row r="27" spans="1:11" ht="15.75" customHeight="1">
      <c r="A27" s="693" t="s">
        <v>160</v>
      </c>
      <c r="B27" s="699" t="s">
        <v>747</v>
      </c>
      <c r="C27" s="221"/>
      <c r="D27" s="701" t="s">
        <v>224</v>
      </c>
      <c r="E27" s="230"/>
      <c r="F27" s="236"/>
      <c r="G27" s="126">
        <f>J27+K27</f>
        <v>11863072100</v>
      </c>
      <c r="H27" s="238">
        <v>7006059892</v>
      </c>
      <c r="J27" s="126">
        <v>11546931713</v>
      </c>
      <c r="K27" s="126">
        <v>316140387</v>
      </c>
    </row>
    <row r="28" spans="1:11" ht="4.5" customHeight="1">
      <c r="A28" s="235"/>
      <c r="B28" s="218"/>
      <c r="C28" s="221"/>
      <c r="D28" s="237"/>
      <c r="E28" s="230"/>
      <c r="F28" s="236"/>
      <c r="G28" s="126">
        <v>0</v>
      </c>
      <c r="H28" s="238">
        <v>0</v>
      </c>
      <c r="J28" s="126"/>
      <c r="K28" s="126"/>
    </row>
    <row r="29" spans="1:11" ht="15.75" customHeight="1">
      <c r="A29" s="693" t="s">
        <v>218</v>
      </c>
      <c r="B29" s="699" t="s">
        <v>748</v>
      </c>
      <c r="C29" s="221"/>
      <c r="D29" s="701" t="s">
        <v>225</v>
      </c>
      <c r="E29" s="230"/>
      <c r="F29" s="236"/>
      <c r="G29" s="126">
        <f>J29+K29</f>
        <v>26968269358</v>
      </c>
      <c r="H29" s="238">
        <v>15411522337</v>
      </c>
      <c r="J29" s="126">
        <v>26134148991</v>
      </c>
      <c r="K29" s="126">
        <f>179713136+163308760+17821883+12399242+212000+331125571+122534775+'AE'!F14</f>
        <v>834120367</v>
      </c>
    </row>
    <row r="30" spans="1:11" ht="4.5" customHeight="1">
      <c r="A30" s="235"/>
      <c r="B30" s="218"/>
      <c r="C30" s="221"/>
      <c r="D30" s="237"/>
      <c r="E30" s="230"/>
      <c r="F30" s="239"/>
      <c r="G30" s="126"/>
      <c r="H30" s="234"/>
      <c r="J30" s="126"/>
      <c r="K30" s="126"/>
    </row>
    <row r="31" spans="1:11" ht="32.25" customHeight="1">
      <c r="A31" s="702" t="s">
        <v>219</v>
      </c>
      <c r="B31" s="858" t="s">
        <v>749</v>
      </c>
      <c r="C31" s="859"/>
      <c r="D31" s="703" t="s">
        <v>215</v>
      </c>
      <c r="E31" s="113"/>
      <c r="F31" s="207"/>
      <c r="G31" s="111">
        <f>G20+(G22-G24)-(G27+G29)</f>
        <v>82021817699</v>
      </c>
      <c r="H31" s="94">
        <f>H20+(H22-H24)-(H27+H29)</f>
        <v>20154922565</v>
      </c>
      <c r="J31" s="111">
        <f>J20+(J22-J24)-(J27+J29)</f>
        <v>82115003726</v>
      </c>
      <c r="K31" s="111">
        <f>K20+(K22-K24)-(K27+K29)</f>
        <v>-93186027</v>
      </c>
    </row>
    <row r="32" spans="1:11" ht="4.5" customHeight="1">
      <c r="A32" s="240"/>
      <c r="B32" s="241"/>
      <c r="C32" s="242"/>
      <c r="D32" s="243"/>
      <c r="E32" s="113"/>
      <c r="F32" s="207"/>
      <c r="G32" s="111"/>
      <c r="H32" s="94"/>
      <c r="J32" s="111"/>
      <c r="K32" s="111"/>
    </row>
    <row r="33" spans="1:11" ht="15.75" customHeight="1">
      <c r="A33" s="693" t="s">
        <v>220</v>
      </c>
      <c r="B33" s="699" t="s">
        <v>750</v>
      </c>
      <c r="C33" s="221"/>
      <c r="D33" s="701" t="s">
        <v>216</v>
      </c>
      <c r="E33" s="230"/>
      <c r="F33" s="236"/>
      <c r="G33" s="126">
        <f>J33+K33</f>
        <v>45876906515</v>
      </c>
      <c r="H33" s="234">
        <v>6624000412</v>
      </c>
      <c r="J33" s="126">
        <v>45876906515</v>
      </c>
      <c r="K33" s="126"/>
    </row>
    <row r="34" spans="1:11" ht="15.75" customHeight="1">
      <c r="A34" s="693" t="s">
        <v>222</v>
      </c>
      <c r="B34" s="699" t="s">
        <v>751</v>
      </c>
      <c r="C34" s="221"/>
      <c r="D34" s="701" t="s">
        <v>217</v>
      </c>
      <c r="E34" s="230"/>
      <c r="F34" s="236"/>
      <c r="G34" s="126">
        <f>J34+K34</f>
        <v>45659821208</v>
      </c>
      <c r="H34" s="234">
        <v>7334119170</v>
      </c>
      <c r="J34" s="126">
        <v>45659821208</v>
      </c>
      <c r="K34" s="126"/>
    </row>
    <row r="35" spans="1:11" ht="4.5" customHeight="1">
      <c r="A35" s="235"/>
      <c r="B35" s="218"/>
      <c r="C35" s="221"/>
      <c r="D35" s="237"/>
      <c r="E35" s="230"/>
      <c r="F35" s="236"/>
      <c r="G35" s="126"/>
      <c r="H35" s="234"/>
      <c r="J35" s="126"/>
      <c r="K35" s="126"/>
    </row>
    <row r="36" spans="1:11" ht="15.75" customHeight="1">
      <c r="A36" s="704" t="s">
        <v>223</v>
      </c>
      <c r="B36" s="698" t="s">
        <v>752</v>
      </c>
      <c r="C36" s="211"/>
      <c r="D36" s="705" t="s">
        <v>233</v>
      </c>
      <c r="E36" s="213"/>
      <c r="F36" s="214"/>
      <c r="G36" s="215">
        <f>G33-G34</f>
        <v>217085307</v>
      </c>
      <c r="H36" s="216">
        <f>H33-H34</f>
        <v>-710118758</v>
      </c>
      <c r="J36" s="215">
        <f>J33-J34</f>
        <v>217085307</v>
      </c>
      <c r="K36" s="215">
        <f>K33-K34</f>
        <v>0</v>
      </c>
    </row>
    <row r="37" spans="1:11" ht="4.5" customHeight="1">
      <c r="A37" s="233"/>
      <c r="B37" s="231"/>
      <c r="C37" s="211"/>
      <c r="D37" s="212"/>
      <c r="E37" s="213"/>
      <c r="F37" s="214"/>
      <c r="G37" s="215"/>
      <c r="H37" s="216"/>
      <c r="J37" s="215"/>
      <c r="K37" s="215"/>
    </row>
    <row r="38" spans="1:11" ht="15.75" customHeight="1">
      <c r="A38" s="704" t="s">
        <v>588</v>
      </c>
      <c r="B38" s="706" t="s">
        <v>753</v>
      </c>
      <c r="C38" s="211"/>
      <c r="D38" s="705" t="s">
        <v>221</v>
      </c>
      <c r="E38" s="213"/>
      <c r="F38" s="214"/>
      <c r="G38" s="215">
        <f>G31+G36</f>
        <v>82238903006</v>
      </c>
      <c r="H38" s="216">
        <f>H31+H36</f>
        <v>19444803807</v>
      </c>
      <c r="J38" s="215">
        <f>J31+J36</f>
        <v>82332089033</v>
      </c>
      <c r="K38" s="215">
        <f>K31+K36</f>
        <v>-93186027</v>
      </c>
    </row>
    <row r="39" spans="1:11" ht="15.75" customHeight="1" hidden="1">
      <c r="A39" s="233"/>
      <c r="B39" s="707" t="s">
        <v>754</v>
      </c>
      <c r="C39" s="211"/>
      <c r="D39" s="244"/>
      <c r="E39" s="213"/>
      <c r="F39" s="214"/>
      <c r="G39" s="126">
        <v>106704825247</v>
      </c>
      <c r="H39" s="234">
        <v>38104806381</v>
      </c>
      <c r="J39" s="126">
        <v>106704825247</v>
      </c>
      <c r="K39" s="126">
        <v>106704825247</v>
      </c>
    </row>
    <row r="40" spans="1:11" ht="15.75" customHeight="1" hidden="1">
      <c r="A40" s="233"/>
      <c r="B40" s="707" t="s">
        <v>755</v>
      </c>
      <c r="C40" s="211"/>
      <c r="D40" s="244"/>
      <c r="E40" s="213"/>
      <c r="F40" s="214"/>
      <c r="G40" s="126">
        <v>-582717134835</v>
      </c>
      <c r="H40" s="234">
        <v>-626664139848</v>
      </c>
      <c r="J40" s="126">
        <v>-582717134835</v>
      </c>
      <c r="K40" s="126">
        <v>-582717134835</v>
      </c>
    </row>
    <row r="41" spans="1:11" ht="4.5" customHeight="1">
      <c r="A41" s="233"/>
      <c r="B41" s="231"/>
      <c r="C41" s="211"/>
      <c r="D41" s="244"/>
      <c r="E41" s="213"/>
      <c r="F41" s="214"/>
      <c r="G41" s="215"/>
      <c r="H41" s="216"/>
      <c r="J41" s="215"/>
      <c r="K41" s="215"/>
    </row>
    <row r="42" spans="1:11" s="187" customFormat="1" ht="14.25">
      <c r="A42" s="708" t="s">
        <v>583</v>
      </c>
      <c r="B42" s="699" t="s">
        <v>756</v>
      </c>
      <c r="C42" s="245"/>
      <c r="D42" s="692" t="s">
        <v>8</v>
      </c>
      <c r="E42" s="688" t="s">
        <v>199</v>
      </c>
      <c r="F42" s="222"/>
      <c r="G42" s="126">
        <f>J42+K42-72</f>
        <v>12121194233</v>
      </c>
      <c r="H42" s="234">
        <v>2463623264</v>
      </c>
      <c r="J42" s="126">
        <v>12121194305</v>
      </c>
      <c r="K42" s="126">
        <v>0</v>
      </c>
    </row>
    <row r="43" spans="1:11" ht="14.25">
      <c r="A43" s="708" t="s">
        <v>650</v>
      </c>
      <c r="B43" s="699" t="s">
        <v>757</v>
      </c>
      <c r="C43" s="245"/>
      <c r="D43" s="692" t="s">
        <v>9</v>
      </c>
      <c r="E43" s="688" t="s">
        <v>200</v>
      </c>
      <c r="F43" s="222"/>
      <c r="G43" s="126">
        <f>J43+K43</f>
        <v>-2234079469</v>
      </c>
      <c r="H43" s="234">
        <v>-469042882</v>
      </c>
      <c r="J43" s="126">
        <v>-2234079469</v>
      </c>
      <c r="K43" s="126"/>
    </row>
    <row r="44" spans="1:11" ht="4.5" customHeight="1">
      <c r="A44" s="246"/>
      <c r="B44" s="218"/>
      <c r="C44" s="245"/>
      <c r="D44" s="219"/>
      <c r="E44" s="213"/>
      <c r="F44" s="214"/>
      <c r="G44" s="126"/>
      <c r="H44" s="234"/>
      <c r="J44" s="126"/>
      <c r="K44" s="126"/>
    </row>
    <row r="45" spans="1:11" ht="18" customHeight="1">
      <c r="A45" s="709" t="s">
        <v>651</v>
      </c>
      <c r="B45" s="862" t="s">
        <v>758</v>
      </c>
      <c r="C45" s="859"/>
      <c r="D45" s="710" t="s">
        <v>10</v>
      </c>
      <c r="E45" s="213"/>
      <c r="F45" s="214"/>
      <c r="G45" s="215">
        <f>G38-G42-G43</f>
        <v>72351788242</v>
      </c>
      <c r="H45" s="216">
        <f>H38-H42-H43</f>
        <v>17450223425</v>
      </c>
      <c r="J45" s="215">
        <f>J38-J42-J43</f>
        <v>72444974197</v>
      </c>
      <c r="K45" s="215">
        <f>K38-K42</f>
        <v>-93186027</v>
      </c>
    </row>
    <row r="46" spans="1:11" ht="4.5" customHeight="1">
      <c r="A46" s="247"/>
      <c r="B46" s="241"/>
      <c r="C46" s="242"/>
      <c r="D46" s="248"/>
      <c r="E46" s="213"/>
      <c r="F46" s="214"/>
      <c r="G46" s="215"/>
      <c r="H46" s="216"/>
      <c r="J46" s="215"/>
      <c r="K46" s="215"/>
    </row>
    <row r="47" spans="1:11" ht="18" customHeight="1">
      <c r="A47" s="709" t="s">
        <v>589</v>
      </c>
      <c r="B47" s="862" t="s">
        <v>759</v>
      </c>
      <c r="C47" s="859"/>
      <c r="D47" s="710" t="s">
        <v>11</v>
      </c>
      <c r="E47" s="688" t="s">
        <v>198</v>
      </c>
      <c r="F47" s="214"/>
      <c r="G47" s="215">
        <f>G45/((13800000*2+4000000*10)/12)</f>
        <v>12843.512705680474</v>
      </c>
      <c r="H47" s="216">
        <v>4363</v>
      </c>
      <c r="J47" s="215"/>
      <c r="K47" s="215"/>
    </row>
    <row r="48" spans="1:11" ht="14.25" thickBot="1">
      <c r="A48" s="250"/>
      <c r="B48" s="251"/>
      <c r="C48" s="252"/>
      <c r="D48" s="253"/>
      <c r="E48" s="254"/>
      <c r="F48" s="255"/>
      <c r="G48" s="131"/>
      <c r="H48" s="256"/>
      <c r="J48" s="131"/>
      <c r="K48" s="131"/>
    </row>
    <row r="49" spans="1:11" ht="8.25" customHeight="1" thickTop="1">
      <c r="A49" s="218"/>
      <c r="B49" s="218"/>
      <c r="C49" s="257"/>
      <c r="D49" s="257"/>
      <c r="E49" s="258"/>
      <c r="F49" s="258"/>
      <c r="G49" s="259"/>
      <c r="H49" s="259"/>
      <c r="J49" s="259"/>
      <c r="K49" s="259"/>
    </row>
    <row r="50" spans="1:10" ht="15.75" customHeight="1">
      <c r="A50" s="218"/>
      <c r="B50" s="218"/>
      <c r="C50" s="218"/>
      <c r="D50" s="851" t="str">
        <f>BCDKT!H165</f>
        <v>TP. Hồ Chí Minh, ngày 22 tháng 1 năm 2008</v>
      </c>
      <c r="E50" s="851"/>
      <c r="F50" s="851"/>
      <c r="G50" s="851"/>
      <c r="H50" s="851"/>
      <c r="J50" s="67"/>
    </row>
    <row r="51" spans="1:10" ht="15.75" customHeight="1">
      <c r="A51" s="218"/>
      <c r="B51" s="218"/>
      <c r="C51" s="687" t="s">
        <v>121</v>
      </c>
      <c r="D51" s="852" t="s">
        <v>123</v>
      </c>
      <c r="E51" s="853"/>
      <c r="F51" s="853"/>
      <c r="G51" s="853"/>
      <c r="H51" s="853"/>
      <c r="J51" s="67"/>
    </row>
    <row r="52" spans="1:11" ht="15.75" customHeight="1">
      <c r="A52" s="218"/>
      <c r="B52" s="218"/>
      <c r="C52" s="218"/>
      <c r="D52" s="218"/>
      <c r="E52" s="191"/>
      <c r="F52" s="218"/>
      <c r="G52" s="218"/>
      <c r="J52" s="218"/>
      <c r="K52" s="218"/>
    </row>
    <row r="53" spans="1:11" ht="39.75" customHeight="1">
      <c r="A53" s="218"/>
      <c r="B53" s="218"/>
      <c r="C53" s="218"/>
      <c r="D53" s="218"/>
      <c r="E53" s="191"/>
      <c r="F53" s="218"/>
      <c r="G53" s="218"/>
      <c r="J53" s="218"/>
      <c r="K53" s="218"/>
    </row>
    <row r="54" spans="1:11" ht="15.75" customHeight="1">
      <c r="A54" s="218"/>
      <c r="B54" s="218"/>
      <c r="C54" s="218"/>
      <c r="D54" s="218"/>
      <c r="E54" s="191"/>
      <c r="F54" s="218"/>
      <c r="G54" s="218"/>
      <c r="J54" s="218"/>
      <c r="K54" s="218"/>
    </row>
    <row r="55" spans="1:10" ht="15.75" customHeight="1">
      <c r="A55" s="218"/>
      <c r="B55" s="218"/>
      <c r="C55" s="210" t="str">
        <f>BCDKT!E171</f>
        <v>LÊ NGỌC BÍCH</v>
      </c>
      <c r="D55" s="854" t="str">
        <f>BCDKT!H171</f>
        <v>NGUYỄN DUY HÙNG</v>
      </c>
      <c r="E55" s="854"/>
      <c r="F55" s="854"/>
      <c r="G55" s="854"/>
      <c r="H55" s="854"/>
      <c r="J55" s="67"/>
    </row>
  </sheetData>
  <mergeCells count="8">
    <mergeCell ref="D50:H50"/>
    <mergeCell ref="D51:H51"/>
    <mergeCell ref="D55:H55"/>
    <mergeCell ref="A6:C6"/>
    <mergeCell ref="B31:C31"/>
    <mergeCell ref="B14:C14"/>
    <mergeCell ref="B45:C45"/>
    <mergeCell ref="B47:C47"/>
  </mergeCells>
  <printOptions/>
  <pageMargins left="0.5" right="0.23" top="0.5" bottom="0.6" header="0.29" footer="0.41"/>
  <pageSetup firstPageNumber="9" useFirstPageNumber="1" horizontalDpi="600" verticalDpi="600" orientation="portrait" paperSize="9" r:id="rId1"/>
  <headerFooter alignWithMargins="0">
    <oddFooter>&amp;L&amp;9Caùc thuyeát minh töø trang 12 ñeán trang 29 laø phaàn khoâng theå taùch rôøi cuûa baùo caùo naøy.&amp;R&amp;9Trang &amp;P</oddFooter>
  </headerFooter>
</worksheet>
</file>

<file path=xl/worksheets/sheet3.xml><?xml version="1.0" encoding="utf-8"?>
<worksheet xmlns="http://schemas.openxmlformats.org/spreadsheetml/2006/main" xmlns:r="http://schemas.openxmlformats.org/officeDocument/2006/relationships">
  <dimension ref="A1:K63"/>
  <sheetViews>
    <sheetView workbookViewId="0" topLeftCell="C10">
      <selection activeCell="H6" sqref="H6"/>
    </sheetView>
  </sheetViews>
  <sheetFormatPr defaultColWidth="9.00390625" defaultRowHeight="12.75"/>
  <cols>
    <col min="1" max="1" width="2.75390625" style="67" customWidth="1"/>
    <col min="2" max="2" width="3.00390625" style="67" customWidth="1"/>
    <col min="3" max="3" width="4.625" style="67" customWidth="1"/>
    <col min="4" max="5" width="9.125" style="67" customWidth="1"/>
    <col min="6" max="6" width="31.125" style="67" customWidth="1"/>
    <col min="7" max="7" width="7.375" style="67" customWidth="1"/>
    <col min="8" max="8" width="20.75390625" style="67" customWidth="1"/>
    <col min="9" max="9" width="19.875" style="196" customWidth="1"/>
    <col min="10" max="10" width="9.125" style="67" customWidth="1"/>
    <col min="11" max="11" width="16.00390625" style="67" bestFit="1" customWidth="1"/>
    <col min="12" max="16384" width="9.125" style="67" customWidth="1"/>
  </cols>
  <sheetData>
    <row r="1" spans="1:9" ht="18.75" customHeight="1">
      <c r="A1" s="65" t="str">
        <f>TM!A1</f>
        <v>CÔNG TY CỔ PHẦN ĐẦU TƯ VÀ VẬN TẢI DẦU KHÍ VINASHIN VÀ CÔNG TY CON</v>
      </c>
      <c r="C1" s="66"/>
      <c r="D1" s="66"/>
      <c r="E1" s="193"/>
      <c r="F1" s="71"/>
      <c r="G1" s="79"/>
      <c r="H1" s="79"/>
      <c r="I1" s="67"/>
    </row>
    <row r="2" spans="1:9" ht="15.75" customHeight="1">
      <c r="A2" s="65"/>
      <c r="C2" s="66"/>
      <c r="D2" s="66"/>
      <c r="E2" s="193"/>
      <c r="F2" s="71"/>
      <c r="G2" s="79"/>
      <c r="H2" s="79"/>
      <c r="I2" s="67"/>
    </row>
    <row r="3" spans="1:9" ht="21.75" customHeight="1">
      <c r="A3" s="641" t="s">
        <v>698</v>
      </c>
      <c r="C3" s="69"/>
      <c r="D3" s="69"/>
      <c r="E3" s="197"/>
      <c r="F3" s="198"/>
      <c r="G3" s="197"/>
      <c r="H3" s="197"/>
      <c r="I3" s="67"/>
    </row>
    <row r="4" spans="1:9" ht="18.75" customHeight="1">
      <c r="A4" s="65" t="str">
        <f>TM!A4</f>
        <v>Cho niên độ kết thúc ngày 31 tháng 12 năm 2007</v>
      </c>
      <c r="C4" s="66"/>
      <c r="D4" s="66"/>
      <c r="E4" s="193"/>
      <c r="F4" s="71"/>
      <c r="G4" s="79"/>
      <c r="H4" s="79"/>
      <c r="I4" s="286" t="str">
        <f>KQKD1!H4</f>
        <v>Đơn vị tính: VNĐ</v>
      </c>
    </row>
    <row r="5" spans="1:9" s="218" customFormat="1" ht="17.25" customHeight="1" thickBot="1">
      <c r="A5" s="69"/>
      <c r="B5" s="68"/>
      <c r="C5" s="69"/>
      <c r="D5" s="69"/>
      <c r="E5" s="69"/>
      <c r="F5" s="69"/>
      <c r="G5" s="69"/>
      <c r="H5" s="69"/>
      <c r="I5" s="286"/>
    </row>
    <row r="6" spans="1:9" s="218" customFormat="1" ht="30" customHeight="1" thickTop="1">
      <c r="A6" s="843" t="s">
        <v>113</v>
      </c>
      <c r="B6" s="844"/>
      <c r="C6" s="844"/>
      <c r="D6" s="844"/>
      <c r="E6" s="844"/>
      <c r="F6" s="845"/>
      <c r="G6" s="711" t="s">
        <v>21</v>
      </c>
      <c r="H6" s="566" t="str">
        <f>KQKD1!G6</f>
        <v>Năm 2007</v>
      </c>
      <c r="I6" s="202" t="str">
        <f>KQKD1!H6</f>
        <v>Năm 2006</v>
      </c>
    </row>
    <row r="7" spans="1:9" s="218" customFormat="1" ht="7.5" customHeight="1">
      <c r="A7" s="567"/>
      <c r="B7" s="568"/>
      <c r="C7" s="568"/>
      <c r="D7" s="568"/>
      <c r="E7" s="568"/>
      <c r="F7" s="569"/>
      <c r="G7" s="570"/>
      <c r="H7" s="571"/>
      <c r="I7" s="114"/>
    </row>
    <row r="8" spans="1:9" s="218" customFormat="1" ht="15.75" customHeight="1">
      <c r="A8" s="712" t="s">
        <v>699</v>
      </c>
      <c r="F8" s="221"/>
      <c r="G8" s="573"/>
      <c r="H8" s="574"/>
      <c r="I8" s="575"/>
    </row>
    <row r="9" spans="1:9" s="218" customFormat="1" ht="7.5" customHeight="1">
      <c r="A9" s="572"/>
      <c r="F9" s="221"/>
      <c r="G9" s="573"/>
      <c r="H9" s="574"/>
      <c r="I9" s="575"/>
    </row>
    <row r="10" spans="1:9" s="218" customFormat="1" ht="24.75" customHeight="1">
      <c r="A10" s="714" t="s">
        <v>226</v>
      </c>
      <c r="B10" s="698" t="s">
        <v>700</v>
      </c>
      <c r="F10" s="221"/>
      <c r="G10" s="713" t="s">
        <v>205</v>
      </c>
      <c r="H10" s="239">
        <f>KQKD1!G38</f>
        <v>82238903006</v>
      </c>
      <c r="I10" s="575">
        <v>19444803807</v>
      </c>
    </row>
    <row r="11" spans="1:9" s="218" customFormat="1" ht="24.75" customHeight="1">
      <c r="A11" s="714" t="s">
        <v>148</v>
      </c>
      <c r="B11" s="698" t="s">
        <v>701</v>
      </c>
      <c r="C11" s="264"/>
      <c r="F11" s="221"/>
      <c r="G11" s="577"/>
      <c r="H11" s="236"/>
      <c r="I11" s="578"/>
    </row>
    <row r="12" spans="1:9" s="218" customFormat="1" ht="18" customHeight="1">
      <c r="A12" s="579"/>
      <c r="B12" s="699" t="s">
        <v>702</v>
      </c>
      <c r="C12" s="264"/>
      <c r="F12" s="221"/>
      <c r="G12" s="717" t="s">
        <v>234</v>
      </c>
      <c r="H12" s="236">
        <f>73635588189+12399242</f>
        <v>73647987431</v>
      </c>
      <c r="I12" s="578">
        <v>28492860481</v>
      </c>
    </row>
    <row r="13" spans="1:9" s="218" customFormat="1" ht="18" customHeight="1">
      <c r="A13" s="580"/>
      <c r="B13" s="699" t="s">
        <v>703</v>
      </c>
      <c r="C13" s="264"/>
      <c r="F13" s="221"/>
      <c r="G13" s="717" t="s">
        <v>206</v>
      </c>
      <c r="H13" s="236">
        <v>4525675234</v>
      </c>
      <c r="I13" s="578">
        <v>1474324766</v>
      </c>
    </row>
    <row r="14" spans="1:9" s="218" customFormat="1" ht="18" customHeight="1">
      <c r="A14" s="580"/>
      <c r="B14" s="699" t="s">
        <v>704</v>
      </c>
      <c r="C14" s="264"/>
      <c r="F14" s="221"/>
      <c r="G14" s="717" t="s">
        <v>624</v>
      </c>
      <c r="H14" s="236">
        <f>558619397+14109+241559+1757684+5996+7206436+134396320+30451632+7353+4051585+11136+181425000+1060303403+1395675332+8923216+24981983+101984000+445072828+479798414+938603794+1+12198737+452025+48487166+648440+2578253+19306749-26780-7260000-70966373-43227341-42157285-35086128-46933495-151337284-212182500-1260-646101602-452260000-6882750-67008670-90669993-34392066-187593089-150-25089-192030812-1042857-415800-599618-145073951-10762844-154780-2756516-12625-287100-2040291-1327711</f>
        <v>3006585788</v>
      </c>
      <c r="I14" s="578">
        <v>4714788235</v>
      </c>
    </row>
    <row r="15" spans="1:9" s="218" customFormat="1" ht="18" customHeight="1">
      <c r="A15" s="580"/>
      <c r="B15" s="699" t="s">
        <v>705</v>
      </c>
      <c r="C15" s="264"/>
      <c r="F15" s="221"/>
      <c r="G15" s="717" t="s">
        <v>207</v>
      </c>
      <c r="H15" s="236">
        <v>-48573521329</v>
      </c>
      <c r="I15" s="578">
        <v>2234877902</v>
      </c>
    </row>
    <row r="16" spans="1:9" s="218" customFormat="1" ht="18" customHeight="1">
      <c r="A16" s="580"/>
      <c r="B16" s="715" t="s">
        <v>706</v>
      </c>
      <c r="C16" s="264"/>
      <c r="F16" s="221"/>
      <c r="G16" s="717" t="s">
        <v>208</v>
      </c>
      <c r="H16" s="236">
        <f>KQKD1!G25</f>
        <v>67013941421</v>
      </c>
      <c r="I16" s="578">
        <v>32768747216</v>
      </c>
    </row>
    <row r="17" spans="1:9" s="231" customFormat="1" ht="33" customHeight="1">
      <c r="A17" s="714" t="s">
        <v>152</v>
      </c>
      <c r="B17" s="839" t="s">
        <v>707</v>
      </c>
      <c r="C17" s="840"/>
      <c r="D17" s="840"/>
      <c r="E17" s="840"/>
      <c r="F17" s="841"/>
      <c r="G17" s="713" t="s">
        <v>227</v>
      </c>
      <c r="H17" s="239">
        <f>SUM(H10:H16)</f>
        <v>181859571551</v>
      </c>
      <c r="I17" s="584">
        <f>SUM(I10:I16)</f>
        <v>89130402407</v>
      </c>
    </row>
    <row r="18" spans="1:9" s="262" customFormat="1" ht="18" customHeight="1">
      <c r="A18" s="585"/>
      <c r="B18" s="715" t="s">
        <v>708</v>
      </c>
      <c r="C18" s="581"/>
      <c r="F18" s="586"/>
      <c r="G18" s="718" t="s">
        <v>228</v>
      </c>
      <c r="H18" s="588">
        <v>-511738319431</v>
      </c>
      <c r="I18" s="589">
        <v>-125337165240</v>
      </c>
    </row>
    <row r="19" spans="1:9" s="218" customFormat="1" ht="18" customHeight="1">
      <c r="A19" s="580"/>
      <c r="B19" s="715" t="s">
        <v>709</v>
      </c>
      <c r="C19" s="264"/>
      <c r="F19" s="221"/>
      <c r="G19" s="717" t="s">
        <v>210</v>
      </c>
      <c r="H19" s="236">
        <v>-32558128239</v>
      </c>
      <c r="I19" s="578">
        <v>-687937322</v>
      </c>
    </row>
    <row r="20" spans="1:9" s="218" customFormat="1" ht="18" customHeight="1">
      <c r="A20" s="580"/>
      <c r="B20" s="836" t="s">
        <v>710</v>
      </c>
      <c r="C20" s="837"/>
      <c r="D20" s="837"/>
      <c r="E20" s="837"/>
      <c r="F20" s="838"/>
      <c r="G20" s="717" t="s">
        <v>211</v>
      </c>
      <c r="H20" s="236">
        <f>1180677831148-H14+37168727649+2355684079</f>
        <v>1217195657088</v>
      </c>
      <c r="I20" s="578">
        <v>2302068030</v>
      </c>
    </row>
    <row r="21" spans="1:9" s="218" customFormat="1" ht="18" customHeight="1">
      <c r="A21" s="580"/>
      <c r="B21" s="715" t="s">
        <v>711</v>
      </c>
      <c r="C21" s="264"/>
      <c r="F21" s="221"/>
      <c r="G21" s="717" t="s">
        <v>229</v>
      </c>
      <c r="H21" s="236">
        <v>-13420678651</v>
      </c>
      <c r="I21" s="589">
        <v>-7566167760</v>
      </c>
    </row>
    <row r="22" spans="1:9" s="262" customFormat="1" ht="18" customHeight="1">
      <c r="A22" s="585"/>
      <c r="B22" s="715" t="s">
        <v>712</v>
      </c>
      <c r="C22" s="581"/>
      <c r="F22" s="586"/>
      <c r="G22" s="587">
        <v>13</v>
      </c>
      <c r="H22" s="588">
        <v>-50810523676</v>
      </c>
      <c r="I22" s="589">
        <v>-13405936508</v>
      </c>
    </row>
    <row r="23" spans="1:9" s="262" customFormat="1" ht="18" customHeight="1">
      <c r="A23" s="585"/>
      <c r="B23" s="715" t="s">
        <v>713</v>
      </c>
      <c r="C23" s="581"/>
      <c r="F23" s="586"/>
      <c r="G23" s="587">
        <v>14</v>
      </c>
      <c r="H23" s="588">
        <v>-1457989060</v>
      </c>
      <c r="I23" s="589">
        <v>0</v>
      </c>
    </row>
    <row r="24" spans="1:9" s="218" customFormat="1" ht="18" customHeight="1">
      <c r="A24" s="580"/>
      <c r="B24" s="715" t="s">
        <v>714</v>
      </c>
      <c r="C24" s="264"/>
      <c r="F24" s="221"/>
      <c r="G24" s="577">
        <v>15</v>
      </c>
      <c r="H24" s="236">
        <v>11540705000</v>
      </c>
      <c r="I24" s="578">
        <v>22292343</v>
      </c>
    </row>
    <row r="25" spans="1:9" s="218" customFormat="1" ht="18" customHeight="1">
      <c r="A25" s="580"/>
      <c r="B25" s="715" t="s">
        <v>715</v>
      </c>
      <c r="C25" s="264"/>
      <c r="F25" s="221"/>
      <c r="G25" s="577">
        <v>16</v>
      </c>
      <c r="H25" s="236">
        <v>-14098144163</v>
      </c>
      <c r="I25" s="578">
        <v>-1413675529</v>
      </c>
    </row>
    <row r="26" spans="1:9" s="231" customFormat="1" ht="24.75" customHeight="1">
      <c r="A26" s="719" t="s">
        <v>716</v>
      </c>
      <c r="B26" s="427"/>
      <c r="C26" s="582"/>
      <c r="F26" s="583"/>
      <c r="G26" s="576">
        <v>20</v>
      </c>
      <c r="H26" s="239">
        <f>SUM(H17:H25)</f>
        <v>786512150419</v>
      </c>
      <c r="I26" s="584">
        <f>SUM(I17:I25)</f>
        <v>-56956119579</v>
      </c>
    </row>
    <row r="27" spans="1:9" s="218" customFormat="1" ht="10.5" customHeight="1">
      <c r="A27" s="580"/>
      <c r="B27" s="581"/>
      <c r="C27" s="264"/>
      <c r="F27" s="221"/>
      <c r="G27" s="577"/>
      <c r="H27" s="236"/>
      <c r="I27" s="578"/>
    </row>
    <row r="28" spans="1:9" s="218" customFormat="1" ht="24.75" customHeight="1">
      <c r="A28" s="846" t="s">
        <v>717</v>
      </c>
      <c r="B28" s="833"/>
      <c r="C28" s="833"/>
      <c r="D28" s="833"/>
      <c r="E28" s="833"/>
      <c r="F28" s="834"/>
      <c r="G28" s="573"/>
      <c r="H28" s="214"/>
      <c r="I28" s="575"/>
    </row>
    <row r="29" spans="1:9" s="218" customFormat="1" ht="6" customHeight="1">
      <c r="A29" s="233"/>
      <c r="B29" s="210"/>
      <c r="C29" s="210"/>
      <c r="D29" s="210"/>
      <c r="E29" s="210"/>
      <c r="F29" s="591"/>
      <c r="G29" s="573"/>
      <c r="H29" s="214"/>
      <c r="I29" s="575"/>
    </row>
    <row r="30" spans="1:9" s="262" customFormat="1" ht="18" customHeight="1">
      <c r="A30" s="721" t="s">
        <v>147</v>
      </c>
      <c r="B30" s="720" t="s">
        <v>718</v>
      </c>
      <c r="C30" s="356"/>
      <c r="D30" s="356"/>
      <c r="E30" s="356"/>
      <c r="F30" s="592"/>
      <c r="G30" s="593">
        <v>21</v>
      </c>
      <c r="H30" s="594">
        <v>-585312497970</v>
      </c>
      <c r="I30" s="595">
        <v>-359966673853</v>
      </c>
    </row>
    <row r="31" spans="1:9" s="218" customFormat="1" ht="18" customHeight="1">
      <c r="A31" s="708" t="s">
        <v>148</v>
      </c>
      <c r="B31" s="694" t="s">
        <v>719</v>
      </c>
      <c r="C31" s="210"/>
      <c r="D31" s="210"/>
      <c r="E31" s="210"/>
      <c r="F31" s="591"/>
      <c r="G31" s="596">
        <v>22</v>
      </c>
      <c r="H31" s="222">
        <v>166077200000</v>
      </c>
      <c r="I31" s="597">
        <v>3100000000</v>
      </c>
    </row>
    <row r="32" spans="1:9" s="218" customFormat="1" ht="18" customHeight="1">
      <c r="A32" s="708" t="s">
        <v>152</v>
      </c>
      <c r="B32" s="694" t="s">
        <v>720</v>
      </c>
      <c r="C32" s="210"/>
      <c r="D32" s="210"/>
      <c r="E32" s="210"/>
      <c r="F32" s="591"/>
      <c r="G32" s="596">
        <v>23</v>
      </c>
      <c r="H32" s="222">
        <v>0</v>
      </c>
      <c r="I32" s="597">
        <v>0</v>
      </c>
    </row>
    <row r="33" spans="1:9" s="218" customFormat="1" ht="18" customHeight="1">
      <c r="A33" s="708" t="s">
        <v>155</v>
      </c>
      <c r="B33" s="694" t="s">
        <v>721</v>
      </c>
      <c r="C33" s="210"/>
      <c r="D33" s="210"/>
      <c r="E33" s="210"/>
      <c r="F33" s="591"/>
      <c r="G33" s="596">
        <v>24</v>
      </c>
      <c r="H33" s="222">
        <v>0</v>
      </c>
      <c r="I33" s="597">
        <v>0</v>
      </c>
    </row>
    <row r="34" spans="1:9" s="262" customFormat="1" ht="18" customHeight="1">
      <c r="A34" s="721" t="s">
        <v>156</v>
      </c>
      <c r="B34" s="720" t="s">
        <v>722</v>
      </c>
      <c r="C34" s="356"/>
      <c r="D34" s="356"/>
      <c r="E34" s="356"/>
      <c r="F34" s="592"/>
      <c r="G34" s="593">
        <v>25</v>
      </c>
      <c r="H34" s="594">
        <v>-413730851928</v>
      </c>
      <c r="I34" s="595">
        <v>0</v>
      </c>
    </row>
    <row r="35" spans="1:9" s="218" customFormat="1" ht="15.75" customHeight="1" hidden="1">
      <c r="A35" s="722" t="s">
        <v>157</v>
      </c>
      <c r="B35" s="694" t="s">
        <v>723</v>
      </c>
      <c r="C35" s="264"/>
      <c r="F35" s="221"/>
      <c r="G35" s="577">
        <v>26</v>
      </c>
      <c r="H35" s="236">
        <v>0</v>
      </c>
      <c r="I35" s="578">
        <v>0</v>
      </c>
    </row>
    <row r="36" spans="1:9" s="218" customFormat="1" ht="15.75" customHeight="1" hidden="1">
      <c r="A36" s="722" t="s">
        <v>159</v>
      </c>
      <c r="B36" s="699" t="s">
        <v>724</v>
      </c>
      <c r="C36" s="264"/>
      <c r="F36" s="221"/>
      <c r="G36" s="577">
        <v>27</v>
      </c>
      <c r="H36" s="236">
        <v>0</v>
      </c>
      <c r="I36" s="578">
        <v>0</v>
      </c>
    </row>
    <row r="37" spans="1:9" s="218" customFormat="1" ht="27.75" customHeight="1">
      <c r="A37" s="719" t="s">
        <v>725</v>
      </c>
      <c r="B37" s="263"/>
      <c r="F37" s="221"/>
      <c r="G37" s="573">
        <v>30</v>
      </c>
      <c r="H37" s="214">
        <f>SUM(H30:H36)</f>
        <v>-832966149898</v>
      </c>
      <c r="I37" s="598">
        <f>SUM(I30:I36)</f>
        <v>-356866673853</v>
      </c>
    </row>
    <row r="38" spans="1:9" s="218" customFormat="1" ht="9.75" customHeight="1">
      <c r="A38" s="580"/>
      <c r="B38" s="231"/>
      <c r="F38" s="221"/>
      <c r="G38" s="573"/>
      <c r="H38" s="214"/>
      <c r="I38" s="575"/>
    </row>
    <row r="39" spans="1:9" s="218" customFormat="1" ht="24.75" customHeight="1">
      <c r="A39" s="846" t="s">
        <v>726</v>
      </c>
      <c r="B39" s="833"/>
      <c r="C39" s="833"/>
      <c r="D39" s="833"/>
      <c r="E39" s="833"/>
      <c r="F39" s="834"/>
      <c r="G39" s="573"/>
      <c r="H39" s="214"/>
      <c r="I39" s="575"/>
    </row>
    <row r="40" spans="1:9" s="218" customFormat="1" ht="6" customHeight="1">
      <c r="A40" s="233"/>
      <c r="B40" s="210"/>
      <c r="C40" s="210"/>
      <c r="D40" s="210"/>
      <c r="E40" s="210"/>
      <c r="F40" s="591"/>
      <c r="G40" s="573"/>
      <c r="H40" s="214"/>
      <c r="I40" s="575"/>
    </row>
    <row r="41" spans="1:9" s="218" customFormat="1" ht="18" customHeight="1">
      <c r="A41" s="708" t="s">
        <v>147</v>
      </c>
      <c r="B41" s="699" t="s">
        <v>727</v>
      </c>
      <c r="C41" s="264"/>
      <c r="F41" s="221"/>
      <c r="G41" s="577">
        <v>31</v>
      </c>
      <c r="H41" s="236">
        <v>0</v>
      </c>
      <c r="I41" s="578">
        <v>0</v>
      </c>
    </row>
    <row r="42" spans="1:9" s="218" customFormat="1" ht="18" customHeight="1">
      <c r="A42" s="708" t="s">
        <v>148</v>
      </c>
      <c r="B42" s="699" t="s">
        <v>728</v>
      </c>
      <c r="C42" s="264"/>
      <c r="F42" s="221"/>
      <c r="G42" s="577">
        <v>32</v>
      </c>
      <c r="H42" s="236">
        <v>0</v>
      </c>
      <c r="I42" s="578">
        <v>0</v>
      </c>
    </row>
    <row r="43" spans="1:9" s="218" customFormat="1" ht="18" customHeight="1">
      <c r="A43" s="708" t="s">
        <v>152</v>
      </c>
      <c r="B43" s="699" t="s">
        <v>729</v>
      </c>
      <c r="C43" s="264"/>
      <c r="F43" s="221"/>
      <c r="G43" s="577">
        <v>33</v>
      </c>
      <c r="H43" s="236">
        <v>966695706104</v>
      </c>
      <c r="I43" s="578">
        <v>763363550056</v>
      </c>
    </row>
    <row r="44" spans="1:9" s="218" customFormat="1" ht="18" customHeight="1">
      <c r="A44" s="708" t="s">
        <v>155</v>
      </c>
      <c r="B44" s="715" t="s">
        <v>730</v>
      </c>
      <c r="C44" s="264"/>
      <c r="F44" s="221"/>
      <c r="G44" s="577">
        <v>34</v>
      </c>
      <c r="H44" s="236">
        <v>-522241906706</v>
      </c>
      <c r="I44" s="578">
        <v>-325259399749</v>
      </c>
    </row>
    <row r="45" spans="1:9" s="218" customFormat="1" ht="18" customHeight="1">
      <c r="A45" s="708" t="s">
        <v>156</v>
      </c>
      <c r="B45" s="715" t="s">
        <v>731</v>
      </c>
      <c r="C45" s="264"/>
      <c r="F45" s="221"/>
      <c r="G45" s="577">
        <v>35</v>
      </c>
      <c r="H45" s="236">
        <v>-89015162</v>
      </c>
      <c r="I45" s="578">
        <v>-178680347</v>
      </c>
    </row>
    <row r="46" spans="1:9" s="218" customFormat="1" ht="18" customHeight="1">
      <c r="A46" s="722" t="s">
        <v>157</v>
      </c>
      <c r="B46" s="715" t="s">
        <v>732</v>
      </c>
      <c r="C46" s="264"/>
      <c r="F46" s="221"/>
      <c r="G46" s="577">
        <v>36</v>
      </c>
      <c r="H46" s="236">
        <v>0</v>
      </c>
      <c r="I46" s="578">
        <v>0</v>
      </c>
    </row>
    <row r="47" spans="1:9" ht="14.25">
      <c r="A47" s="719" t="s">
        <v>733</v>
      </c>
      <c r="B47" s="263"/>
      <c r="C47" s="218"/>
      <c r="D47" s="218"/>
      <c r="E47" s="218"/>
      <c r="F47" s="221"/>
      <c r="G47" s="573">
        <v>40</v>
      </c>
      <c r="H47" s="214">
        <f>SUM(H41:H46)</f>
        <v>444364784236</v>
      </c>
      <c r="I47" s="598">
        <f>SUM(I41:I46)</f>
        <v>437925469960</v>
      </c>
    </row>
    <row r="48" spans="1:9" ht="3" customHeight="1">
      <c r="A48" s="590"/>
      <c r="B48" s="263"/>
      <c r="C48" s="218"/>
      <c r="D48" s="218"/>
      <c r="E48" s="218"/>
      <c r="F48" s="221"/>
      <c r="G48" s="573"/>
      <c r="H48" s="214"/>
      <c r="I48" s="575"/>
    </row>
    <row r="49" spans="1:9" ht="15.75" customHeight="1">
      <c r="A49" s="719" t="s">
        <v>734</v>
      </c>
      <c r="B49" s="263"/>
      <c r="C49" s="218"/>
      <c r="D49" s="218"/>
      <c r="E49" s="218"/>
      <c r="F49" s="221"/>
      <c r="G49" s="573">
        <v>50</v>
      </c>
      <c r="H49" s="214">
        <f>H26+H37+H47</f>
        <v>397910784757</v>
      </c>
      <c r="I49" s="598">
        <f>I26+I37+I47</f>
        <v>24102676528</v>
      </c>
    </row>
    <row r="50" spans="1:9" ht="3" customHeight="1">
      <c r="A50" s="580"/>
      <c r="B50" s="263"/>
      <c r="C50" s="218"/>
      <c r="D50" s="218"/>
      <c r="E50" s="218"/>
      <c r="F50" s="221"/>
      <c r="G50" s="573"/>
      <c r="H50" s="214"/>
      <c r="I50" s="575"/>
    </row>
    <row r="51" spans="1:9" ht="15.75" customHeight="1">
      <c r="A51" s="580"/>
      <c r="B51" s="723" t="s">
        <v>735</v>
      </c>
      <c r="C51" s="218"/>
      <c r="D51" s="218"/>
      <c r="E51" s="218"/>
      <c r="F51" s="221"/>
      <c r="G51" s="573">
        <v>60</v>
      </c>
      <c r="H51" s="214">
        <f>BCDKT!I12</f>
        <v>30405470607</v>
      </c>
      <c r="I51" s="575">
        <v>6302794079</v>
      </c>
    </row>
    <row r="52" spans="1:9" ht="3" customHeight="1">
      <c r="A52" s="580"/>
      <c r="B52" s="263"/>
      <c r="C52" s="218"/>
      <c r="D52" s="218"/>
      <c r="E52" s="218"/>
      <c r="F52" s="221"/>
      <c r="G52" s="573"/>
      <c r="H52" s="214"/>
      <c r="I52" s="575"/>
    </row>
    <row r="53" spans="1:9" ht="16.5" customHeight="1">
      <c r="A53" s="580"/>
      <c r="B53" s="724" t="s">
        <v>736</v>
      </c>
      <c r="C53" s="218"/>
      <c r="D53" s="218"/>
      <c r="E53" s="218"/>
      <c r="F53" s="221"/>
      <c r="G53" s="596">
        <v>61</v>
      </c>
      <c r="H53" s="222">
        <v>0</v>
      </c>
      <c r="I53" s="597">
        <v>0</v>
      </c>
    </row>
    <row r="54" spans="1:9" ht="3" customHeight="1">
      <c r="A54" s="580"/>
      <c r="B54" s="228"/>
      <c r="C54" s="218"/>
      <c r="D54" s="218"/>
      <c r="E54" s="218"/>
      <c r="F54" s="221"/>
      <c r="G54" s="596"/>
      <c r="H54" s="222"/>
      <c r="I54" s="597"/>
    </row>
    <row r="55" spans="1:11" ht="15.75" customHeight="1">
      <c r="A55" s="580"/>
      <c r="B55" s="723" t="s">
        <v>737</v>
      </c>
      <c r="C55" s="218"/>
      <c r="D55" s="218"/>
      <c r="E55" s="218"/>
      <c r="F55" s="221"/>
      <c r="G55" s="573">
        <v>70</v>
      </c>
      <c r="H55" s="214">
        <f>H49+H51+H53</f>
        <v>428316255364</v>
      </c>
      <c r="I55" s="598">
        <f>I49+I51+I53</f>
        <v>30405470607</v>
      </c>
      <c r="J55" s="194"/>
      <c r="K55" s="194">
        <f>H55-BCDKT!H12</f>
        <v>0</v>
      </c>
    </row>
    <row r="56" spans="1:9" ht="4.5" customHeight="1" thickBot="1">
      <c r="A56" s="250"/>
      <c r="B56" s="599"/>
      <c r="C56" s="599"/>
      <c r="D56" s="599"/>
      <c r="E56" s="599"/>
      <c r="F56" s="252"/>
      <c r="G56" s="253"/>
      <c r="H56" s="600"/>
      <c r="I56" s="256"/>
    </row>
    <row r="57" ht="11.25" customHeight="1" thickTop="1"/>
    <row r="58" spans="1:9" ht="15.75" customHeight="1">
      <c r="A58" s="218"/>
      <c r="B58" s="218"/>
      <c r="C58" s="218"/>
      <c r="D58" s="218"/>
      <c r="E58" s="260"/>
      <c r="G58" s="601" t="str">
        <f>KQKD1!D50</f>
        <v>TP. Hồ Chí Minh, ngày 22 tháng 1 năm 2008</v>
      </c>
      <c r="H58" s="601"/>
      <c r="I58" s="601"/>
    </row>
    <row r="59" spans="1:9" ht="9.75" customHeight="1">
      <c r="A59" s="218"/>
      <c r="B59" s="218"/>
      <c r="D59" s="261"/>
      <c r="E59" s="260"/>
      <c r="G59" s="853"/>
      <c r="H59" s="853"/>
      <c r="I59" s="853"/>
    </row>
    <row r="60" spans="1:9" ht="15.75" customHeight="1">
      <c r="A60" s="218"/>
      <c r="B60" s="218"/>
      <c r="C60" s="218"/>
      <c r="D60" s="218"/>
      <c r="E60" s="676" t="s">
        <v>121</v>
      </c>
      <c r="F60" s="218"/>
      <c r="G60" s="835" t="s">
        <v>123</v>
      </c>
      <c r="H60" s="853"/>
      <c r="I60" s="853"/>
    </row>
    <row r="61" spans="1:9" ht="24" customHeight="1">
      <c r="A61" s="218"/>
      <c r="B61" s="218"/>
      <c r="C61" s="218"/>
      <c r="D61" s="218"/>
      <c r="E61" s="260"/>
      <c r="G61" s="218"/>
      <c r="H61" s="218"/>
      <c r="I61" s="126"/>
    </row>
    <row r="62" spans="1:9" ht="28.5" customHeight="1">
      <c r="A62" s="218"/>
      <c r="B62" s="218"/>
      <c r="C62" s="218"/>
      <c r="D62" s="218"/>
      <c r="E62" s="260"/>
      <c r="G62" s="218"/>
      <c r="H62" s="218"/>
      <c r="I62" s="126"/>
    </row>
    <row r="63" spans="2:9" ht="20.25" customHeight="1">
      <c r="B63" s="218"/>
      <c r="D63" s="261"/>
      <c r="E63" s="602" t="str">
        <f>KQKD1!C55</f>
        <v>LÊ NGỌC BÍCH</v>
      </c>
      <c r="G63" s="854" t="str">
        <f>KQKD1!D55</f>
        <v>NGUYỄN DUY HÙNG</v>
      </c>
      <c r="H63" s="854"/>
      <c r="I63" s="854"/>
    </row>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sheetData>
  <mergeCells count="8">
    <mergeCell ref="G59:I59"/>
    <mergeCell ref="G63:I63"/>
    <mergeCell ref="A6:F6"/>
    <mergeCell ref="A28:F28"/>
    <mergeCell ref="A39:F39"/>
    <mergeCell ref="G60:I60"/>
    <mergeCell ref="B20:F20"/>
    <mergeCell ref="B17:F17"/>
  </mergeCells>
  <printOptions/>
  <pageMargins left="0.66" right="0.28" top="0.56" bottom="0.48" header="0.18" footer="0.29"/>
  <pageSetup firstPageNumber="10" useFirstPageNumber="1" horizontalDpi="600" verticalDpi="600" orientation="portrait" paperSize="9" r:id="rId1"/>
  <headerFooter alignWithMargins="0">
    <oddFooter>&amp;L&amp;9Caùc thuyeát minh töø trang 12 ñeán trang 29 laø phaàn khoâng theå taùch rôøi cuûa baùo caùo naøy.&amp;R&amp;9Trang &amp;P</oddFooter>
  </headerFooter>
</worksheet>
</file>

<file path=xl/worksheets/sheet4.xml><?xml version="1.0" encoding="utf-8"?>
<worksheet xmlns="http://schemas.openxmlformats.org/spreadsheetml/2006/main" xmlns:r="http://schemas.openxmlformats.org/officeDocument/2006/relationships">
  <dimension ref="A1:Q172"/>
  <sheetViews>
    <sheetView workbookViewId="0" topLeftCell="A19">
      <selection activeCell="H60" sqref="H60"/>
    </sheetView>
  </sheetViews>
  <sheetFormatPr defaultColWidth="9.00390625" defaultRowHeight="12.75"/>
  <cols>
    <col min="1" max="1" width="1.37890625" style="66" customWidth="1"/>
    <col min="2" max="2" width="1.00390625" style="66" customWidth="1"/>
    <col min="3" max="3" width="2.00390625" style="66" customWidth="1"/>
    <col min="4" max="4" width="2.25390625" style="66" customWidth="1"/>
    <col min="5" max="5" width="44.375" style="66" customWidth="1"/>
    <col min="6" max="6" width="7.25390625" style="66" customWidth="1"/>
    <col min="7" max="7" width="7.125" style="195" customWidth="1"/>
    <col min="8" max="8" width="20.875" style="66" customWidth="1"/>
    <col min="9" max="9" width="19.625" style="66" customWidth="1"/>
    <col min="10" max="10" width="9.125" style="66" customWidth="1"/>
    <col min="11" max="11" width="16.25390625" style="66" hidden="1" customWidth="1"/>
    <col min="12" max="12" width="18.875" style="66" hidden="1" customWidth="1"/>
    <col min="13" max="13" width="16.125" style="66" hidden="1" customWidth="1"/>
    <col min="14" max="14" width="20.625" style="71" bestFit="1" customWidth="1"/>
    <col min="15" max="15" width="18.75390625" style="66" bestFit="1" customWidth="1"/>
    <col min="16" max="16" width="15.75390625" style="66" bestFit="1" customWidth="1"/>
    <col min="17" max="17" width="15.00390625" style="66" bestFit="1" customWidth="1"/>
    <col min="18" max="16384" width="9.125" style="66" customWidth="1"/>
  </cols>
  <sheetData>
    <row r="1" spans="1:9" ht="13.5">
      <c r="A1" s="639" t="s">
        <v>556</v>
      </c>
      <c r="I1" s="640" t="s">
        <v>622</v>
      </c>
    </row>
    <row r="2" ht="11.25" customHeight="1">
      <c r="A2" s="65"/>
    </row>
    <row r="3" ht="15.75" customHeight="1" hidden="1">
      <c r="A3" s="65"/>
    </row>
    <row r="4" ht="13.5">
      <c r="A4" s="639" t="s">
        <v>557</v>
      </c>
    </row>
    <row r="5" spans="1:13" ht="13.5">
      <c r="A5" s="641" t="s">
        <v>18</v>
      </c>
      <c r="C5" s="69"/>
      <c r="D5" s="69"/>
      <c r="E5" s="69"/>
      <c r="F5" s="69"/>
      <c r="G5" s="204"/>
      <c r="H5" s="69"/>
      <c r="I5" s="69"/>
      <c r="L5" s="69"/>
      <c r="M5" s="69"/>
    </row>
    <row r="6" ht="6.75" customHeight="1"/>
    <row r="7" ht="14.25" thickBot="1">
      <c r="I7" s="642" t="s">
        <v>19</v>
      </c>
    </row>
    <row r="8" spans="1:14" s="83" customFormat="1" ht="30" customHeight="1" thickTop="1">
      <c r="A8" s="80"/>
      <c r="B8" s="643" t="s">
        <v>20</v>
      </c>
      <c r="C8" s="81"/>
      <c r="D8" s="81"/>
      <c r="E8" s="82"/>
      <c r="F8" s="644" t="s">
        <v>21</v>
      </c>
      <c r="G8" s="645" t="s">
        <v>22</v>
      </c>
      <c r="H8" s="133">
        <v>39447</v>
      </c>
      <c r="I8" s="134">
        <v>39082</v>
      </c>
      <c r="L8" s="646" t="s">
        <v>23</v>
      </c>
      <c r="M8" s="646" t="s">
        <v>24</v>
      </c>
      <c r="N8" s="479"/>
    </row>
    <row r="9" spans="1:14" s="83" customFormat="1" ht="9.75" customHeight="1">
      <c r="A9" s="84"/>
      <c r="B9" s="85"/>
      <c r="C9" s="85"/>
      <c r="D9" s="85"/>
      <c r="E9" s="86"/>
      <c r="F9" s="87"/>
      <c r="G9" s="88"/>
      <c r="H9" s="89"/>
      <c r="I9" s="90"/>
      <c r="L9" s="89"/>
      <c r="M9" s="89"/>
      <c r="N9" s="479"/>
    </row>
    <row r="10" spans="1:13" ht="15.75" customHeight="1">
      <c r="A10" s="647" t="s">
        <v>145</v>
      </c>
      <c r="B10" s="70"/>
      <c r="C10" s="641" t="s">
        <v>25</v>
      </c>
      <c r="D10" s="69"/>
      <c r="E10" s="76"/>
      <c r="F10" s="91">
        <v>100</v>
      </c>
      <c r="G10" s="92"/>
      <c r="H10" s="93">
        <f>H12+H16+H20+H28+H32</f>
        <v>1170337017499</v>
      </c>
      <c r="I10" s="94">
        <f>I12+I16+I20+I28+I32</f>
        <v>241057537242</v>
      </c>
      <c r="L10" s="93">
        <f>L12+L16+L20+L28+L32</f>
        <v>1169767629991</v>
      </c>
      <c r="M10" s="93"/>
    </row>
    <row r="11" spans="1:13" ht="9" customHeight="1">
      <c r="A11" s="75"/>
      <c r="B11" s="70"/>
      <c r="C11" s="68"/>
      <c r="D11" s="69"/>
      <c r="E11" s="76"/>
      <c r="F11" s="91"/>
      <c r="G11" s="92"/>
      <c r="H11" s="93"/>
      <c r="I11" s="94"/>
      <c r="L11" s="93"/>
      <c r="M11" s="93"/>
    </row>
    <row r="12" spans="1:14" s="99" customFormat="1" ht="15.75" customHeight="1">
      <c r="A12" s="84"/>
      <c r="B12" s="85"/>
      <c r="C12" s="648" t="s">
        <v>146</v>
      </c>
      <c r="D12" s="651" t="s">
        <v>26</v>
      </c>
      <c r="E12" s="86"/>
      <c r="F12" s="96">
        <v>110</v>
      </c>
      <c r="G12" s="652" t="s">
        <v>653</v>
      </c>
      <c r="H12" s="97">
        <f>SUM(H13:H14)</f>
        <v>421714375423</v>
      </c>
      <c r="I12" s="98">
        <f>SUM(I13:I14)</f>
        <v>30405470607</v>
      </c>
      <c r="L12" s="97">
        <f>SUM(L13:L14)</f>
        <v>421714375423</v>
      </c>
      <c r="M12" s="97"/>
      <c r="N12" s="505"/>
    </row>
    <row r="13" spans="1:13" ht="15.75" customHeight="1">
      <c r="A13" s="75"/>
      <c r="B13" s="69"/>
      <c r="C13" s="70"/>
      <c r="D13" s="653" t="s">
        <v>147</v>
      </c>
      <c r="E13" s="654" t="s">
        <v>27</v>
      </c>
      <c r="F13" s="101">
        <v>111</v>
      </c>
      <c r="G13" s="436"/>
      <c r="H13" s="77">
        <f>L13+M13</f>
        <v>421714375423</v>
      </c>
      <c r="I13" s="103">
        <v>30405470607</v>
      </c>
      <c r="K13" s="71">
        <f>383628090+22530195888+7491646629</f>
        <v>30405470607</v>
      </c>
      <c r="L13" s="77">
        <f>140828208+403427275178+18146272037</f>
        <v>421714375423</v>
      </c>
      <c r="M13" s="77"/>
    </row>
    <row r="14" spans="1:13" ht="15.75" customHeight="1" hidden="1">
      <c r="A14" s="75"/>
      <c r="B14" s="69"/>
      <c r="C14" s="70"/>
      <c r="D14" s="653" t="s">
        <v>148</v>
      </c>
      <c r="E14" s="654" t="s">
        <v>28</v>
      </c>
      <c r="F14" s="101">
        <v>112</v>
      </c>
      <c r="G14" s="436"/>
      <c r="H14" s="77"/>
      <c r="I14" s="103">
        <v>0</v>
      </c>
      <c r="L14" s="77"/>
      <c r="M14" s="77"/>
    </row>
    <row r="15" spans="1:13" ht="7.5" customHeight="1">
      <c r="A15" s="75"/>
      <c r="B15" s="69"/>
      <c r="C15" s="70"/>
      <c r="D15" s="100"/>
      <c r="E15" s="76"/>
      <c r="F15" s="101"/>
      <c r="G15" s="92"/>
      <c r="H15" s="77"/>
      <c r="I15" s="74"/>
      <c r="L15" s="77"/>
      <c r="M15" s="77"/>
    </row>
    <row r="16" spans="1:14" s="83" customFormat="1" ht="15.75" customHeight="1">
      <c r="A16" s="104"/>
      <c r="B16" s="105"/>
      <c r="C16" s="648" t="s">
        <v>153</v>
      </c>
      <c r="D16" s="651" t="s">
        <v>29</v>
      </c>
      <c r="E16" s="106"/>
      <c r="F16" s="96">
        <v>120</v>
      </c>
      <c r="G16" s="113"/>
      <c r="H16" s="97">
        <f>SUM(H17:H18)</f>
        <v>0</v>
      </c>
      <c r="I16" s="98">
        <f>SUM(I17:I18)</f>
        <v>0</v>
      </c>
      <c r="L16" s="97">
        <f>SUM(L17:L18)</f>
        <v>0</v>
      </c>
      <c r="M16" s="97"/>
      <c r="N16" s="479"/>
    </row>
    <row r="17" spans="1:13" ht="15.75" customHeight="1" hidden="1">
      <c r="A17" s="75"/>
      <c r="B17" s="69"/>
      <c r="C17" s="70"/>
      <c r="D17" s="653" t="s">
        <v>147</v>
      </c>
      <c r="E17" s="654" t="s">
        <v>30</v>
      </c>
      <c r="F17" s="101">
        <v>121</v>
      </c>
      <c r="G17" s="92"/>
      <c r="H17" s="77">
        <f>L17+M17</f>
        <v>0</v>
      </c>
      <c r="I17" s="74">
        <v>0</v>
      </c>
      <c r="L17" s="73">
        <v>0</v>
      </c>
      <c r="M17" s="73"/>
    </row>
    <row r="18" spans="1:13" ht="15.75" customHeight="1" hidden="1">
      <c r="A18" s="75"/>
      <c r="B18" s="69"/>
      <c r="C18" s="70"/>
      <c r="D18" s="653" t="s">
        <v>148</v>
      </c>
      <c r="E18" s="654" t="s">
        <v>31</v>
      </c>
      <c r="F18" s="101">
        <v>129</v>
      </c>
      <c r="G18" s="92"/>
      <c r="H18" s="77">
        <f>L18+M18</f>
        <v>0</v>
      </c>
      <c r="I18" s="74">
        <v>0</v>
      </c>
      <c r="L18" s="73">
        <v>0</v>
      </c>
      <c r="M18" s="73"/>
    </row>
    <row r="19" spans="1:13" ht="8.25" customHeight="1">
      <c r="A19" s="75"/>
      <c r="B19" s="69"/>
      <c r="C19" s="70"/>
      <c r="D19" s="100"/>
      <c r="E19" s="76"/>
      <c r="F19" s="101"/>
      <c r="G19" s="92"/>
      <c r="H19" s="73"/>
      <c r="I19" s="74"/>
      <c r="L19" s="73"/>
      <c r="M19" s="73"/>
    </row>
    <row r="20" spans="1:14" s="83" customFormat="1" ht="15.75" customHeight="1">
      <c r="A20" s="104"/>
      <c r="B20" s="105"/>
      <c r="C20" s="655" t="s">
        <v>153</v>
      </c>
      <c r="D20" s="651" t="s">
        <v>32</v>
      </c>
      <c r="E20" s="106"/>
      <c r="F20" s="96">
        <v>130</v>
      </c>
      <c r="G20" s="652" t="s">
        <v>654</v>
      </c>
      <c r="H20" s="97">
        <f>SUM(H21:H26)</f>
        <v>691353855718</v>
      </c>
      <c r="I20" s="108">
        <f>SUM(I21:I26)</f>
        <v>189446465238</v>
      </c>
      <c r="L20" s="97">
        <f>SUM(L21:L26)</f>
        <v>690784468210</v>
      </c>
      <c r="M20" s="97"/>
      <c r="N20" s="479"/>
    </row>
    <row r="21" spans="1:15" ht="15.75" customHeight="1">
      <c r="A21" s="75"/>
      <c r="B21" s="69"/>
      <c r="C21" s="70"/>
      <c r="D21" s="653" t="s">
        <v>147</v>
      </c>
      <c r="E21" s="654" t="s">
        <v>33</v>
      </c>
      <c r="F21" s="109">
        <v>131</v>
      </c>
      <c r="G21" s="158"/>
      <c r="H21" s="77">
        <f>L21+M21</f>
        <v>57251759606</v>
      </c>
      <c r="I21" s="74">
        <v>153179946085</v>
      </c>
      <c r="K21" s="504">
        <f>I21-I104</f>
        <v>153055607776</v>
      </c>
      <c r="L21" s="71">
        <v>57251759606</v>
      </c>
      <c r="M21" s="77"/>
      <c r="O21" s="504"/>
    </row>
    <row r="22" spans="1:15" ht="13.5">
      <c r="A22" s="75"/>
      <c r="B22" s="69"/>
      <c r="C22" s="70"/>
      <c r="D22" s="653" t="s">
        <v>148</v>
      </c>
      <c r="E22" s="654" t="s">
        <v>34</v>
      </c>
      <c r="F22" s="109">
        <v>132</v>
      </c>
      <c r="G22" s="158"/>
      <c r="H22" s="77">
        <f>L22+M22</f>
        <v>566885696655</v>
      </c>
      <c r="I22" s="74">
        <v>21397981384</v>
      </c>
      <c r="L22" s="71">
        <v>566885696655</v>
      </c>
      <c r="M22" s="77"/>
      <c r="O22" s="504"/>
    </row>
    <row r="23" spans="1:15" ht="13.5">
      <c r="A23" s="75"/>
      <c r="B23" s="69"/>
      <c r="C23" s="70"/>
      <c r="D23" s="656" t="s">
        <v>152</v>
      </c>
      <c r="E23" s="654" t="s">
        <v>35</v>
      </c>
      <c r="F23" s="109">
        <v>133</v>
      </c>
      <c r="G23" s="92"/>
      <c r="H23" s="77">
        <v>0</v>
      </c>
      <c r="I23" s="74">
        <v>0</v>
      </c>
      <c r="L23" s="77">
        <v>0</v>
      </c>
      <c r="M23" s="77"/>
      <c r="O23" s="504"/>
    </row>
    <row r="24" spans="1:15" ht="13.5">
      <c r="A24" s="75"/>
      <c r="B24" s="69"/>
      <c r="C24" s="70"/>
      <c r="D24" s="656" t="s">
        <v>155</v>
      </c>
      <c r="E24" s="654" t="s">
        <v>36</v>
      </c>
      <c r="F24" s="109">
        <v>134</v>
      </c>
      <c r="G24" s="92"/>
      <c r="H24" s="77">
        <f>L24+M24</f>
        <v>0</v>
      </c>
      <c r="I24" s="74">
        <v>0</v>
      </c>
      <c r="L24" s="77">
        <v>0</v>
      </c>
      <c r="M24" s="77"/>
      <c r="O24" s="504"/>
    </row>
    <row r="25" spans="1:16" ht="13.5">
      <c r="A25" s="75"/>
      <c r="B25" s="69"/>
      <c r="C25" s="70"/>
      <c r="D25" s="653" t="s">
        <v>156</v>
      </c>
      <c r="E25" s="654" t="s">
        <v>37</v>
      </c>
      <c r="F25" s="109">
        <v>138</v>
      </c>
      <c r="G25" s="158"/>
      <c r="H25" s="77">
        <f>L25+M25+'AE'!H39</f>
        <v>73216399457</v>
      </c>
      <c r="I25" s="74">
        <v>16342862535</v>
      </c>
      <c r="K25" s="504">
        <f>I25-I110</f>
        <v>13496989205</v>
      </c>
      <c r="L25" s="77">
        <v>72647011949</v>
      </c>
      <c r="M25" s="77"/>
      <c r="O25" s="504"/>
      <c r="P25" s="504"/>
    </row>
    <row r="26" spans="1:15" ht="15.75" customHeight="1">
      <c r="A26" s="75"/>
      <c r="B26" s="69"/>
      <c r="C26" s="70"/>
      <c r="D26" s="653" t="s">
        <v>157</v>
      </c>
      <c r="E26" s="654" t="s">
        <v>38</v>
      </c>
      <c r="F26" s="109">
        <v>139</v>
      </c>
      <c r="G26" s="436"/>
      <c r="H26" s="77">
        <f>L26+M26</f>
        <v>-6000000000</v>
      </c>
      <c r="I26" s="74">
        <v>-1474324766</v>
      </c>
      <c r="L26" s="77">
        <v>-6000000000</v>
      </c>
      <c r="M26" s="77"/>
      <c r="O26" s="504"/>
    </row>
    <row r="27" spans="1:15" ht="9" customHeight="1">
      <c r="A27" s="75"/>
      <c r="B27" s="69"/>
      <c r="C27" s="70"/>
      <c r="D27" s="100"/>
      <c r="E27" s="76"/>
      <c r="F27" s="109"/>
      <c r="G27" s="436"/>
      <c r="H27" s="77"/>
      <c r="I27" s="74"/>
      <c r="L27" s="77"/>
      <c r="M27" s="77"/>
      <c r="O27" s="504"/>
    </row>
    <row r="28" spans="1:15" ht="15.75" customHeight="1">
      <c r="A28" s="75"/>
      <c r="B28" s="105"/>
      <c r="C28" s="648" t="s">
        <v>154</v>
      </c>
      <c r="D28" s="651" t="s">
        <v>39</v>
      </c>
      <c r="E28" s="76"/>
      <c r="F28" s="91">
        <v>140</v>
      </c>
      <c r="G28" s="652" t="s">
        <v>655</v>
      </c>
      <c r="H28" s="113">
        <f>SUM(H29:H30)</f>
        <v>48040277948</v>
      </c>
      <c r="I28" s="114">
        <f>SUM(I29:I30)</f>
        <v>15482149709</v>
      </c>
      <c r="L28" s="113">
        <f>SUM(L29:L30)</f>
        <v>48040277948</v>
      </c>
      <c r="M28" s="113"/>
      <c r="O28" s="504"/>
    </row>
    <row r="29" spans="1:15" ht="15.75" customHeight="1">
      <c r="A29" s="75"/>
      <c r="B29" s="69"/>
      <c r="C29" s="70"/>
      <c r="D29" s="656" t="s">
        <v>147</v>
      </c>
      <c r="E29" s="654" t="s">
        <v>39</v>
      </c>
      <c r="F29" s="657" t="s">
        <v>685</v>
      </c>
      <c r="G29" s="92"/>
      <c r="H29" s="77">
        <f>L29+M29</f>
        <v>48040277948</v>
      </c>
      <c r="I29" s="74">
        <v>15482149709</v>
      </c>
      <c r="L29" s="77">
        <f>16403871724+176197256+31460208968</f>
        <v>48040277948</v>
      </c>
      <c r="M29" s="77"/>
      <c r="O29" s="504"/>
    </row>
    <row r="30" spans="1:15" ht="14.25" customHeight="1">
      <c r="A30" s="75"/>
      <c r="B30" s="69"/>
      <c r="C30" s="70"/>
      <c r="D30" s="656" t="s">
        <v>148</v>
      </c>
      <c r="E30" s="654" t="s">
        <v>40</v>
      </c>
      <c r="F30" s="657" t="s">
        <v>686</v>
      </c>
      <c r="G30" s="92"/>
      <c r="H30" s="77">
        <f>L30+M30</f>
        <v>0</v>
      </c>
      <c r="I30" s="74">
        <v>0</v>
      </c>
      <c r="L30" s="77"/>
      <c r="M30" s="77"/>
      <c r="O30" s="504"/>
    </row>
    <row r="31" spans="1:15" ht="9" customHeight="1">
      <c r="A31" s="75"/>
      <c r="B31" s="69"/>
      <c r="C31" s="70"/>
      <c r="D31" s="100"/>
      <c r="E31" s="76"/>
      <c r="F31" s="101"/>
      <c r="G31" s="92"/>
      <c r="H31" s="77"/>
      <c r="I31" s="74"/>
      <c r="L31" s="77"/>
      <c r="M31" s="77"/>
      <c r="O31" s="504"/>
    </row>
    <row r="32" spans="1:15" s="83" customFormat="1" ht="15.75" customHeight="1">
      <c r="A32" s="104"/>
      <c r="B32" s="105"/>
      <c r="C32" s="648" t="s">
        <v>158</v>
      </c>
      <c r="D32" s="651" t="s">
        <v>41</v>
      </c>
      <c r="E32" s="106"/>
      <c r="F32" s="658" t="s">
        <v>161</v>
      </c>
      <c r="G32" s="652" t="s">
        <v>656</v>
      </c>
      <c r="H32" s="97">
        <f>SUM(H33:H36)</f>
        <v>9228508410</v>
      </c>
      <c r="I32" s="108">
        <f>SUM(I33:I36)</f>
        <v>5723451688</v>
      </c>
      <c r="L32" s="97">
        <f>SUM(L33:L36)</f>
        <v>9228508410</v>
      </c>
      <c r="M32" s="97"/>
      <c r="N32" s="479"/>
      <c r="O32" s="504"/>
    </row>
    <row r="33" spans="1:15" ht="15.75" customHeight="1">
      <c r="A33" s="75"/>
      <c r="B33" s="69"/>
      <c r="C33" s="70"/>
      <c r="D33" s="656" t="s">
        <v>147</v>
      </c>
      <c r="E33" s="654" t="s">
        <v>42</v>
      </c>
      <c r="F33" s="657" t="s">
        <v>687</v>
      </c>
      <c r="G33" s="92"/>
      <c r="H33" s="77">
        <f>L33+M33</f>
        <v>20628098</v>
      </c>
      <c r="I33" s="74">
        <v>156133132</v>
      </c>
      <c r="L33" s="77">
        <v>20628098</v>
      </c>
      <c r="M33" s="77"/>
      <c r="O33" s="504"/>
    </row>
    <row r="34" spans="1:15" ht="15.75" customHeight="1">
      <c r="A34" s="75"/>
      <c r="B34" s="69"/>
      <c r="C34" s="70"/>
      <c r="D34" s="656" t="s">
        <v>148</v>
      </c>
      <c r="E34" s="654" t="s">
        <v>43</v>
      </c>
      <c r="F34" s="657" t="s">
        <v>582</v>
      </c>
      <c r="G34" s="92"/>
      <c r="H34" s="77">
        <f>L34+M34</f>
        <v>7420662140</v>
      </c>
      <c r="I34" s="74">
        <v>3130391564</v>
      </c>
      <c r="K34" s="513">
        <f>1929782699+2129008355</f>
        <v>4058791054</v>
      </c>
      <c r="L34" s="77">
        <v>7420662140</v>
      </c>
      <c r="M34" s="77"/>
      <c r="O34" s="504"/>
    </row>
    <row r="35" spans="1:15" ht="15.75" customHeight="1">
      <c r="A35" s="75"/>
      <c r="B35" s="69"/>
      <c r="C35" s="70"/>
      <c r="D35" s="656" t="s">
        <v>152</v>
      </c>
      <c r="E35" s="654" t="s">
        <v>44</v>
      </c>
      <c r="F35" s="657" t="s">
        <v>587</v>
      </c>
      <c r="G35" s="435"/>
      <c r="H35" s="77">
        <f>L35+M35</f>
        <v>0</v>
      </c>
      <c r="I35" s="74">
        <v>0</v>
      </c>
      <c r="L35" s="77"/>
      <c r="M35" s="77"/>
      <c r="O35" s="504"/>
    </row>
    <row r="36" spans="1:15" ht="15.75" customHeight="1">
      <c r="A36" s="75"/>
      <c r="B36" s="69"/>
      <c r="C36" s="70"/>
      <c r="D36" s="656" t="s">
        <v>155</v>
      </c>
      <c r="E36" s="654" t="s">
        <v>41</v>
      </c>
      <c r="F36" s="657" t="s">
        <v>688</v>
      </c>
      <c r="G36" s="92"/>
      <c r="H36" s="77">
        <f>L36+M36</f>
        <v>1787218172</v>
      </c>
      <c r="I36" s="74">
        <v>2436926992</v>
      </c>
      <c r="K36" s="66">
        <f>1735295933+701631059</f>
        <v>2436926992</v>
      </c>
      <c r="L36" s="77">
        <f>1752345172+34873000</f>
        <v>1787218172</v>
      </c>
      <c r="M36" s="77"/>
      <c r="O36" s="504"/>
    </row>
    <row r="37" spans="1:15" ht="9" customHeight="1">
      <c r="A37" s="75"/>
      <c r="B37" s="69"/>
      <c r="C37" s="70"/>
      <c r="D37" s="110"/>
      <c r="E37" s="76"/>
      <c r="F37" s="101"/>
      <c r="G37" s="92"/>
      <c r="H37" s="77"/>
      <c r="I37" s="74"/>
      <c r="L37" s="77"/>
      <c r="M37" s="77"/>
      <c r="O37" s="504"/>
    </row>
    <row r="38" spans="1:15" ht="15.75" customHeight="1">
      <c r="A38" s="659" t="s">
        <v>166</v>
      </c>
      <c r="B38" s="70"/>
      <c r="C38" s="641" t="s">
        <v>45</v>
      </c>
      <c r="D38" s="69"/>
      <c r="E38" s="76"/>
      <c r="F38" s="660" t="s">
        <v>167</v>
      </c>
      <c r="G38" s="112"/>
      <c r="H38" s="93">
        <f>H40+H50+H71+H75+H83</f>
        <v>1322943293853</v>
      </c>
      <c r="I38" s="94">
        <f>I40+I50+I71+I75+I83</f>
        <v>499248947661</v>
      </c>
      <c r="L38" s="93">
        <f>L40+L50+L71+L75+L83</f>
        <v>1322943293853</v>
      </c>
      <c r="M38" s="93"/>
      <c r="O38" s="504"/>
    </row>
    <row r="39" spans="1:15" ht="9" customHeight="1">
      <c r="A39" s="75"/>
      <c r="B39" s="70"/>
      <c r="C39" s="68"/>
      <c r="D39" s="69"/>
      <c r="E39" s="76"/>
      <c r="F39" s="91"/>
      <c r="G39" s="112"/>
      <c r="H39" s="93"/>
      <c r="I39" s="94"/>
      <c r="L39" s="93"/>
      <c r="M39" s="93"/>
      <c r="O39" s="504"/>
    </row>
    <row r="40" spans="1:15" s="83" customFormat="1" ht="15.75" customHeight="1">
      <c r="A40" s="104"/>
      <c r="B40" s="105"/>
      <c r="C40" s="648" t="s">
        <v>146</v>
      </c>
      <c r="D40" s="651" t="s">
        <v>46</v>
      </c>
      <c r="E40" s="106"/>
      <c r="F40" s="658" t="s">
        <v>168</v>
      </c>
      <c r="G40" s="139"/>
      <c r="H40" s="97">
        <f>H41+H42+H43</f>
        <v>11680000</v>
      </c>
      <c r="I40" s="108">
        <f>SUM(I41:I44)</f>
        <v>11680000</v>
      </c>
      <c r="L40" s="97">
        <f>L41+L42+L43</f>
        <v>11680000</v>
      </c>
      <c r="M40" s="97"/>
      <c r="N40" s="479"/>
      <c r="O40" s="504"/>
    </row>
    <row r="41" spans="1:15" ht="15.75" customHeight="1" hidden="1">
      <c r="A41" s="75"/>
      <c r="B41" s="69"/>
      <c r="C41" s="70"/>
      <c r="D41" s="653" t="s">
        <v>147</v>
      </c>
      <c r="E41" s="654" t="s">
        <v>47</v>
      </c>
      <c r="F41" s="657" t="s">
        <v>169</v>
      </c>
      <c r="G41" s="112"/>
      <c r="H41" s="73"/>
      <c r="I41" s="74">
        <v>0</v>
      </c>
      <c r="L41" s="73"/>
      <c r="M41" s="73"/>
      <c r="O41" s="504"/>
    </row>
    <row r="42" spans="1:15" ht="15.75" customHeight="1" hidden="1">
      <c r="A42" s="75"/>
      <c r="B42" s="69"/>
      <c r="C42" s="70"/>
      <c r="D42" s="653" t="s">
        <v>148</v>
      </c>
      <c r="E42" s="654" t="s">
        <v>48</v>
      </c>
      <c r="F42" s="657" t="s">
        <v>689</v>
      </c>
      <c r="G42" s="437"/>
      <c r="H42" s="73"/>
      <c r="I42" s="74">
        <v>0</v>
      </c>
      <c r="L42" s="73"/>
      <c r="M42" s="73"/>
      <c r="O42" s="504"/>
    </row>
    <row r="43" spans="1:15" ht="15.75" customHeight="1">
      <c r="A43" s="75"/>
      <c r="B43" s="69"/>
      <c r="C43" s="70"/>
      <c r="D43" s="653" t="s">
        <v>147</v>
      </c>
      <c r="E43" s="654" t="s">
        <v>49</v>
      </c>
      <c r="F43" s="657" t="s">
        <v>690</v>
      </c>
      <c r="G43" s="437"/>
      <c r="H43" s="77">
        <f>L43+M43</f>
        <v>11680000</v>
      </c>
      <c r="I43" s="74">
        <v>11680000</v>
      </c>
      <c r="L43" s="73">
        <v>11680000</v>
      </c>
      <c r="M43" s="73"/>
      <c r="O43" s="504"/>
    </row>
    <row r="44" spans="1:15" ht="15.75" customHeight="1" hidden="1">
      <c r="A44" s="75"/>
      <c r="B44" s="69"/>
      <c r="C44" s="70"/>
      <c r="D44" s="656" t="s">
        <v>155</v>
      </c>
      <c r="E44" s="654" t="s">
        <v>50</v>
      </c>
      <c r="F44" s="657" t="s">
        <v>691</v>
      </c>
      <c r="G44" s="438"/>
      <c r="H44" s="77"/>
      <c r="I44" s="74">
        <v>0</v>
      </c>
      <c r="L44" s="77"/>
      <c r="M44" s="77"/>
      <c r="O44" s="504"/>
    </row>
    <row r="45" spans="1:15" ht="9" customHeight="1">
      <c r="A45" s="75"/>
      <c r="B45" s="69"/>
      <c r="C45" s="70"/>
      <c r="D45" s="100"/>
      <c r="E45" s="76"/>
      <c r="F45" s="101"/>
      <c r="G45" s="113"/>
      <c r="H45" s="77"/>
      <c r="I45" s="115"/>
      <c r="L45" s="77"/>
      <c r="M45" s="77"/>
      <c r="O45" s="504"/>
    </row>
    <row r="46" spans="1:15" s="83" customFormat="1" ht="15.75" customHeight="1" hidden="1">
      <c r="A46" s="104"/>
      <c r="B46" s="105"/>
      <c r="C46" s="648" t="s">
        <v>162</v>
      </c>
      <c r="D46" s="651" t="s">
        <v>51</v>
      </c>
      <c r="E46" s="106"/>
      <c r="F46" s="658" t="s">
        <v>163</v>
      </c>
      <c r="G46" s="113"/>
      <c r="H46" s="97">
        <f>SUM(H47:H48)</f>
        <v>0</v>
      </c>
      <c r="I46" s="116">
        <v>0</v>
      </c>
      <c r="L46" s="97">
        <f>SUM(L47:L48)</f>
        <v>0</v>
      </c>
      <c r="M46" s="97"/>
      <c r="N46" s="479"/>
      <c r="O46" s="504"/>
    </row>
    <row r="47" spans="1:15" ht="15.75" customHeight="1" hidden="1">
      <c r="A47" s="75"/>
      <c r="B47" s="69"/>
      <c r="C47" s="70"/>
      <c r="D47" s="653" t="s">
        <v>147</v>
      </c>
      <c r="E47" s="654" t="s">
        <v>52</v>
      </c>
      <c r="F47" s="657" t="s">
        <v>164</v>
      </c>
      <c r="G47" s="113"/>
      <c r="H47" s="73"/>
      <c r="I47" s="74">
        <v>0</v>
      </c>
      <c r="L47" s="73"/>
      <c r="M47" s="73"/>
      <c r="O47" s="504"/>
    </row>
    <row r="48" spans="1:15" ht="15.75" customHeight="1" hidden="1">
      <c r="A48" s="75"/>
      <c r="B48" s="69"/>
      <c r="C48" s="70"/>
      <c r="D48" s="653" t="s">
        <v>148</v>
      </c>
      <c r="E48" s="654" t="s">
        <v>53</v>
      </c>
      <c r="F48" s="657" t="s">
        <v>165</v>
      </c>
      <c r="G48" s="113"/>
      <c r="H48" s="73"/>
      <c r="I48" s="74">
        <v>0</v>
      </c>
      <c r="L48" s="73"/>
      <c r="M48" s="73"/>
      <c r="O48" s="504"/>
    </row>
    <row r="49" spans="1:15" ht="15.75" customHeight="1" hidden="1">
      <c r="A49" s="75"/>
      <c r="B49" s="69"/>
      <c r="C49" s="70"/>
      <c r="D49" s="100"/>
      <c r="E49" s="76"/>
      <c r="F49" s="101"/>
      <c r="G49" s="113"/>
      <c r="H49" s="73"/>
      <c r="I49" s="74"/>
      <c r="L49" s="73"/>
      <c r="M49" s="73"/>
      <c r="O49" s="504"/>
    </row>
    <row r="50" spans="1:15" s="83" customFormat="1" ht="15.75" customHeight="1">
      <c r="A50" s="104"/>
      <c r="B50" s="105"/>
      <c r="C50" s="648" t="s">
        <v>153</v>
      </c>
      <c r="D50" s="651" t="s">
        <v>54</v>
      </c>
      <c r="E50" s="106"/>
      <c r="F50" s="658" t="s">
        <v>170</v>
      </c>
      <c r="G50" s="439"/>
      <c r="H50" s="93">
        <f>H51+H54+H57+H60</f>
        <v>892937805523</v>
      </c>
      <c r="I50" s="94">
        <f>I51+I54+I57+I60</f>
        <v>498764574413</v>
      </c>
      <c r="L50" s="93">
        <f>L51+L54+L57+L60</f>
        <v>892937805523</v>
      </c>
      <c r="M50" s="93"/>
      <c r="N50" s="479"/>
      <c r="O50" s="504"/>
    </row>
    <row r="51" spans="1:15" ht="15.75" customHeight="1">
      <c r="A51" s="75"/>
      <c r="B51" s="69"/>
      <c r="C51" s="70"/>
      <c r="D51" s="653" t="s">
        <v>147</v>
      </c>
      <c r="E51" s="654" t="s">
        <v>55</v>
      </c>
      <c r="F51" s="657" t="s">
        <v>171</v>
      </c>
      <c r="G51" s="661" t="s">
        <v>658</v>
      </c>
      <c r="H51" s="102">
        <f>SUM(H52:H53)</f>
        <v>692264894137</v>
      </c>
      <c r="I51" s="74">
        <f>SUM(I52:I53)</f>
        <v>422223861061</v>
      </c>
      <c r="L51" s="102">
        <f>SUM(L52:L53)</f>
        <v>692264894137</v>
      </c>
      <c r="M51" s="102"/>
      <c r="O51" s="504"/>
    </row>
    <row r="52" spans="1:15" ht="15.75" customHeight="1">
      <c r="A52" s="75"/>
      <c r="B52" s="69"/>
      <c r="C52" s="70"/>
      <c r="D52" s="100"/>
      <c r="E52" s="662" t="s">
        <v>56</v>
      </c>
      <c r="F52" s="657" t="s">
        <v>172</v>
      </c>
      <c r="G52" s="139"/>
      <c r="H52" s="77">
        <f>L52+M52</f>
        <v>801327007057</v>
      </c>
      <c r="I52" s="74">
        <v>468332470670</v>
      </c>
      <c r="L52" s="77">
        <f>3236194429+796967759701+1123052927</f>
        <v>801327007057</v>
      </c>
      <c r="M52" s="77"/>
      <c r="O52" s="504"/>
    </row>
    <row r="53" spans="1:15" ht="13.5">
      <c r="A53" s="75"/>
      <c r="B53" s="69"/>
      <c r="C53" s="70"/>
      <c r="D53" s="100"/>
      <c r="E53" s="663" t="s">
        <v>57</v>
      </c>
      <c r="F53" s="657" t="s">
        <v>692</v>
      </c>
      <c r="G53" s="139"/>
      <c r="H53" s="77">
        <f>L53+M53</f>
        <v>-109062112920</v>
      </c>
      <c r="I53" s="74">
        <v>-46108609609</v>
      </c>
      <c r="L53" s="77">
        <v>-109062112920</v>
      </c>
      <c r="M53" s="77"/>
      <c r="O53" s="504"/>
    </row>
    <row r="54" spans="1:15" ht="14.25">
      <c r="A54" s="75"/>
      <c r="B54" s="69"/>
      <c r="C54" s="70"/>
      <c r="D54" s="653" t="s">
        <v>148</v>
      </c>
      <c r="E54" s="654" t="s">
        <v>58</v>
      </c>
      <c r="F54" s="657" t="s">
        <v>693</v>
      </c>
      <c r="G54" s="661" t="s">
        <v>659</v>
      </c>
      <c r="H54" s="77">
        <v>0</v>
      </c>
      <c r="I54" s="74">
        <f>SUM(I55:I56)</f>
        <v>321137779</v>
      </c>
      <c r="L54" s="77"/>
      <c r="M54" s="77"/>
      <c r="O54" s="504"/>
    </row>
    <row r="55" spans="1:15" ht="13.5">
      <c r="A55" s="75"/>
      <c r="B55" s="69"/>
      <c r="C55" s="70"/>
      <c r="D55" s="100"/>
      <c r="E55" s="662" t="s">
        <v>56</v>
      </c>
      <c r="F55" s="657" t="s">
        <v>694</v>
      </c>
      <c r="G55" s="139"/>
      <c r="H55" s="77">
        <f>L55+M55</f>
        <v>0</v>
      </c>
      <c r="I55" s="74">
        <v>570911611</v>
      </c>
      <c r="L55" s="77"/>
      <c r="M55" s="77"/>
      <c r="O55" s="504"/>
    </row>
    <row r="56" spans="1:15" ht="13.5">
      <c r="A56" s="75"/>
      <c r="B56" s="69"/>
      <c r="C56" s="70"/>
      <c r="D56" s="100"/>
      <c r="E56" s="663" t="s">
        <v>57</v>
      </c>
      <c r="F56" s="657" t="s">
        <v>695</v>
      </c>
      <c r="G56" s="139"/>
      <c r="H56" s="77">
        <f>L56+M56</f>
        <v>0</v>
      </c>
      <c r="I56" s="74">
        <v>-249773832</v>
      </c>
      <c r="L56" s="77"/>
      <c r="M56" s="77"/>
      <c r="O56" s="504"/>
    </row>
    <row r="57" spans="1:15" ht="14.25">
      <c r="A57" s="75"/>
      <c r="B57" s="69"/>
      <c r="C57" s="70"/>
      <c r="D57" s="653" t="s">
        <v>148</v>
      </c>
      <c r="E57" s="654" t="s">
        <v>59</v>
      </c>
      <c r="F57" s="657" t="s">
        <v>761</v>
      </c>
      <c r="G57" s="661" t="s">
        <v>680</v>
      </c>
      <c r="H57" s="77">
        <f>SUM(H58:H59)</f>
        <v>7426666656</v>
      </c>
      <c r="I57" s="74">
        <f>SUM(I58:I59)</f>
        <v>8054999991</v>
      </c>
      <c r="L57" s="77">
        <f>SUM(L58:L59)</f>
        <v>7426666656</v>
      </c>
      <c r="M57" s="77"/>
      <c r="O57" s="504"/>
    </row>
    <row r="58" spans="1:15" ht="15.75" customHeight="1">
      <c r="A58" s="75"/>
      <c r="B58" s="69"/>
      <c r="C58" s="70"/>
      <c r="D58" s="100"/>
      <c r="E58" s="662" t="s">
        <v>56</v>
      </c>
      <c r="F58" s="657" t="s">
        <v>173</v>
      </c>
      <c r="G58" s="113"/>
      <c r="H58" s="77">
        <f>L58+M58</f>
        <v>10385000000</v>
      </c>
      <c r="I58" s="74">
        <v>10385000000</v>
      </c>
      <c r="L58" s="77">
        <v>10385000000</v>
      </c>
      <c r="M58" s="77"/>
      <c r="O58" s="504"/>
    </row>
    <row r="59" spans="1:15" ht="15.75" customHeight="1">
      <c r="A59" s="75"/>
      <c r="B59" s="69"/>
      <c r="C59" s="70"/>
      <c r="D59" s="100"/>
      <c r="E59" s="663" t="s">
        <v>57</v>
      </c>
      <c r="F59" s="657" t="s">
        <v>174</v>
      </c>
      <c r="G59" s="113"/>
      <c r="H59" s="77">
        <f>L59+M59</f>
        <v>-2958333344</v>
      </c>
      <c r="I59" s="74">
        <v>-2330000009</v>
      </c>
      <c r="L59" s="77">
        <v>-2958333344</v>
      </c>
      <c r="M59" s="77"/>
      <c r="O59" s="504"/>
    </row>
    <row r="60" spans="1:15" ht="15.75" customHeight="1">
      <c r="A60" s="75"/>
      <c r="B60" s="69"/>
      <c r="C60" s="70"/>
      <c r="D60" s="653" t="s">
        <v>152</v>
      </c>
      <c r="E60" s="654" t="s">
        <v>60</v>
      </c>
      <c r="F60" s="657" t="s">
        <v>179</v>
      </c>
      <c r="G60" s="652" t="s">
        <v>657</v>
      </c>
      <c r="H60" s="77">
        <f>L60+M60</f>
        <v>193246244730</v>
      </c>
      <c r="I60" s="74">
        <v>68164575582</v>
      </c>
      <c r="L60" s="77">
        <f>113810938862+79435305868</f>
        <v>193246244730</v>
      </c>
      <c r="M60" s="77"/>
      <c r="O60" s="504"/>
    </row>
    <row r="61" spans="1:15" ht="3.75" customHeight="1">
      <c r="A61" s="117"/>
      <c r="B61" s="118"/>
      <c r="C61" s="119"/>
      <c r="D61" s="120"/>
      <c r="E61" s="121"/>
      <c r="F61" s="122"/>
      <c r="G61" s="440"/>
      <c r="H61" s="123"/>
      <c r="I61" s="124"/>
      <c r="L61" s="123"/>
      <c r="M61" s="123"/>
      <c r="O61" s="504"/>
    </row>
    <row r="62" spans="1:15" ht="6.75" customHeight="1" hidden="1">
      <c r="A62" s="69"/>
      <c r="B62" s="69"/>
      <c r="C62" s="70"/>
      <c r="D62" s="100"/>
      <c r="E62" s="69"/>
      <c r="F62" s="101"/>
      <c r="G62" s="441"/>
      <c r="H62" s="126"/>
      <c r="I62" s="78"/>
      <c r="L62" s="126"/>
      <c r="M62" s="126"/>
      <c r="O62" s="504"/>
    </row>
    <row r="63" spans="1:15" ht="15.75" customHeight="1">
      <c r="A63" s="68" t="str">
        <f>A1</f>
        <v>CÔNG TY CỔ PHẦN ĐẦU TƯ VÀ VẬN TẢI DẦU KHÍ VINASHIN </v>
      </c>
      <c r="B63" s="69"/>
      <c r="C63" s="70"/>
      <c r="D63" s="100"/>
      <c r="E63" s="69"/>
      <c r="F63" s="101"/>
      <c r="G63" s="441"/>
      <c r="H63" s="126"/>
      <c r="I63" s="78"/>
      <c r="L63" s="126"/>
      <c r="M63" s="126"/>
      <c r="O63" s="504"/>
    </row>
    <row r="64" spans="1:15" ht="15.75" customHeight="1">
      <c r="A64" s="68"/>
      <c r="B64" s="69"/>
      <c r="C64" s="70"/>
      <c r="D64" s="100"/>
      <c r="E64" s="69"/>
      <c r="F64" s="101"/>
      <c r="G64" s="441"/>
      <c r="H64" s="126"/>
      <c r="I64" s="78"/>
      <c r="L64" s="126"/>
      <c r="M64" s="126"/>
      <c r="O64" s="504"/>
    </row>
    <row r="65" spans="1:15" ht="15.75" customHeight="1">
      <c r="A65" s="641" t="s">
        <v>558</v>
      </c>
      <c r="B65" s="69"/>
      <c r="C65" s="70"/>
      <c r="D65" s="100"/>
      <c r="E65" s="69"/>
      <c r="F65" s="101"/>
      <c r="G65" s="441"/>
      <c r="H65" s="126"/>
      <c r="I65" s="78"/>
      <c r="L65" s="126"/>
      <c r="M65" s="126"/>
      <c r="O65" s="504"/>
    </row>
    <row r="66" spans="1:15" ht="15.75" customHeight="1">
      <c r="A66" s="641" t="s">
        <v>18</v>
      </c>
      <c r="B66" s="69"/>
      <c r="C66" s="70"/>
      <c r="D66" s="100"/>
      <c r="E66" s="69"/>
      <c r="F66" s="101"/>
      <c r="G66" s="441"/>
      <c r="H66" s="126"/>
      <c r="I66" s="78"/>
      <c r="L66" s="126"/>
      <c r="M66" s="126"/>
      <c r="O66" s="504"/>
    </row>
    <row r="67" spans="1:15" ht="15.75" customHeight="1">
      <c r="A67" s="68"/>
      <c r="B67" s="69"/>
      <c r="C67" s="70"/>
      <c r="D67" s="100"/>
      <c r="E67" s="69"/>
      <c r="F67" s="101"/>
      <c r="G67" s="441"/>
      <c r="H67" s="126"/>
      <c r="I67" s="78"/>
      <c r="L67" s="126"/>
      <c r="M67" s="126"/>
      <c r="O67" s="504"/>
    </row>
    <row r="68" spans="1:15" ht="15.75" customHeight="1" thickBot="1">
      <c r="A68" s="127"/>
      <c r="B68" s="127"/>
      <c r="C68" s="128"/>
      <c r="D68" s="129"/>
      <c r="E68" s="127"/>
      <c r="F68" s="130"/>
      <c r="G68" s="442"/>
      <c r="H68" s="131"/>
      <c r="I68" s="132"/>
      <c r="L68" s="131"/>
      <c r="M68" s="131"/>
      <c r="O68" s="504"/>
    </row>
    <row r="69" spans="1:15" ht="34.5" customHeight="1" thickTop="1">
      <c r="A69" s="80"/>
      <c r="B69" s="643" t="s">
        <v>20</v>
      </c>
      <c r="C69" s="81"/>
      <c r="D69" s="81"/>
      <c r="E69" s="82"/>
      <c r="F69" s="644" t="s">
        <v>21</v>
      </c>
      <c r="G69" s="645" t="s">
        <v>22</v>
      </c>
      <c r="H69" s="133">
        <f>H8</f>
        <v>39447</v>
      </c>
      <c r="I69" s="134">
        <f>I8</f>
        <v>39082</v>
      </c>
      <c r="L69" s="133" t="str">
        <f>L8</f>
        <v>Vphòng</v>
      </c>
      <c r="M69" s="133"/>
      <c r="O69" s="504"/>
    </row>
    <row r="70" spans="1:15" ht="9.75" customHeight="1">
      <c r="A70" s="84"/>
      <c r="B70" s="85"/>
      <c r="C70" s="85"/>
      <c r="D70" s="85"/>
      <c r="E70" s="86"/>
      <c r="F70" s="87"/>
      <c r="G70" s="135"/>
      <c r="H70" s="136"/>
      <c r="I70" s="137"/>
      <c r="L70" s="136"/>
      <c r="M70" s="136"/>
      <c r="O70" s="504"/>
    </row>
    <row r="71" spans="1:15" s="83" customFormat="1" ht="15.75" customHeight="1">
      <c r="A71" s="104"/>
      <c r="B71" s="105"/>
      <c r="C71" s="648" t="s">
        <v>154</v>
      </c>
      <c r="D71" s="651" t="s">
        <v>62</v>
      </c>
      <c r="E71" s="106"/>
      <c r="F71" s="658" t="s">
        <v>180</v>
      </c>
      <c r="G71" s="139"/>
      <c r="H71" s="97">
        <f>SUM(H72:H73)</f>
        <v>0</v>
      </c>
      <c r="I71" s="108">
        <f>SUM(I72:I73)</f>
        <v>0</v>
      </c>
      <c r="L71" s="97">
        <f>SUM(L72:L73)</f>
        <v>0</v>
      </c>
      <c r="M71" s="97"/>
      <c r="N71" s="479"/>
      <c r="O71" s="504"/>
    </row>
    <row r="72" spans="1:15" s="83" customFormat="1" ht="15.75" customHeight="1" hidden="1">
      <c r="A72" s="104"/>
      <c r="B72" s="105"/>
      <c r="C72" s="95"/>
      <c r="D72" s="85"/>
      <c r="E72" s="663" t="s">
        <v>56</v>
      </c>
      <c r="F72" s="657" t="s">
        <v>204</v>
      </c>
      <c r="G72" s="139"/>
      <c r="H72" s="138">
        <v>0</v>
      </c>
      <c r="I72" s="116">
        <v>0</v>
      </c>
      <c r="L72" s="138">
        <v>0</v>
      </c>
      <c r="M72" s="138"/>
      <c r="N72" s="479"/>
      <c r="O72" s="504"/>
    </row>
    <row r="73" spans="1:15" s="83" customFormat="1" ht="15.75" customHeight="1" hidden="1">
      <c r="A73" s="104"/>
      <c r="B73" s="105"/>
      <c r="C73" s="95"/>
      <c r="D73" s="85"/>
      <c r="E73" s="663" t="s">
        <v>57</v>
      </c>
      <c r="F73" s="657" t="s">
        <v>762</v>
      </c>
      <c r="G73" s="139"/>
      <c r="H73" s="97"/>
      <c r="I73" s="116">
        <v>0</v>
      </c>
      <c r="L73" s="97"/>
      <c r="M73" s="97"/>
      <c r="N73" s="479"/>
      <c r="O73" s="504"/>
    </row>
    <row r="74" spans="1:15" s="83" customFormat="1" ht="15.75" customHeight="1">
      <c r="A74" s="104"/>
      <c r="B74" s="105"/>
      <c r="C74" s="95"/>
      <c r="D74" s="85"/>
      <c r="E74" s="76"/>
      <c r="F74" s="96"/>
      <c r="G74" s="139"/>
      <c r="H74" s="97"/>
      <c r="I74" s="108"/>
      <c r="L74" s="97"/>
      <c r="M74" s="97"/>
      <c r="N74" s="479"/>
      <c r="O74" s="504"/>
    </row>
    <row r="75" spans="1:15" s="83" customFormat="1" ht="14.25">
      <c r="A75" s="104"/>
      <c r="B75" s="105"/>
      <c r="C75" s="648" t="s">
        <v>158</v>
      </c>
      <c r="D75" s="651" t="s">
        <v>63</v>
      </c>
      <c r="E75" s="106"/>
      <c r="F75" s="658" t="s">
        <v>181</v>
      </c>
      <c r="G75" s="439"/>
      <c r="H75" s="97">
        <f>SUM(H76:H78)</f>
        <v>413730851928</v>
      </c>
      <c r="I75" s="108">
        <f>SUM(I76:I78)</f>
        <v>0</v>
      </c>
      <c r="L75" s="97">
        <f>SUM(L76:L78)</f>
        <v>413730851928</v>
      </c>
      <c r="M75" s="97"/>
      <c r="N75" s="479"/>
      <c r="O75" s="504"/>
    </row>
    <row r="76" spans="1:15" s="83" customFormat="1" ht="13.5">
      <c r="A76" s="104"/>
      <c r="B76" s="105"/>
      <c r="C76" s="95"/>
      <c r="D76" s="664" t="s">
        <v>147</v>
      </c>
      <c r="E76" s="654" t="s">
        <v>64</v>
      </c>
      <c r="F76" s="657" t="s">
        <v>763</v>
      </c>
      <c r="G76" s="113"/>
      <c r="H76" s="77">
        <f>L76+M76</f>
        <v>13730851928</v>
      </c>
      <c r="I76" s="74">
        <v>0</v>
      </c>
      <c r="L76" s="73">
        <v>13730851928</v>
      </c>
      <c r="M76" s="73"/>
      <c r="N76" s="479"/>
      <c r="O76" s="504"/>
    </row>
    <row r="77" spans="1:15" s="83" customFormat="1" ht="13.5">
      <c r="A77" s="104"/>
      <c r="B77" s="105"/>
      <c r="C77" s="95"/>
      <c r="D77" s="664" t="s">
        <v>148</v>
      </c>
      <c r="E77" s="654" t="s">
        <v>65</v>
      </c>
      <c r="F77" s="657" t="s">
        <v>764</v>
      </c>
      <c r="G77" s="113"/>
      <c r="H77" s="77">
        <f>L77+M77</f>
        <v>0</v>
      </c>
      <c r="I77" s="74">
        <v>0</v>
      </c>
      <c r="L77" s="73">
        <v>0</v>
      </c>
      <c r="M77" s="73"/>
      <c r="N77" s="479"/>
      <c r="O77" s="504"/>
    </row>
    <row r="78" spans="1:15" s="83" customFormat="1" ht="14.25">
      <c r="A78" s="104"/>
      <c r="B78" s="105"/>
      <c r="C78" s="95"/>
      <c r="D78" s="664" t="s">
        <v>152</v>
      </c>
      <c r="E78" s="654" t="s">
        <v>66</v>
      </c>
      <c r="F78" s="657" t="s">
        <v>765</v>
      </c>
      <c r="G78" s="652" t="s">
        <v>660</v>
      </c>
      <c r="H78" s="77">
        <f>L78+M78</f>
        <v>400000000000</v>
      </c>
      <c r="I78" s="74">
        <v>0</v>
      </c>
      <c r="L78" s="73">
        <v>400000000000</v>
      </c>
      <c r="M78" s="73"/>
      <c r="N78" s="479"/>
      <c r="O78" s="504"/>
    </row>
    <row r="79" spans="1:15" s="83" customFormat="1" ht="13.5">
      <c r="A79" s="104"/>
      <c r="B79" s="105"/>
      <c r="C79" s="95"/>
      <c r="D79" s="664" t="s">
        <v>155</v>
      </c>
      <c r="E79" s="654" t="s">
        <v>67</v>
      </c>
      <c r="F79" s="657" t="s">
        <v>766</v>
      </c>
      <c r="G79" s="113"/>
      <c r="H79" s="77">
        <f>L79+M79</f>
        <v>0</v>
      </c>
      <c r="I79" s="74">
        <v>0</v>
      </c>
      <c r="L79" s="73">
        <v>0</v>
      </c>
      <c r="M79" s="73"/>
      <c r="N79" s="479"/>
      <c r="O79" s="504"/>
    </row>
    <row r="80" spans="1:15" s="83" customFormat="1" ht="12.75">
      <c r="A80" s="104"/>
      <c r="B80" s="105"/>
      <c r="C80" s="95"/>
      <c r="D80" s="69"/>
      <c r="E80" s="76"/>
      <c r="F80" s="96"/>
      <c r="G80" s="113"/>
      <c r="H80" s="97"/>
      <c r="I80" s="108"/>
      <c r="L80" s="97"/>
      <c r="M80" s="97"/>
      <c r="N80" s="479"/>
      <c r="O80" s="504"/>
    </row>
    <row r="81" spans="1:15" s="83" customFormat="1" ht="15" customHeight="1" hidden="1">
      <c r="A81" s="104"/>
      <c r="B81" s="849" t="s">
        <v>683</v>
      </c>
      <c r="C81" s="850"/>
      <c r="D81" s="651" t="s">
        <v>68</v>
      </c>
      <c r="E81" s="106"/>
      <c r="F81" s="658" t="s">
        <v>767</v>
      </c>
      <c r="G81" s="113"/>
      <c r="H81" s="97">
        <f>SUM(H82:H84)</f>
        <v>29822790453</v>
      </c>
      <c r="I81" s="108">
        <v>0</v>
      </c>
      <c r="L81" s="97">
        <f>SUM(L82:L84)</f>
        <v>29822790453</v>
      </c>
      <c r="M81" s="97"/>
      <c r="N81" s="479"/>
      <c r="O81" s="504"/>
    </row>
    <row r="82" spans="1:15" s="83" customFormat="1" ht="15" customHeight="1" hidden="1">
      <c r="A82" s="104"/>
      <c r="B82" s="105"/>
      <c r="C82" s="95"/>
      <c r="D82" s="69"/>
      <c r="E82" s="76"/>
      <c r="F82" s="101"/>
      <c r="G82" s="439"/>
      <c r="H82" s="73"/>
      <c r="I82" s="74"/>
      <c r="L82" s="73"/>
      <c r="M82" s="73"/>
      <c r="N82" s="479"/>
      <c r="O82" s="504"/>
    </row>
    <row r="83" spans="1:15" s="83" customFormat="1" ht="15.75" customHeight="1">
      <c r="A83" s="104"/>
      <c r="B83" s="847" t="s">
        <v>675</v>
      </c>
      <c r="C83" s="848"/>
      <c r="D83" s="651" t="s">
        <v>69</v>
      </c>
      <c r="E83" s="106"/>
      <c r="F83" s="658" t="s">
        <v>768</v>
      </c>
      <c r="G83" s="113"/>
      <c r="H83" s="97">
        <f>SUM(H84:H86)</f>
        <v>16262956402</v>
      </c>
      <c r="I83" s="108">
        <f>SUM(I84:I86)</f>
        <v>472693248</v>
      </c>
      <c r="L83" s="97">
        <f>SUM(L84:L86)</f>
        <v>16262956402</v>
      </c>
      <c r="M83" s="97"/>
      <c r="N83" s="479"/>
      <c r="O83" s="504"/>
    </row>
    <row r="84" spans="1:15" s="83" customFormat="1" ht="13.5">
      <c r="A84" s="104"/>
      <c r="B84" s="105"/>
      <c r="C84" s="95"/>
      <c r="D84" s="664" t="s">
        <v>147</v>
      </c>
      <c r="E84" s="654" t="s">
        <v>70</v>
      </c>
      <c r="F84" s="657" t="s">
        <v>676</v>
      </c>
      <c r="G84" s="435"/>
      <c r="H84" s="77">
        <f>L84+M84</f>
        <v>13559834051</v>
      </c>
      <c r="I84" s="74">
        <v>3650366</v>
      </c>
      <c r="L84" s="73">
        <f>15304871554+108571428-1840942266-12666665</f>
        <v>13559834051</v>
      </c>
      <c r="M84" s="73"/>
      <c r="N84" s="479"/>
      <c r="O84" s="504"/>
    </row>
    <row r="85" spans="1:15" s="83" customFormat="1" ht="13.5">
      <c r="A85" s="104"/>
      <c r="B85" s="105"/>
      <c r="C85" s="95"/>
      <c r="D85" s="664" t="s">
        <v>148</v>
      </c>
      <c r="E85" s="654" t="s">
        <v>71</v>
      </c>
      <c r="F85" s="657" t="s">
        <v>677</v>
      </c>
      <c r="G85" s="139"/>
      <c r="H85" s="77">
        <f>L85+M85</f>
        <v>2703122351</v>
      </c>
      <c r="I85" s="74">
        <v>469042882</v>
      </c>
      <c r="L85" s="73">
        <v>2703122351</v>
      </c>
      <c r="M85" s="73"/>
      <c r="N85" s="479"/>
      <c r="O85" s="504"/>
    </row>
    <row r="86" spans="1:15" s="83" customFormat="1" ht="13.5">
      <c r="A86" s="104"/>
      <c r="B86" s="105"/>
      <c r="C86" s="95"/>
      <c r="D86" s="664" t="s">
        <v>152</v>
      </c>
      <c r="E86" s="654" t="s">
        <v>69</v>
      </c>
      <c r="F86" s="657" t="s">
        <v>678</v>
      </c>
      <c r="G86" s="139"/>
      <c r="H86" s="77">
        <f>L86+M86</f>
        <v>0</v>
      </c>
      <c r="I86" s="74">
        <v>0</v>
      </c>
      <c r="L86" s="73">
        <v>0</v>
      </c>
      <c r="M86" s="73"/>
      <c r="N86" s="479"/>
      <c r="O86" s="504"/>
    </row>
    <row r="87" spans="1:14" s="83" customFormat="1" ht="9" customHeight="1">
      <c r="A87" s="104"/>
      <c r="B87" s="105"/>
      <c r="C87" s="95"/>
      <c r="D87" s="69"/>
      <c r="E87" s="76"/>
      <c r="F87" s="96"/>
      <c r="G87" s="139"/>
      <c r="H87" s="93"/>
      <c r="I87" s="94"/>
      <c r="L87" s="93"/>
      <c r="M87" s="93"/>
      <c r="N87" s="479"/>
    </row>
    <row r="88" spans="1:15" ht="21.75" customHeight="1" thickBot="1">
      <c r="A88" s="140"/>
      <c r="B88" s="665" t="s">
        <v>72</v>
      </c>
      <c r="C88" s="141"/>
      <c r="D88" s="142"/>
      <c r="E88" s="143"/>
      <c r="F88" s="144"/>
      <c r="G88" s="443"/>
      <c r="H88" s="145">
        <f>H10+H38</f>
        <v>2493280311352</v>
      </c>
      <c r="I88" s="146">
        <f>I10+I38</f>
        <v>740306484903</v>
      </c>
      <c r="L88" s="145">
        <f>L10+L38</f>
        <v>2492710923844</v>
      </c>
      <c r="M88" s="145"/>
      <c r="O88" s="482"/>
    </row>
    <row r="89" spans="1:13" ht="21.75" customHeight="1" thickTop="1">
      <c r="A89" s="68"/>
      <c r="B89" s="68"/>
      <c r="C89" s="68"/>
      <c r="D89" s="69"/>
      <c r="E89" s="69"/>
      <c r="F89" s="91"/>
      <c r="G89" s="444"/>
      <c r="H89" s="111"/>
      <c r="I89" s="111"/>
      <c r="L89" s="111"/>
      <c r="M89" s="111"/>
    </row>
    <row r="90" spans="1:13" ht="21.75" customHeight="1">
      <c r="A90" s="68"/>
      <c r="B90" s="68"/>
      <c r="C90" s="68"/>
      <c r="D90" s="69"/>
      <c r="E90" s="69"/>
      <c r="F90" s="91"/>
      <c r="G90" s="444"/>
      <c r="H90" s="111"/>
      <c r="I90" s="111"/>
      <c r="L90" s="111"/>
      <c r="M90" s="111"/>
    </row>
    <row r="91" spans="1:13" ht="15.75" customHeight="1">
      <c r="A91" s="65" t="str">
        <f>A1</f>
        <v>CÔNG TY CỔ PHẦN ĐẦU TƯ VÀ VẬN TẢI DẦU KHÍ VINASHIN </v>
      </c>
      <c r="B91" s="69"/>
      <c r="C91" s="69"/>
      <c r="D91" s="70"/>
      <c r="E91" s="100"/>
      <c r="F91" s="69"/>
      <c r="G91" s="147"/>
      <c r="H91" s="126"/>
      <c r="I91" s="148" t="str">
        <f>I1</f>
        <v>B01-DN</v>
      </c>
      <c r="L91" s="126"/>
      <c r="M91" s="126"/>
    </row>
    <row r="92" spans="1:13" ht="11.25" customHeight="1">
      <c r="A92" s="65"/>
      <c r="B92" s="69"/>
      <c r="C92" s="69"/>
      <c r="D92" s="70"/>
      <c r="E92" s="100"/>
      <c r="F92" s="69"/>
      <c r="G92" s="147"/>
      <c r="H92" s="126"/>
      <c r="I92" s="78"/>
      <c r="L92" s="126"/>
      <c r="M92" s="126"/>
    </row>
    <row r="93" spans="1:13" ht="15.75" customHeight="1">
      <c r="A93" s="65" t="str">
        <f>A65</f>
        <v>BẢNG CÂN ĐỐI KẾ TOÁN  (TIẾP THEO)</v>
      </c>
      <c r="B93" s="69"/>
      <c r="C93" s="69"/>
      <c r="D93" s="70"/>
      <c r="E93" s="100"/>
      <c r="F93" s="69"/>
      <c r="G93" s="147"/>
      <c r="H93" s="126"/>
      <c r="I93" s="78"/>
      <c r="L93" s="126"/>
      <c r="M93" s="126"/>
    </row>
    <row r="94" spans="1:13" ht="15.75" customHeight="1">
      <c r="A94" s="68" t="str">
        <f>A5</f>
        <v>Ngày 31 tháng 12 năm 2007</v>
      </c>
      <c r="B94" s="69"/>
      <c r="C94" s="69"/>
      <c r="D94" s="70"/>
      <c r="E94" s="100"/>
      <c r="F94" s="69"/>
      <c r="G94" s="147"/>
      <c r="H94" s="126"/>
      <c r="I94" s="78"/>
      <c r="L94" s="126"/>
      <c r="M94" s="126"/>
    </row>
    <row r="95" spans="1:13" ht="8.25" customHeight="1">
      <c r="A95" s="150"/>
      <c r="D95" s="65"/>
      <c r="G95" s="151"/>
      <c r="H95" s="71"/>
      <c r="I95" s="71"/>
      <c r="L95" s="71"/>
      <c r="M95" s="71"/>
    </row>
    <row r="96" spans="1:13" ht="15.75" customHeight="1" thickBot="1">
      <c r="A96" s="150"/>
      <c r="D96" s="65"/>
      <c r="G96" s="151"/>
      <c r="H96" s="71"/>
      <c r="I96" s="152" t="str">
        <f>I7</f>
        <v>Đơn vị tính: VNĐ</v>
      </c>
      <c r="L96" s="71"/>
      <c r="M96" s="71"/>
    </row>
    <row r="97" spans="1:14" s="83" customFormat="1" ht="31.5" customHeight="1" thickTop="1">
      <c r="A97" s="153"/>
      <c r="B97" s="666" t="s">
        <v>73</v>
      </c>
      <c r="C97" s="81"/>
      <c r="D97" s="154"/>
      <c r="E97" s="155"/>
      <c r="F97" s="667" t="s">
        <v>21</v>
      </c>
      <c r="G97" s="668" t="s">
        <v>22</v>
      </c>
      <c r="H97" s="133">
        <f>H69</f>
        <v>39447</v>
      </c>
      <c r="I97" s="134">
        <f>I69</f>
        <v>39082</v>
      </c>
      <c r="L97" s="133" t="str">
        <f>L69</f>
        <v>Vphòng</v>
      </c>
      <c r="M97" s="133"/>
      <c r="N97" s="479"/>
    </row>
    <row r="98" spans="1:14" s="83" customFormat="1" ht="9" customHeight="1">
      <c r="A98" s="104"/>
      <c r="B98" s="85"/>
      <c r="C98" s="85"/>
      <c r="D98" s="105"/>
      <c r="E98" s="106"/>
      <c r="F98" s="87"/>
      <c r="G98" s="135"/>
      <c r="H98" s="89"/>
      <c r="I98" s="90"/>
      <c r="L98" s="89"/>
      <c r="M98" s="89"/>
      <c r="N98" s="479"/>
    </row>
    <row r="99" spans="1:13" ht="15.75" customHeight="1">
      <c r="A99" s="659" t="s">
        <v>145</v>
      </c>
      <c r="B99" s="70"/>
      <c r="C99" s="641" t="s">
        <v>74</v>
      </c>
      <c r="D99" s="69"/>
      <c r="E99" s="76"/>
      <c r="F99" s="660" t="s">
        <v>182</v>
      </c>
      <c r="G99" s="92"/>
      <c r="H99" s="93">
        <f>H101+H113</f>
        <v>2371295377188</v>
      </c>
      <c r="I99" s="94">
        <f>I101+I113</f>
        <v>676668380935</v>
      </c>
      <c r="L99" s="93">
        <f>L101+L113</f>
        <v>2370725989680</v>
      </c>
      <c r="M99" s="93"/>
    </row>
    <row r="100" spans="1:13" ht="9" customHeight="1">
      <c r="A100" s="75"/>
      <c r="B100" s="70"/>
      <c r="C100" s="68"/>
      <c r="D100" s="69"/>
      <c r="E100" s="76"/>
      <c r="F100" s="91"/>
      <c r="G100" s="92"/>
      <c r="H100" s="93"/>
      <c r="I100" s="94"/>
      <c r="L100" s="93"/>
      <c r="M100" s="93"/>
    </row>
    <row r="101" spans="1:14" s="83" customFormat="1" ht="15.75" customHeight="1">
      <c r="A101" s="104"/>
      <c r="B101" s="105"/>
      <c r="C101" s="648" t="s">
        <v>146</v>
      </c>
      <c r="D101" s="651" t="s">
        <v>75</v>
      </c>
      <c r="E101" s="106"/>
      <c r="F101" s="658" t="s">
        <v>183</v>
      </c>
      <c r="G101" s="113"/>
      <c r="H101" s="97">
        <f>SUM(H102:H111)</f>
        <v>1486180170421</v>
      </c>
      <c r="I101" s="108">
        <f>SUM(I102:I110)</f>
        <v>279911037396</v>
      </c>
      <c r="L101" s="97">
        <f>SUM(L102:L111)</f>
        <v>1485610782913</v>
      </c>
      <c r="M101" s="97"/>
      <c r="N101" s="479"/>
    </row>
    <row r="102" spans="1:13" ht="15.75" customHeight="1">
      <c r="A102" s="75"/>
      <c r="B102" s="69"/>
      <c r="C102" s="68"/>
      <c r="D102" s="653" t="s">
        <v>147</v>
      </c>
      <c r="E102" s="654" t="s">
        <v>76</v>
      </c>
      <c r="F102" s="657" t="s">
        <v>184</v>
      </c>
      <c r="G102" s="652" t="s">
        <v>661</v>
      </c>
      <c r="H102" s="77">
        <f>L102+M102</f>
        <v>216562555079</v>
      </c>
      <c r="I102" s="103">
        <v>218467935646</v>
      </c>
      <c r="L102" s="73">
        <v>216562555079</v>
      </c>
      <c r="M102" s="73"/>
    </row>
    <row r="103" spans="1:15" ht="15.75" customHeight="1">
      <c r="A103" s="75"/>
      <c r="B103" s="69"/>
      <c r="C103" s="68"/>
      <c r="D103" s="656" t="s">
        <v>148</v>
      </c>
      <c r="E103" s="654" t="s">
        <v>77</v>
      </c>
      <c r="F103" s="657" t="s">
        <v>769</v>
      </c>
      <c r="G103" s="652" t="s">
        <v>662</v>
      </c>
      <c r="H103" s="77">
        <f>L103+M103</f>
        <v>60392036422</v>
      </c>
      <c r="I103" s="74">
        <v>21109030344</v>
      </c>
      <c r="L103" s="71">
        <v>60392036422</v>
      </c>
      <c r="M103" s="77"/>
      <c r="O103" s="504"/>
    </row>
    <row r="104" spans="1:15" ht="15.75" customHeight="1">
      <c r="A104" s="75"/>
      <c r="B104" s="69"/>
      <c r="C104" s="68"/>
      <c r="D104" s="656" t="s">
        <v>152</v>
      </c>
      <c r="E104" s="654" t="s">
        <v>78</v>
      </c>
      <c r="F104" s="657" t="s">
        <v>185</v>
      </c>
      <c r="G104" s="652" t="s">
        <v>662</v>
      </c>
      <c r="H104" s="77">
        <f>L104+M104</f>
        <v>18856571</v>
      </c>
      <c r="I104" s="103">
        <v>124338309</v>
      </c>
      <c r="L104" s="71">
        <v>18856571</v>
      </c>
      <c r="M104" s="77"/>
      <c r="O104" s="504"/>
    </row>
    <row r="105" spans="1:15" ht="15.75" customHeight="1">
      <c r="A105" s="75"/>
      <c r="B105" s="69"/>
      <c r="C105" s="68"/>
      <c r="D105" s="656" t="s">
        <v>155</v>
      </c>
      <c r="E105" s="654" t="s">
        <v>79</v>
      </c>
      <c r="F105" s="657" t="s">
        <v>186</v>
      </c>
      <c r="G105" s="652" t="s">
        <v>663</v>
      </c>
      <c r="H105" s="77">
        <f>L105+M105</f>
        <v>13722358742</v>
      </c>
      <c r="I105" s="103">
        <v>7336268484</v>
      </c>
      <c r="L105" s="77">
        <v>13722358742</v>
      </c>
      <c r="M105" s="77"/>
      <c r="O105" s="504"/>
    </row>
    <row r="106" spans="1:15" ht="15.75" customHeight="1">
      <c r="A106" s="75"/>
      <c r="B106" s="69"/>
      <c r="C106" s="68"/>
      <c r="D106" s="656" t="s">
        <v>156</v>
      </c>
      <c r="E106" s="654" t="s">
        <v>80</v>
      </c>
      <c r="F106" s="657" t="s">
        <v>187</v>
      </c>
      <c r="G106" s="445"/>
      <c r="H106" s="77">
        <f>L106+M106+'AE'!H47</f>
        <v>16211211252</v>
      </c>
      <c r="I106" s="74">
        <v>6053896480</v>
      </c>
      <c r="L106" s="77">
        <f>3295523240+46814270</f>
        <v>3342337510</v>
      </c>
      <c r="M106" s="77"/>
      <c r="O106" s="504"/>
    </row>
    <row r="107" spans="1:15" ht="14.25">
      <c r="A107" s="75"/>
      <c r="B107" s="69"/>
      <c r="C107" s="68"/>
      <c r="D107" s="656" t="s">
        <v>157</v>
      </c>
      <c r="E107" s="654" t="s">
        <v>81</v>
      </c>
      <c r="F107" s="657" t="s">
        <v>188</v>
      </c>
      <c r="G107" s="652" t="s">
        <v>664</v>
      </c>
      <c r="H107" s="77">
        <f>L107+M107-'AE'!H47</f>
        <v>32953026748</v>
      </c>
      <c r="I107" s="74">
        <v>23973694803</v>
      </c>
      <c r="L107" s="156">
        <v>45821900490</v>
      </c>
      <c r="M107" s="156"/>
      <c r="O107" s="504"/>
    </row>
    <row r="108" spans="1:15" ht="13.5">
      <c r="A108" s="75"/>
      <c r="B108" s="69"/>
      <c r="C108" s="68"/>
      <c r="D108" s="656" t="s">
        <v>159</v>
      </c>
      <c r="E108" s="654" t="s">
        <v>82</v>
      </c>
      <c r="F108" s="657" t="s">
        <v>189</v>
      </c>
      <c r="G108" s="158"/>
      <c r="H108" s="77">
        <v>569387508</v>
      </c>
      <c r="I108" s="157">
        <v>0</v>
      </c>
      <c r="L108" s="156"/>
      <c r="M108" s="156"/>
      <c r="O108" s="504"/>
    </row>
    <row r="109" spans="1:15" ht="13.5">
      <c r="A109" s="75"/>
      <c r="B109" s="69"/>
      <c r="C109" s="68"/>
      <c r="D109" s="656" t="s">
        <v>160</v>
      </c>
      <c r="E109" s="654" t="s">
        <v>83</v>
      </c>
      <c r="F109" s="657" t="s">
        <v>190</v>
      </c>
      <c r="G109" s="158"/>
      <c r="H109" s="77">
        <f>L109+M109</f>
        <v>0</v>
      </c>
      <c r="I109" s="157">
        <v>0</v>
      </c>
      <c r="L109" s="156"/>
      <c r="M109" s="156"/>
      <c r="O109" s="504"/>
    </row>
    <row r="110" spans="1:15" ht="15.75" customHeight="1">
      <c r="A110" s="75"/>
      <c r="B110" s="69"/>
      <c r="C110" s="68"/>
      <c r="D110" s="656" t="s">
        <v>218</v>
      </c>
      <c r="E110" s="654" t="s">
        <v>84</v>
      </c>
      <c r="F110" s="657" t="s">
        <v>770</v>
      </c>
      <c r="G110" s="652" t="s">
        <v>681</v>
      </c>
      <c r="H110" s="77">
        <f>L110+M110</f>
        <v>1145750738099</v>
      </c>
      <c r="I110" s="157">
        <v>2845873330</v>
      </c>
      <c r="L110" s="77">
        <v>1145750738099</v>
      </c>
      <c r="M110" s="77"/>
      <c r="O110" s="504"/>
    </row>
    <row r="111" spans="1:15" ht="15.75" customHeight="1">
      <c r="A111" s="75"/>
      <c r="B111" s="69"/>
      <c r="C111" s="68"/>
      <c r="D111" s="656" t="s">
        <v>219</v>
      </c>
      <c r="E111" s="654" t="s">
        <v>85</v>
      </c>
      <c r="F111" s="657" t="s">
        <v>191</v>
      </c>
      <c r="G111" s="439"/>
      <c r="H111" s="77">
        <f>L111+M111</f>
        <v>0</v>
      </c>
      <c r="I111" s="157">
        <v>0</v>
      </c>
      <c r="L111" s="77"/>
      <c r="M111" s="77"/>
      <c r="O111" s="504"/>
    </row>
    <row r="112" spans="1:15" ht="9" customHeight="1">
      <c r="A112" s="75"/>
      <c r="B112" s="69"/>
      <c r="C112" s="68"/>
      <c r="D112" s="100"/>
      <c r="E112" s="76"/>
      <c r="F112" s="101"/>
      <c r="G112" s="158"/>
      <c r="H112" s="77"/>
      <c r="I112" s="157"/>
      <c r="L112" s="77"/>
      <c r="M112" s="77"/>
      <c r="O112" s="504"/>
    </row>
    <row r="113" spans="1:15" s="83" customFormat="1" ht="14.25">
      <c r="A113" s="104"/>
      <c r="B113" s="105"/>
      <c r="C113" s="648" t="s">
        <v>153</v>
      </c>
      <c r="D113" s="651" t="s">
        <v>86</v>
      </c>
      <c r="E113" s="106"/>
      <c r="F113" s="658" t="s">
        <v>612</v>
      </c>
      <c r="G113" s="113"/>
      <c r="H113" s="97">
        <f>SUM(H114:H120)</f>
        <v>885115206767</v>
      </c>
      <c r="I113" s="159">
        <f>SUM(I114:I120)</f>
        <v>396757343539</v>
      </c>
      <c r="L113" s="97">
        <f>SUM(L114:L120)</f>
        <v>885115206767</v>
      </c>
      <c r="M113" s="97"/>
      <c r="N113" s="479"/>
      <c r="O113" s="504"/>
    </row>
    <row r="114" spans="1:15" ht="13.5">
      <c r="A114" s="75"/>
      <c r="B114" s="69"/>
      <c r="C114" s="68"/>
      <c r="D114" s="656" t="s">
        <v>147</v>
      </c>
      <c r="E114" s="654" t="s">
        <v>87</v>
      </c>
      <c r="F114" s="657" t="s">
        <v>613</v>
      </c>
      <c r="G114" s="92"/>
      <c r="H114" s="77">
        <f aca="true" t="shared" si="0" ref="H114:H120">L114+M114</f>
        <v>0</v>
      </c>
      <c r="I114" s="157">
        <v>0</v>
      </c>
      <c r="L114" s="77">
        <v>0</v>
      </c>
      <c r="M114" s="77"/>
      <c r="O114" s="504"/>
    </row>
    <row r="115" spans="1:15" ht="13.5">
      <c r="A115" s="75"/>
      <c r="B115" s="69"/>
      <c r="C115" s="68"/>
      <c r="D115" s="656" t="s">
        <v>148</v>
      </c>
      <c r="E115" s="654" t="s">
        <v>88</v>
      </c>
      <c r="F115" s="657" t="s">
        <v>614</v>
      </c>
      <c r="G115" s="139"/>
      <c r="H115" s="77">
        <f t="shared" si="0"/>
        <v>0</v>
      </c>
      <c r="I115" s="157">
        <v>0</v>
      </c>
      <c r="L115" s="77">
        <v>0</v>
      </c>
      <c r="M115" s="77"/>
      <c r="O115" s="504"/>
    </row>
    <row r="116" spans="1:15" ht="14.25">
      <c r="A116" s="75"/>
      <c r="B116" s="69"/>
      <c r="C116" s="68"/>
      <c r="D116" s="656" t="s">
        <v>152</v>
      </c>
      <c r="E116" s="654" t="s">
        <v>89</v>
      </c>
      <c r="F116" s="657" t="s">
        <v>615</v>
      </c>
      <c r="G116" s="652" t="s">
        <v>681</v>
      </c>
      <c r="H116" s="77">
        <f t="shared" si="0"/>
        <v>41540705000</v>
      </c>
      <c r="I116" s="157">
        <v>30000000000</v>
      </c>
      <c r="L116" s="77">
        <v>41540705000</v>
      </c>
      <c r="M116" s="77"/>
      <c r="O116" s="504"/>
    </row>
    <row r="117" spans="1:15" ht="14.25">
      <c r="A117" s="75"/>
      <c r="B117" s="69"/>
      <c r="C117" s="68"/>
      <c r="D117" s="656" t="s">
        <v>155</v>
      </c>
      <c r="E117" s="654" t="s">
        <v>90</v>
      </c>
      <c r="F117" s="657" t="s">
        <v>616</v>
      </c>
      <c r="G117" s="652" t="s">
        <v>682</v>
      </c>
      <c r="H117" s="77">
        <f t="shared" si="0"/>
        <v>843488536515</v>
      </c>
      <c r="I117" s="157">
        <v>366723885943</v>
      </c>
      <c r="L117" s="77">
        <v>843488536515</v>
      </c>
      <c r="M117" s="77"/>
      <c r="O117" s="504"/>
    </row>
    <row r="118" spans="1:15" ht="13.5">
      <c r="A118" s="75"/>
      <c r="B118" s="69"/>
      <c r="C118" s="68"/>
      <c r="D118" s="656" t="s">
        <v>156</v>
      </c>
      <c r="E118" s="654" t="s">
        <v>91</v>
      </c>
      <c r="F118" s="657" t="s">
        <v>617</v>
      </c>
      <c r="G118" s="112"/>
      <c r="H118" s="77">
        <f t="shared" si="0"/>
        <v>0</v>
      </c>
      <c r="I118" s="157">
        <v>0</v>
      </c>
      <c r="L118" s="77">
        <v>0</v>
      </c>
      <c r="M118" s="77"/>
      <c r="O118" s="504"/>
    </row>
    <row r="119" spans="1:15" ht="13.5">
      <c r="A119" s="75"/>
      <c r="B119" s="69"/>
      <c r="C119" s="68"/>
      <c r="D119" s="656" t="s">
        <v>157</v>
      </c>
      <c r="E119" s="654" t="s">
        <v>92</v>
      </c>
      <c r="F119" s="657" t="s">
        <v>618</v>
      </c>
      <c r="G119" s="112"/>
      <c r="H119" s="77">
        <f t="shared" si="0"/>
        <v>85965252</v>
      </c>
      <c r="I119" s="160">
        <v>33457596</v>
      </c>
      <c r="L119" s="77">
        <v>85965252</v>
      </c>
      <c r="M119" s="77"/>
      <c r="O119" s="504"/>
    </row>
    <row r="120" spans="1:15" ht="13.5">
      <c r="A120" s="75"/>
      <c r="B120" s="69"/>
      <c r="C120" s="68"/>
      <c r="D120" s="656" t="s">
        <v>159</v>
      </c>
      <c r="E120" s="654" t="s">
        <v>93</v>
      </c>
      <c r="F120" s="657" t="s">
        <v>619</v>
      </c>
      <c r="G120" s="112"/>
      <c r="H120" s="77">
        <f t="shared" si="0"/>
        <v>0</v>
      </c>
      <c r="I120" s="157">
        <v>0</v>
      </c>
      <c r="L120" s="77">
        <v>0</v>
      </c>
      <c r="M120" s="77"/>
      <c r="O120" s="504"/>
    </row>
    <row r="121" spans="1:15" ht="12.75">
      <c r="A121" s="75"/>
      <c r="B121" s="69"/>
      <c r="C121" s="68"/>
      <c r="D121" s="100"/>
      <c r="E121" s="76"/>
      <c r="F121" s="101"/>
      <c r="G121" s="92"/>
      <c r="H121" s="77"/>
      <c r="I121" s="157"/>
      <c r="L121" s="77"/>
      <c r="M121" s="77"/>
      <c r="O121" s="504"/>
    </row>
    <row r="122" spans="1:15" ht="15.75" customHeight="1">
      <c r="A122" s="659" t="s">
        <v>166</v>
      </c>
      <c r="B122" s="70"/>
      <c r="C122" s="641" t="s">
        <v>94</v>
      </c>
      <c r="D122" s="69"/>
      <c r="E122" s="76"/>
      <c r="F122" s="660" t="s">
        <v>192</v>
      </c>
      <c r="G122" s="92"/>
      <c r="H122" s="93">
        <f>H124+H136</f>
        <v>121984934164</v>
      </c>
      <c r="I122" s="161">
        <f>I124+I136</f>
        <v>63638103968</v>
      </c>
      <c r="L122" s="93">
        <f>L124+L136</f>
        <v>121984934164</v>
      </c>
      <c r="M122" s="93"/>
      <c r="O122" s="504"/>
    </row>
    <row r="123" spans="1:15" ht="9" customHeight="1">
      <c r="A123" s="75"/>
      <c r="B123" s="70"/>
      <c r="C123" s="68"/>
      <c r="D123" s="69"/>
      <c r="E123" s="76"/>
      <c r="F123" s="91"/>
      <c r="G123" s="92"/>
      <c r="H123" s="93"/>
      <c r="I123" s="161"/>
      <c r="L123" s="93"/>
      <c r="M123" s="93"/>
      <c r="O123" s="504"/>
    </row>
    <row r="124" spans="1:15" s="83" customFormat="1" ht="15.75" customHeight="1">
      <c r="A124" s="104"/>
      <c r="B124" s="105"/>
      <c r="C124" s="648" t="s">
        <v>146</v>
      </c>
      <c r="D124" s="651" t="s">
        <v>95</v>
      </c>
      <c r="E124" s="106"/>
      <c r="F124" s="658" t="s">
        <v>193</v>
      </c>
      <c r="G124" s="669" t="s">
        <v>12</v>
      </c>
      <c r="H124" s="97">
        <f>SUM(H125:H134)</f>
        <v>110715343090</v>
      </c>
      <c r="I124" s="159">
        <f>SUM(I125:I134)</f>
        <v>61137114950</v>
      </c>
      <c r="L124" s="97">
        <f>SUM(L125:L134)</f>
        <v>110715343090</v>
      </c>
      <c r="M124" s="97"/>
      <c r="N124" s="479"/>
      <c r="O124" s="504"/>
    </row>
    <row r="125" spans="1:15" ht="15.75" customHeight="1">
      <c r="A125" s="75"/>
      <c r="B125" s="69"/>
      <c r="C125" s="68"/>
      <c r="D125" s="656" t="s">
        <v>147</v>
      </c>
      <c r="E125" s="654" t="s">
        <v>96</v>
      </c>
      <c r="F125" s="657" t="s">
        <v>194</v>
      </c>
      <c r="G125" s="445"/>
      <c r="H125" s="77">
        <f>L125+M125</f>
        <v>40000000000</v>
      </c>
      <c r="I125" s="157">
        <v>40000000000</v>
      </c>
      <c r="L125" s="77">
        <v>40000000000</v>
      </c>
      <c r="M125" s="77"/>
      <c r="O125" s="504"/>
    </row>
    <row r="126" spans="1:15" ht="13.5">
      <c r="A126" s="75"/>
      <c r="B126" s="69"/>
      <c r="C126" s="68"/>
      <c r="D126" s="656" t="s">
        <v>148</v>
      </c>
      <c r="E126" s="654" t="s">
        <v>97</v>
      </c>
      <c r="F126" s="657" t="s">
        <v>195</v>
      </c>
      <c r="G126" s="92"/>
      <c r="H126" s="77">
        <f>L126+M126</f>
        <v>0</v>
      </c>
      <c r="I126" s="162">
        <v>0</v>
      </c>
      <c r="L126" s="77"/>
      <c r="M126" s="77"/>
      <c r="O126" s="504"/>
    </row>
    <row r="127" spans="1:15" ht="13.5">
      <c r="A127" s="75"/>
      <c r="B127" s="69"/>
      <c r="C127" s="68"/>
      <c r="D127" s="656" t="s">
        <v>152</v>
      </c>
      <c r="E127" s="654" t="s">
        <v>98</v>
      </c>
      <c r="F127" s="657" t="s">
        <v>196</v>
      </c>
      <c r="G127" s="92"/>
      <c r="H127" s="77">
        <f>L127+M127</f>
        <v>0</v>
      </c>
      <c r="I127" s="162">
        <v>0</v>
      </c>
      <c r="L127" s="77"/>
      <c r="M127" s="77"/>
      <c r="O127" s="504"/>
    </row>
    <row r="128" spans="1:15" ht="13.5">
      <c r="A128" s="75"/>
      <c r="B128" s="69"/>
      <c r="C128" s="68"/>
      <c r="D128" s="656" t="s">
        <v>155</v>
      </c>
      <c r="E128" s="654" t="s">
        <v>99</v>
      </c>
      <c r="F128" s="657" t="s">
        <v>201</v>
      </c>
      <c r="G128" s="92"/>
      <c r="H128" s="77">
        <f>L128+M128</f>
        <v>0</v>
      </c>
      <c r="I128" s="157">
        <v>0</v>
      </c>
      <c r="L128" s="77"/>
      <c r="M128" s="77"/>
      <c r="O128" s="504"/>
    </row>
    <row r="129" spans="1:15" ht="13.5" hidden="1">
      <c r="A129" s="75"/>
      <c r="B129" s="69"/>
      <c r="C129" s="68"/>
      <c r="D129" s="656" t="s">
        <v>156</v>
      </c>
      <c r="E129" s="654" t="s">
        <v>100</v>
      </c>
      <c r="F129" s="657" t="s">
        <v>202</v>
      </c>
      <c r="G129" s="446"/>
      <c r="H129" s="77">
        <v>0</v>
      </c>
      <c r="I129" s="157">
        <v>0</v>
      </c>
      <c r="L129" s="77"/>
      <c r="M129" s="77"/>
      <c r="O129" s="504"/>
    </row>
    <row r="130" spans="1:15" ht="13.5" hidden="1">
      <c r="A130" s="75"/>
      <c r="B130" s="69"/>
      <c r="C130" s="68"/>
      <c r="D130" s="656" t="s">
        <v>157</v>
      </c>
      <c r="E130" s="654" t="s">
        <v>101</v>
      </c>
      <c r="F130" s="657" t="s">
        <v>578</v>
      </c>
      <c r="G130" s="139"/>
      <c r="H130" s="77">
        <v>0</v>
      </c>
      <c r="I130" s="157">
        <v>0</v>
      </c>
      <c r="L130" s="77"/>
      <c r="M130" s="77"/>
      <c r="O130" s="504"/>
    </row>
    <row r="131" spans="1:16" ht="14.25">
      <c r="A131" s="75"/>
      <c r="B131" s="69"/>
      <c r="C131" s="68"/>
      <c r="D131" s="656" t="s">
        <v>159</v>
      </c>
      <c r="E131" s="654" t="s">
        <v>102</v>
      </c>
      <c r="F131" s="657" t="s">
        <v>771</v>
      </c>
      <c r="G131" s="446"/>
      <c r="H131" s="77">
        <f>L131+M131</f>
        <v>9490976758</v>
      </c>
      <c r="I131" s="157">
        <v>2246479338</v>
      </c>
      <c r="L131" s="77">
        <v>9490976758</v>
      </c>
      <c r="M131" s="77"/>
      <c r="O131" s="504"/>
      <c r="P131" s="496"/>
    </row>
    <row r="132" spans="1:16" ht="14.25">
      <c r="A132" s="75"/>
      <c r="B132" s="69"/>
      <c r="C132" s="68"/>
      <c r="D132" s="656" t="s">
        <v>160</v>
      </c>
      <c r="E132" s="654" t="s">
        <v>103</v>
      </c>
      <c r="F132" s="657" t="s">
        <v>772</v>
      </c>
      <c r="G132" s="92"/>
      <c r="H132" s="77">
        <f>L132+M132</f>
        <v>8467137202</v>
      </c>
      <c r="I132" s="157">
        <v>1222639782</v>
      </c>
      <c r="L132" s="77">
        <v>8467137202</v>
      </c>
      <c r="M132" s="77"/>
      <c r="O132" s="504"/>
      <c r="P132" s="496"/>
    </row>
    <row r="133" spans="1:15" ht="13.5">
      <c r="A133" s="75"/>
      <c r="B133" s="69"/>
      <c r="C133" s="68"/>
      <c r="D133" s="656" t="s">
        <v>218</v>
      </c>
      <c r="E133" s="654" t="s">
        <v>104</v>
      </c>
      <c r="F133" s="657" t="s">
        <v>773</v>
      </c>
      <c r="G133" s="92"/>
      <c r="H133" s="77">
        <f>L133+M133</f>
        <v>0</v>
      </c>
      <c r="I133" s="157">
        <v>0</v>
      </c>
      <c r="L133" s="163">
        <v>0</v>
      </c>
      <c r="M133" s="163"/>
      <c r="O133" s="504"/>
    </row>
    <row r="134" spans="1:15" ht="13.5">
      <c r="A134" s="75"/>
      <c r="B134" s="69"/>
      <c r="C134" s="68"/>
      <c r="D134" s="656" t="s">
        <v>219</v>
      </c>
      <c r="E134" s="654" t="s">
        <v>105</v>
      </c>
      <c r="F134" s="657" t="s">
        <v>579</v>
      </c>
      <c r="G134" s="92"/>
      <c r="H134" s="77">
        <f>L134+M134</f>
        <v>52757229130</v>
      </c>
      <c r="I134" s="157">
        <v>17667995830</v>
      </c>
      <c r="L134" s="77">
        <v>52757229130</v>
      </c>
      <c r="M134" s="77"/>
      <c r="O134" s="504"/>
    </row>
    <row r="135" spans="1:15" ht="9" customHeight="1">
      <c r="A135" s="75"/>
      <c r="B135" s="69"/>
      <c r="C135" s="68"/>
      <c r="D135" s="100"/>
      <c r="E135" s="164"/>
      <c r="F135" s="165"/>
      <c r="G135" s="92"/>
      <c r="H135" s="163"/>
      <c r="I135" s="166"/>
      <c r="L135" s="163"/>
      <c r="M135" s="163"/>
      <c r="O135" s="504"/>
    </row>
    <row r="136" spans="1:15" s="83" customFormat="1" ht="15.75" customHeight="1">
      <c r="A136" s="104"/>
      <c r="B136" s="105"/>
      <c r="C136" s="648" t="s">
        <v>153</v>
      </c>
      <c r="D136" s="651" t="s">
        <v>106</v>
      </c>
      <c r="E136" s="106"/>
      <c r="F136" s="658" t="s">
        <v>203</v>
      </c>
      <c r="G136" s="167"/>
      <c r="H136" s="97">
        <f>SUM(H137:H139)</f>
        <v>11269591074</v>
      </c>
      <c r="I136" s="159">
        <f>SUM(I137:I139)</f>
        <v>2500989018</v>
      </c>
      <c r="L136" s="97">
        <f>SUM(L137:L139)</f>
        <v>11269591074</v>
      </c>
      <c r="M136" s="97"/>
      <c r="N136" s="479"/>
      <c r="O136" s="504"/>
    </row>
    <row r="137" spans="1:17" ht="15.75" customHeight="1">
      <c r="A137" s="75"/>
      <c r="B137" s="69"/>
      <c r="C137" s="68"/>
      <c r="D137" s="656" t="s">
        <v>147</v>
      </c>
      <c r="E137" s="654" t="s">
        <v>107</v>
      </c>
      <c r="F137" s="657" t="s">
        <v>620</v>
      </c>
      <c r="G137" s="92"/>
      <c r="H137" s="77">
        <f>L137+M137</f>
        <v>11269591074</v>
      </c>
      <c r="I137" s="157">
        <v>2500989018</v>
      </c>
      <c r="L137" s="77">
        <v>11269591074</v>
      </c>
      <c r="M137" s="77"/>
      <c r="O137" s="504"/>
      <c r="P137" s="496"/>
      <c r="Q137" s="504"/>
    </row>
    <row r="138" spans="1:15" ht="16.5" customHeight="1" hidden="1">
      <c r="A138" s="75"/>
      <c r="B138" s="69"/>
      <c r="C138" s="68"/>
      <c r="D138" s="656" t="s">
        <v>148</v>
      </c>
      <c r="E138" s="654" t="s">
        <v>108</v>
      </c>
      <c r="F138" s="657" t="s">
        <v>621</v>
      </c>
      <c r="G138" s="92"/>
      <c r="H138" s="77">
        <v>0</v>
      </c>
      <c r="I138" s="157">
        <v>0</v>
      </c>
      <c r="L138" s="77">
        <v>0</v>
      </c>
      <c r="M138" s="77"/>
      <c r="O138" s="504"/>
    </row>
    <row r="139" spans="1:15" ht="16.5" customHeight="1" hidden="1">
      <c r="A139" s="75"/>
      <c r="B139" s="69"/>
      <c r="C139" s="68"/>
      <c r="D139" s="656" t="s">
        <v>152</v>
      </c>
      <c r="E139" s="654" t="s">
        <v>109</v>
      </c>
      <c r="F139" s="657" t="s">
        <v>580</v>
      </c>
      <c r="G139" s="92"/>
      <c r="H139" s="163"/>
      <c r="I139" s="157">
        <v>0</v>
      </c>
      <c r="L139" s="163"/>
      <c r="M139" s="163"/>
      <c r="O139" s="504"/>
    </row>
    <row r="140" spans="1:15" ht="9" customHeight="1">
      <c r="A140" s="75"/>
      <c r="B140" s="69"/>
      <c r="C140" s="68"/>
      <c r="D140" s="100"/>
      <c r="E140" s="76"/>
      <c r="F140" s="101"/>
      <c r="G140" s="92"/>
      <c r="H140" s="73"/>
      <c r="I140" s="157"/>
      <c r="L140" s="73"/>
      <c r="M140" s="73"/>
      <c r="O140" s="504"/>
    </row>
    <row r="141" spans="1:15" ht="24.75" customHeight="1" thickBot="1">
      <c r="A141" s="140"/>
      <c r="B141" s="665" t="s">
        <v>110</v>
      </c>
      <c r="C141" s="141"/>
      <c r="D141" s="142"/>
      <c r="E141" s="143"/>
      <c r="F141" s="144"/>
      <c r="G141" s="168"/>
      <c r="H141" s="145">
        <f>H122+H99</f>
        <v>2493280311352</v>
      </c>
      <c r="I141" s="169">
        <f>I122+I99</f>
        <v>740306484903</v>
      </c>
      <c r="L141" s="145">
        <f>L122+L99</f>
        <v>2492710923844</v>
      </c>
      <c r="M141" s="145"/>
      <c r="O141" s="504"/>
    </row>
    <row r="142" spans="1:13" ht="15.75" customHeight="1" hidden="1" thickTop="1">
      <c r="A142" s="68"/>
      <c r="B142" s="68"/>
      <c r="C142" s="68"/>
      <c r="D142" s="69"/>
      <c r="E142" s="69"/>
      <c r="F142" s="91"/>
      <c r="G142" s="147"/>
      <c r="H142" s="111"/>
      <c r="I142" s="111"/>
      <c r="L142" s="111"/>
      <c r="M142" s="111"/>
    </row>
    <row r="143" spans="1:13" ht="15.75" customHeight="1" hidden="1">
      <c r="A143" s="68"/>
      <c r="B143" s="68"/>
      <c r="C143" s="68"/>
      <c r="D143" s="69"/>
      <c r="E143" s="69"/>
      <c r="F143" s="91"/>
      <c r="G143" s="147"/>
      <c r="H143" s="111"/>
      <c r="I143" s="111"/>
      <c r="L143" s="111"/>
      <c r="M143" s="111"/>
    </row>
    <row r="144" spans="1:13" ht="15.75" customHeight="1" hidden="1">
      <c r="A144" s="68"/>
      <c r="B144" s="68"/>
      <c r="C144" s="68"/>
      <c r="D144" s="69"/>
      <c r="E144" s="69"/>
      <c r="F144" s="91"/>
      <c r="G144" s="147"/>
      <c r="H144" s="111"/>
      <c r="I144" s="111"/>
      <c r="L144" s="111"/>
      <c r="M144" s="111"/>
    </row>
    <row r="145" spans="1:13" ht="15.75" customHeight="1" hidden="1">
      <c r="A145" s="68"/>
      <c r="B145" s="68"/>
      <c r="C145" s="68"/>
      <c r="D145" s="69"/>
      <c r="E145" s="69"/>
      <c r="F145" s="91"/>
      <c r="G145" s="147"/>
      <c r="H145" s="111"/>
      <c r="I145" s="111"/>
      <c r="L145" s="111"/>
      <c r="M145" s="111"/>
    </row>
    <row r="146" spans="1:13" ht="15.75" customHeight="1" thickTop="1">
      <c r="A146" s="68"/>
      <c r="B146" s="68"/>
      <c r="C146" s="68"/>
      <c r="D146" s="69"/>
      <c r="E146" s="69"/>
      <c r="F146" s="91"/>
      <c r="G146" s="147"/>
      <c r="H146" s="507">
        <f>H141-H88</f>
        <v>0</v>
      </c>
      <c r="I146" s="507">
        <f>I141-I88</f>
        <v>0</v>
      </c>
      <c r="J146" s="508"/>
      <c r="K146" s="508"/>
      <c r="L146" s="507">
        <f>L141-L88</f>
        <v>0</v>
      </c>
      <c r="M146" s="507"/>
    </row>
    <row r="147" spans="1:15" ht="13.5">
      <c r="A147" s="65" t="str">
        <f>A91</f>
        <v>CÔNG TY CỔ PHẦN ĐẦU TƯ VÀ VẬN TẢI DẦU KHÍ VINASHIN </v>
      </c>
      <c r="B147" s="69"/>
      <c r="G147" s="447"/>
      <c r="H147" s="454"/>
      <c r="I147" s="454"/>
      <c r="L147" s="454"/>
      <c r="M147" s="454"/>
      <c r="O147" s="504"/>
    </row>
    <row r="148" spans="1:13" ht="13.5">
      <c r="A148" s="65"/>
      <c r="B148" s="69"/>
      <c r="G148" s="447"/>
      <c r="H148" s="170"/>
      <c r="I148" s="170"/>
      <c r="L148" s="170"/>
      <c r="M148" s="170"/>
    </row>
    <row r="149" spans="1:13" ht="13.5">
      <c r="A149" s="65" t="str">
        <f>A93</f>
        <v>BẢNG CÂN ĐỐI KẾ TOÁN  (TIẾP THEO)</v>
      </c>
      <c r="B149" s="69"/>
      <c r="G149" s="447"/>
      <c r="H149" s="170"/>
      <c r="I149" s="170"/>
      <c r="L149" s="170"/>
      <c r="M149" s="170"/>
    </row>
    <row r="150" spans="1:13" ht="13.5">
      <c r="A150" s="670" t="s">
        <v>111</v>
      </c>
      <c r="B150" s="69"/>
      <c r="G150" s="447"/>
      <c r="H150" s="170"/>
      <c r="I150" s="170"/>
      <c r="L150" s="170"/>
      <c r="M150" s="170"/>
    </row>
    <row r="151" spans="1:13" ht="13.5">
      <c r="A151" s="68"/>
      <c r="B151" s="69"/>
      <c r="G151" s="447"/>
      <c r="H151" s="170"/>
      <c r="I151" s="170"/>
      <c r="L151" s="170"/>
      <c r="M151" s="170"/>
    </row>
    <row r="152" spans="1:13" ht="13.5">
      <c r="A152" s="671" t="s">
        <v>112</v>
      </c>
      <c r="H152" s="171"/>
      <c r="I152" s="171"/>
      <c r="L152" s="171"/>
      <c r="M152" s="171"/>
    </row>
    <row r="153" spans="8:13" ht="14.25" thickBot="1">
      <c r="H153" s="171"/>
      <c r="I153" s="171"/>
      <c r="L153" s="171"/>
      <c r="M153" s="171"/>
    </row>
    <row r="154" spans="1:13" ht="34.5" customHeight="1" thickTop="1">
      <c r="A154" s="672" t="s">
        <v>113</v>
      </c>
      <c r="B154" s="81"/>
      <c r="C154" s="81"/>
      <c r="D154" s="81"/>
      <c r="E154" s="81"/>
      <c r="F154" s="82"/>
      <c r="G154" s="668" t="s">
        <v>22</v>
      </c>
      <c r="H154" s="133">
        <f>H97</f>
        <v>39447</v>
      </c>
      <c r="I154" s="134">
        <f>I97</f>
        <v>39082</v>
      </c>
      <c r="L154" s="133" t="str">
        <f>L97</f>
        <v>Vphòng</v>
      </c>
      <c r="M154" s="133"/>
    </row>
    <row r="155" spans="1:13" ht="13.5">
      <c r="A155" s="84"/>
      <c r="B155" s="85"/>
      <c r="C155" s="85"/>
      <c r="D155" s="85"/>
      <c r="E155" s="85"/>
      <c r="F155" s="86"/>
      <c r="G155" s="448"/>
      <c r="H155" s="172"/>
      <c r="I155" s="173"/>
      <c r="L155" s="172"/>
      <c r="M155" s="172"/>
    </row>
    <row r="156" spans="1:13" ht="13.5">
      <c r="A156" s="84"/>
      <c r="B156" s="85"/>
      <c r="C156" s="85"/>
      <c r="D156" s="664" t="s">
        <v>147</v>
      </c>
      <c r="E156" s="673" t="s">
        <v>114</v>
      </c>
      <c r="F156" s="86"/>
      <c r="G156" s="448"/>
      <c r="H156" s="77">
        <f>L156+M156</f>
        <v>0</v>
      </c>
      <c r="I156" s="175">
        <v>0</v>
      </c>
      <c r="L156" s="174"/>
      <c r="M156" s="174"/>
    </row>
    <row r="157" spans="1:13" ht="13.5">
      <c r="A157" s="84"/>
      <c r="B157" s="85"/>
      <c r="C157" s="85"/>
      <c r="D157" s="664" t="s">
        <v>148</v>
      </c>
      <c r="E157" s="673" t="s">
        <v>115</v>
      </c>
      <c r="F157" s="86"/>
      <c r="G157" s="448"/>
      <c r="H157" s="77">
        <f>L157+M157</f>
        <v>0</v>
      </c>
      <c r="I157" s="103">
        <v>0</v>
      </c>
      <c r="L157" s="73"/>
      <c r="M157" s="73"/>
    </row>
    <row r="158" spans="1:13" ht="13.5">
      <c r="A158" s="84"/>
      <c r="B158" s="85"/>
      <c r="C158" s="85"/>
      <c r="D158" s="664" t="s">
        <v>152</v>
      </c>
      <c r="E158" s="673" t="s">
        <v>116</v>
      </c>
      <c r="F158" s="86"/>
      <c r="G158" s="448"/>
      <c r="H158" s="77">
        <f>L158+M158</f>
        <v>0</v>
      </c>
      <c r="I158" s="175">
        <v>0</v>
      </c>
      <c r="L158" s="174"/>
      <c r="M158" s="174"/>
    </row>
    <row r="159" spans="1:13" ht="13.5">
      <c r="A159" s="75"/>
      <c r="B159" s="69"/>
      <c r="C159" s="69"/>
      <c r="D159" s="664" t="s">
        <v>155</v>
      </c>
      <c r="E159" s="673" t="s">
        <v>117</v>
      </c>
      <c r="F159" s="176"/>
      <c r="G159" s="448"/>
      <c r="H159" s="77">
        <v>2106178238</v>
      </c>
      <c r="I159" s="178">
        <v>0</v>
      </c>
      <c r="L159" s="177"/>
      <c r="M159" s="177"/>
    </row>
    <row r="160" spans="1:13" ht="13.5">
      <c r="A160" s="75"/>
      <c r="B160" s="69"/>
      <c r="C160" s="69"/>
      <c r="D160" s="664" t="s">
        <v>156</v>
      </c>
      <c r="E160" s="673" t="s">
        <v>118</v>
      </c>
      <c r="F160" s="179"/>
      <c r="G160" s="204"/>
      <c r="H160" s="77">
        <f>L160+M160</f>
        <v>0</v>
      </c>
      <c r="I160" s="181">
        <v>466740.18</v>
      </c>
      <c r="L160" s="180"/>
      <c r="M160" s="180"/>
    </row>
    <row r="161" spans="1:13" ht="13.5" hidden="1">
      <c r="A161" s="75"/>
      <c r="B161" s="69"/>
      <c r="C161" s="69"/>
      <c r="D161" s="664" t="s">
        <v>157</v>
      </c>
      <c r="E161" s="673" t="s">
        <v>119</v>
      </c>
      <c r="F161" s="179"/>
      <c r="G161" s="204"/>
      <c r="H161" s="180"/>
      <c r="I161" s="181"/>
      <c r="L161" s="180"/>
      <c r="M161" s="180"/>
    </row>
    <row r="162" spans="1:13" ht="13.5">
      <c r="A162" s="75"/>
      <c r="B162" s="69"/>
      <c r="C162" s="69"/>
      <c r="D162" s="664" t="s">
        <v>157</v>
      </c>
      <c r="E162" s="673" t="s">
        <v>120</v>
      </c>
      <c r="F162" s="179"/>
      <c r="G162" s="204"/>
      <c r="H162" s="77">
        <f>L162+M162</f>
        <v>0</v>
      </c>
      <c r="I162" s="178">
        <v>0</v>
      </c>
      <c r="L162" s="177"/>
      <c r="M162" s="177"/>
    </row>
    <row r="163" spans="1:13" ht="14.25" thickBot="1">
      <c r="A163" s="182"/>
      <c r="B163" s="127"/>
      <c r="C163" s="127"/>
      <c r="D163" s="127"/>
      <c r="E163" s="127"/>
      <c r="F163" s="183"/>
      <c r="G163" s="449"/>
      <c r="H163" s="184"/>
      <c r="I163" s="185"/>
      <c r="L163" s="184"/>
      <c r="M163" s="184"/>
    </row>
    <row r="164" spans="8:13" ht="14.25" thickTop="1">
      <c r="H164" s="171"/>
      <c r="I164" s="171"/>
      <c r="L164" s="171"/>
      <c r="M164" s="171"/>
    </row>
    <row r="165" spans="1:13" ht="15.75" customHeight="1">
      <c r="A165" s="186"/>
      <c r="B165" s="67"/>
      <c r="C165" s="67"/>
      <c r="D165" s="187"/>
      <c r="E165" s="67"/>
      <c r="G165" s="429"/>
      <c r="H165" s="675" t="s">
        <v>122</v>
      </c>
      <c r="L165" s="188"/>
      <c r="M165" s="188"/>
    </row>
    <row r="166" spans="1:13" ht="20.25" customHeight="1">
      <c r="A166" s="186"/>
      <c r="B166" s="189"/>
      <c r="C166" s="189"/>
      <c r="D166" s="190"/>
      <c r="E166" s="674" t="s">
        <v>121</v>
      </c>
      <c r="H166" s="676" t="s">
        <v>123</v>
      </c>
      <c r="I166" s="192"/>
      <c r="L166" s="191"/>
      <c r="M166" s="191"/>
    </row>
    <row r="167" spans="1:9" ht="13.5">
      <c r="A167" s="186"/>
      <c r="B167" s="67"/>
      <c r="C167" s="67"/>
      <c r="D167" s="187"/>
      <c r="E167" s="189"/>
      <c r="F167" s="67"/>
      <c r="G167" s="193"/>
      <c r="I167" s="194"/>
    </row>
    <row r="168" spans="1:9" ht="13.5">
      <c r="A168" s="186"/>
      <c r="B168" s="67"/>
      <c r="C168" s="67"/>
      <c r="D168" s="187"/>
      <c r="E168" s="189"/>
      <c r="F168" s="67"/>
      <c r="G168" s="193"/>
      <c r="I168" s="67"/>
    </row>
    <row r="169" spans="1:9" ht="13.5">
      <c r="A169" s="186"/>
      <c r="B169" s="67"/>
      <c r="C169" s="67"/>
      <c r="D169" s="187"/>
      <c r="E169" s="189"/>
      <c r="F169" s="67"/>
      <c r="G169" s="193"/>
      <c r="I169" s="67"/>
    </row>
    <row r="170" spans="1:9" ht="13.5">
      <c r="A170" s="186"/>
      <c r="B170" s="189"/>
      <c r="C170" s="189"/>
      <c r="D170" s="190"/>
      <c r="E170" s="189"/>
      <c r="F170" s="190"/>
      <c r="G170" s="193"/>
      <c r="I170" s="193"/>
    </row>
    <row r="171" spans="1:13" ht="13.5">
      <c r="A171" s="186"/>
      <c r="E171" s="674" t="s">
        <v>124</v>
      </c>
      <c r="F171" s="65"/>
      <c r="H171" s="677" t="s">
        <v>125</v>
      </c>
      <c r="L171" s="195"/>
      <c r="M171" s="195"/>
    </row>
    <row r="172" ht="13.5">
      <c r="G172" s="447"/>
    </row>
  </sheetData>
  <mergeCells count="2">
    <mergeCell ref="B83:C83"/>
    <mergeCell ref="B81:C81"/>
  </mergeCells>
  <printOptions/>
  <pageMargins left="0.67" right="0.4" top="0.5" bottom="0.75" header="0.5" footer="0.34"/>
  <pageSetup firstPageNumber="30" useFirstPageNumber="1" horizontalDpi="600" verticalDpi="600" orientation="portrait" paperSize="9" r:id="rId3"/>
  <headerFooter alignWithMargins="0">
    <oddFooter>&amp;L&amp;9Phuï luïc 01&amp;R&amp;9Trang &amp;P</oddFooter>
  </headerFooter>
  <rowBreaks count="1" manualBreakCount="1">
    <brk id="90" max="255" man="1"/>
  </rowBreaks>
  <legacyDrawing r:id="rId2"/>
</worksheet>
</file>

<file path=xl/worksheets/sheet5.xml><?xml version="1.0" encoding="utf-8"?>
<worksheet xmlns="http://schemas.openxmlformats.org/spreadsheetml/2006/main" xmlns:r="http://schemas.openxmlformats.org/officeDocument/2006/relationships">
  <dimension ref="A1:U627"/>
  <sheetViews>
    <sheetView workbookViewId="0" topLeftCell="A107">
      <selection activeCell="I12" sqref="I12"/>
    </sheetView>
  </sheetViews>
  <sheetFormatPr defaultColWidth="9.00390625" defaultRowHeight="12.75"/>
  <cols>
    <col min="1" max="1" width="3.125" style="67" customWidth="1"/>
    <col min="2" max="2" width="3.25390625" style="67" customWidth="1"/>
    <col min="3" max="3" width="4.00390625" style="67" customWidth="1"/>
    <col min="4" max="4" width="8.125" style="67" customWidth="1"/>
    <col min="5" max="5" width="4.625" style="67" customWidth="1"/>
    <col min="6" max="6" width="4.375" style="67" customWidth="1"/>
    <col min="7" max="7" width="17.25390625" style="67" customWidth="1"/>
    <col min="8" max="8" width="2.875" style="67" customWidth="1"/>
    <col min="9" max="9" width="16.75390625" style="67" customWidth="1"/>
    <col min="10" max="10" width="2.875" style="67" customWidth="1"/>
    <col min="11" max="11" width="21.375" style="67" customWidth="1"/>
    <col min="12" max="12" width="3.125" style="67" customWidth="1"/>
    <col min="13" max="13" width="21.125" style="67" customWidth="1"/>
    <col min="14" max="15" width="18.00390625" style="196" bestFit="1" customWidth="1"/>
    <col min="16" max="16384" width="9.125" style="67" customWidth="1"/>
  </cols>
  <sheetData>
    <row r="1" spans="1:6" ht="15.75" customHeight="1">
      <c r="A1" s="65" t="str">
        <f>KQKD1!A1</f>
        <v>CÔNG TY CỔ PHẦN ĐẦU TƯ VÀ VẬN TẢI DẦU KHÍ VINASHIN VÀ CÔNG TY CON</v>
      </c>
      <c r="B1" s="66"/>
      <c r="C1" s="66"/>
      <c r="D1" s="66"/>
      <c r="E1" s="66"/>
      <c r="F1" s="66"/>
    </row>
    <row r="2" spans="1:6" ht="16.5" customHeight="1">
      <c r="A2" s="65"/>
      <c r="B2" s="66"/>
      <c r="C2" s="66"/>
      <c r="D2" s="66"/>
      <c r="E2" s="66"/>
      <c r="F2" s="66"/>
    </row>
    <row r="3" spans="1:6" ht="15.75" customHeight="1">
      <c r="A3" s="639" t="s">
        <v>559</v>
      </c>
      <c r="B3" s="66"/>
      <c r="C3" s="66"/>
      <c r="D3" s="66"/>
      <c r="E3" s="66"/>
      <c r="F3" s="66"/>
    </row>
    <row r="4" spans="1:13" ht="15.75" customHeight="1">
      <c r="A4" s="68" t="str">
        <f>KQKD1!A4</f>
        <v>Cho niên độ kết thúc ngày 31 tháng 12 năm 2007</v>
      </c>
      <c r="B4" s="69"/>
      <c r="C4" s="69"/>
      <c r="D4" s="69"/>
      <c r="E4" s="69"/>
      <c r="F4" s="69"/>
      <c r="G4" s="70"/>
      <c r="H4" s="70"/>
      <c r="I4" s="70"/>
      <c r="J4" s="70"/>
      <c r="K4" s="70"/>
      <c r="L4" s="70"/>
      <c r="M4" s="70"/>
    </row>
    <row r="5" spans="1:13" ht="4.5" customHeight="1" thickBot="1">
      <c r="A5" s="606"/>
      <c r="B5" s="607"/>
      <c r="C5" s="607"/>
      <c r="D5" s="607"/>
      <c r="E5" s="607"/>
      <c r="F5" s="607"/>
      <c r="G5" s="608"/>
      <c r="H5" s="608"/>
      <c r="I5" s="608"/>
      <c r="J5" s="608"/>
      <c r="K5" s="608"/>
      <c r="L5" s="608"/>
      <c r="M5" s="608"/>
    </row>
    <row r="6" ht="12" customHeight="1"/>
    <row r="7" spans="1:2" ht="15.75" customHeight="1">
      <c r="A7" s="725" t="s">
        <v>146</v>
      </c>
      <c r="B7" s="674" t="s">
        <v>560</v>
      </c>
    </row>
    <row r="8" ht="9.75" customHeight="1"/>
    <row r="9" spans="1:13" ht="15.75" customHeight="1">
      <c r="A9" s="267"/>
      <c r="B9" s="726" t="s">
        <v>561</v>
      </c>
      <c r="F9" s="186"/>
      <c r="I9" s="269"/>
      <c r="J9" s="269"/>
      <c r="K9" s="269"/>
      <c r="L9" s="269"/>
      <c r="M9" s="269"/>
    </row>
    <row r="10" spans="1:13" ht="9" customHeight="1">
      <c r="A10" s="270"/>
      <c r="B10" s="190"/>
      <c r="F10" s="186"/>
      <c r="I10" s="269"/>
      <c r="J10" s="269"/>
      <c r="K10" s="269"/>
      <c r="L10" s="269"/>
      <c r="M10" s="269"/>
    </row>
    <row r="11" spans="1:15" s="277" customFormat="1" ht="15.75" customHeight="1">
      <c r="A11" s="271"/>
      <c r="B11" s="727" t="s">
        <v>562</v>
      </c>
      <c r="C11" s="272"/>
      <c r="D11" s="272"/>
      <c r="E11" s="273"/>
      <c r="F11" s="274"/>
      <c r="G11" s="275"/>
      <c r="H11" s="275"/>
      <c r="I11" s="276"/>
      <c r="J11" s="276"/>
      <c r="K11" s="276"/>
      <c r="L11" s="276"/>
      <c r="N11" s="366"/>
      <c r="O11" s="366"/>
    </row>
    <row r="12" spans="1:12" ht="15.75" customHeight="1">
      <c r="A12" s="278"/>
      <c r="B12" s="728" t="s">
        <v>563</v>
      </c>
      <c r="C12" s="266"/>
      <c r="D12" s="266"/>
      <c r="E12" s="266"/>
      <c r="F12" s="266"/>
      <c r="G12" s="266"/>
      <c r="H12" s="266"/>
      <c r="I12" s="266"/>
      <c r="J12" s="266"/>
      <c r="K12" s="266"/>
      <c r="L12" s="266"/>
    </row>
    <row r="13" spans="1:12" ht="8.25" customHeight="1">
      <c r="A13" s="278"/>
      <c r="B13" s="279"/>
      <c r="C13" s="279"/>
      <c r="D13" s="266"/>
      <c r="E13" s="266"/>
      <c r="F13" s="266"/>
      <c r="G13" s="266"/>
      <c r="H13" s="266"/>
      <c r="I13" s="266"/>
      <c r="J13" s="266"/>
      <c r="K13" s="266"/>
      <c r="L13" s="266"/>
    </row>
    <row r="14" spans="1:15" s="277" customFormat="1" ht="15.75" customHeight="1">
      <c r="A14" s="271"/>
      <c r="B14" s="727" t="s">
        <v>564</v>
      </c>
      <c r="C14" s="272"/>
      <c r="D14" s="272"/>
      <c r="E14" s="273"/>
      <c r="F14" s="274"/>
      <c r="G14" s="275"/>
      <c r="H14" s="275"/>
      <c r="I14" s="276"/>
      <c r="J14" s="276"/>
      <c r="K14" s="276"/>
      <c r="L14" s="276"/>
      <c r="N14" s="366"/>
      <c r="O14" s="366"/>
    </row>
    <row r="15" spans="1:12" ht="15.75" customHeight="1">
      <c r="A15" s="278"/>
      <c r="B15" s="728" t="s">
        <v>565</v>
      </c>
      <c r="C15" s="266"/>
      <c r="D15" s="266"/>
      <c r="E15" s="266"/>
      <c r="F15" s="266"/>
      <c r="G15" s="266"/>
      <c r="H15" s="266"/>
      <c r="I15" s="266"/>
      <c r="J15" s="266"/>
      <c r="K15" s="266"/>
      <c r="L15" s="266"/>
    </row>
    <row r="16" spans="1:12" ht="12" customHeight="1">
      <c r="A16" s="278"/>
      <c r="B16" s="279"/>
      <c r="C16" s="266"/>
      <c r="D16" s="266"/>
      <c r="E16" s="266"/>
      <c r="F16" s="266"/>
      <c r="G16" s="266"/>
      <c r="H16" s="266"/>
      <c r="I16" s="266"/>
      <c r="J16" s="266"/>
      <c r="K16" s="266"/>
      <c r="L16" s="266"/>
    </row>
    <row r="17" spans="1:15" s="277" customFormat="1" ht="15.75" customHeight="1">
      <c r="A17" s="271"/>
      <c r="B17" s="727" t="s">
        <v>566</v>
      </c>
      <c r="C17" s="272"/>
      <c r="D17" s="272"/>
      <c r="E17" s="273"/>
      <c r="F17" s="274"/>
      <c r="G17" s="275"/>
      <c r="H17" s="275"/>
      <c r="I17" s="276"/>
      <c r="J17" s="276"/>
      <c r="K17" s="276"/>
      <c r="L17" s="276"/>
      <c r="N17" s="366"/>
      <c r="O17" s="366"/>
    </row>
    <row r="18" spans="1:15" s="282" customFormat="1" ht="123" customHeight="1">
      <c r="A18" s="280"/>
      <c r="B18" s="897" t="s">
        <v>175</v>
      </c>
      <c r="C18" s="865"/>
      <c r="D18" s="865"/>
      <c r="E18" s="865"/>
      <c r="F18" s="865"/>
      <c r="G18" s="865"/>
      <c r="H18" s="865"/>
      <c r="I18" s="865"/>
      <c r="J18" s="865"/>
      <c r="K18" s="865"/>
      <c r="L18" s="865"/>
      <c r="M18" s="865"/>
      <c r="N18" s="451"/>
      <c r="O18" s="451"/>
    </row>
    <row r="19" spans="1:12" ht="13.5" customHeight="1">
      <c r="A19" s="278"/>
      <c r="B19" s="279"/>
      <c r="C19" s="279"/>
      <c r="D19" s="266"/>
      <c r="E19" s="266"/>
      <c r="F19" s="266"/>
      <c r="G19" s="266"/>
      <c r="H19" s="266"/>
      <c r="I19" s="266"/>
      <c r="J19" s="266"/>
      <c r="K19" s="266"/>
      <c r="L19" s="266"/>
    </row>
    <row r="20" spans="1:15" s="277" customFormat="1" ht="15.75" customHeight="1">
      <c r="A20" s="271"/>
      <c r="B20" s="727" t="s">
        <v>567</v>
      </c>
      <c r="C20" s="272"/>
      <c r="D20" s="272"/>
      <c r="E20" s="273"/>
      <c r="F20" s="274"/>
      <c r="G20" s="275"/>
      <c r="H20" s="275"/>
      <c r="I20" s="276"/>
      <c r="J20" s="276"/>
      <c r="K20" s="276"/>
      <c r="L20" s="276"/>
      <c r="N20" s="366"/>
      <c r="O20" s="366"/>
    </row>
    <row r="21" spans="1:15" s="282" customFormat="1" ht="48.75" customHeight="1">
      <c r="A21" s="280"/>
      <c r="B21" s="864" t="s">
        <v>3</v>
      </c>
      <c r="C21" s="865"/>
      <c r="D21" s="865"/>
      <c r="E21" s="865"/>
      <c r="F21" s="865"/>
      <c r="G21" s="865"/>
      <c r="H21" s="865"/>
      <c r="I21" s="865"/>
      <c r="J21" s="865"/>
      <c r="K21" s="865"/>
      <c r="L21" s="865"/>
      <c r="M21" s="865"/>
      <c r="N21" s="451"/>
      <c r="O21" s="451"/>
    </row>
    <row r="22" spans="1:15" s="282" customFormat="1" ht="24" customHeight="1">
      <c r="A22" s="280"/>
      <c r="B22" s="864" t="s">
        <v>568</v>
      </c>
      <c r="C22" s="865"/>
      <c r="D22" s="865"/>
      <c r="E22" s="865"/>
      <c r="F22" s="865"/>
      <c r="G22" s="865"/>
      <c r="H22" s="865"/>
      <c r="I22" s="865"/>
      <c r="J22" s="865"/>
      <c r="K22" s="865"/>
      <c r="L22" s="865"/>
      <c r="M22" s="865"/>
      <c r="N22" s="451"/>
      <c r="O22" s="451"/>
    </row>
    <row r="23" spans="1:15" s="282" customFormat="1" ht="36" customHeight="1">
      <c r="A23" s="280"/>
      <c r="B23" s="864" t="s">
        <v>569</v>
      </c>
      <c r="C23" s="865"/>
      <c r="D23" s="865"/>
      <c r="E23" s="865"/>
      <c r="F23" s="865"/>
      <c r="G23" s="865"/>
      <c r="H23" s="865"/>
      <c r="I23" s="865"/>
      <c r="J23" s="865"/>
      <c r="K23" s="865"/>
      <c r="L23" s="865"/>
      <c r="M23" s="865"/>
      <c r="N23" s="451"/>
      <c r="O23" s="451"/>
    </row>
    <row r="24" spans="1:15" s="282" customFormat="1" ht="38.25" customHeight="1">
      <c r="A24" s="280"/>
      <c r="B24" s="864" t="s">
        <v>570</v>
      </c>
      <c r="C24" s="865"/>
      <c r="D24" s="865"/>
      <c r="E24" s="865"/>
      <c r="F24" s="865"/>
      <c r="G24" s="865"/>
      <c r="H24" s="865"/>
      <c r="I24" s="865"/>
      <c r="J24" s="865"/>
      <c r="K24" s="865"/>
      <c r="L24" s="865"/>
      <c r="M24" s="865"/>
      <c r="N24" s="451"/>
      <c r="O24" s="451"/>
    </row>
    <row r="25" spans="1:15" s="282" customFormat="1" ht="11.25" customHeight="1">
      <c r="A25" s="280"/>
      <c r="B25" s="309"/>
      <c r="C25" s="281"/>
      <c r="D25" s="281"/>
      <c r="E25" s="281"/>
      <c r="F25" s="281"/>
      <c r="G25" s="281"/>
      <c r="H25" s="281"/>
      <c r="I25" s="281"/>
      <c r="J25" s="281"/>
      <c r="K25" s="281"/>
      <c r="L25" s="281"/>
      <c r="M25" s="281"/>
      <c r="N25" s="451"/>
      <c r="O25" s="451"/>
    </row>
    <row r="26" spans="1:15" s="66" customFormat="1" ht="13.5">
      <c r="A26" s="729" t="s">
        <v>153</v>
      </c>
      <c r="B26" s="730" t="s">
        <v>571</v>
      </c>
      <c r="N26" s="71"/>
      <c r="O26" s="71"/>
    </row>
    <row r="27" spans="1:13" ht="9" customHeight="1">
      <c r="A27" s="199"/>
      <c r="B27" s="285"/>
      <c r="C27" s="281"/>
      <c r="D27" s="281"/>
      <c r="E27" s="281"/>
      <c r="F27" s="281"/>
      <c r="G27" s="281"/>
      <c r="H27" s="281"/>
      <c r="I27" s="281"/>
      <c r="J27" s="281"/>
      <c r="K27" s="281"/>
      <c r="L27" s="281"/>
      <c r="M27" s="281"/>
    </row>
    <row r="28" spans="1:15" s="277" customFormat="1" ht="15.75" customHeight="1">
      <c r="A28" s="286"/>
      <c r="B28" s="727" t="s">
        <v>572</v>
      </c>
      <c r="C28" s="287"/>
      <c r="D28" s="287"/>
      <c r="E28" s="288"/>
      <c r="G28" s="275"/>
      <c r="H28" s="275"/>
      <c r="I28" s="275"/>
      <c r="J28" s="275"/>
      <c r="K28" s="275"/>
      <c r="L28" s="275"/>
      <c r="N28" s="366"/>
      <c r="O28" s="366"/>
    </row>
    <row r="29" spans="1:13" ht="15.75" customHeight="1">
      <c r="A29" s="199"/>
      <c r="B29" s="728" t="s">
        <v>543</v>
      </c>
      <c r="C29" s="279"/>
      <c r="D29" s="279"/>
      <c r="E29" s="279"/>
      <c r="F29" s="279"/>
      <c r="G29" s="279"/>
      <c r="H29" s="279"/>
      <c r="I29" s="279"/>
      <c r="J29" s="279"/>
      <c r="K29" s="279"/>
      <c r="L29" s="279"/>
      <c r="M29" s="279"/>
    </row>
    <row r="30" spans="1:13" ht="10.5" customHeight="1">
      <c r="A30" s="199"/>
      <c r="B30" s="285"/>
      <c r="C30" s="281"/>
      <c r="D30" s="281"/>
      <c r="E30" s="281"/>
      <c r="F30" s="281"/>
      <c r="G30" s="281"/>
      <c r="H30" s="281"/>
      <c r="I30" s="281"/>
      <c r="J30" s="281"/>
      <c r="K30" s="281"/>
      <c r="L30" s="281"/>
      <c r="M30" s="281"/>
    </row>
    <row r="31" spans="1:15" s="277" customFormat="1" ht="15.75" customHeight="1">
      <c r="A31" s="286"/>
      <c r="B31" s="727" t="s">
        <v>544</v>
      </c>
      <c r="C31" s="287"/>
      <c r="D31" s="287"/>
      <c r="E31" s="290"/>
      <c r="G31" s="275"/>
      <c r="H31" s="275"/>
      <c r="I31" s="275"/>
      <c r="J31" s="275"/>
      <c r="K31" s="275"/>
      <c r="L31" s="275"/>
      <c r="N31" s="366"/>
      <c r="O31" s="366"/>
    </row>
    <row r="32" spans="1:15" s="277" customFormat="1" ht="15.75" customHeight="1">
      <c r="A32" s="286"/>
      <c r="B32" s="731" t="s">
        <v>545</v>
      </c>
      <c r="C32" s="287"/>
      <c r="D32" s="287"/>
      <c r="E32" s="290"/>
      <c r="G32" s="275"/>
      <c r="H32" s="275"/>
      <c r="I32" s="275"/>
      <c r="J32" s="275"/>
      <c r="K32" s="275"/>
      <c r="L32" s="275"/>
      <c r="N32" s="366"/>
      <c r="O32" s="366"/>
    </row>
    <row r="33" spans="1:15" s="66" customFormat="1" ht="14.25" customHeight="1">
      <c r="A33" s="291"/>
      <c r="B33" s="284"/>
      <c r="N33" s="71"/>
      <c r="O33" s="71"/>
    </row>
    <row r="34" spans="1:15" s="66" customFormat="1" ht="15.75" customHeight="1">
      <c r="A34" s="730" t="s">
        <v>546</v>
      </c>
      <c r="B34" s="284"/>
      <c r="N34" s="71"/>
      <c r="O34" s="71"/>
    </row>
    <row r="35" spans="1:15" s="66" customFormat="1" ht="7.5" customHeight="1">
      <c r="A35" s="291"/>
      <c r="B35" s="284"/>
      <c r="N35" s="71"/>
      <c r="O35" s="71"/>
    </row>
    <row r="36" spans="1:15" s="66" customFormat="1" ht="15.75" customHeight="1">
      <c r="A36" s="291"/>
      <c r="B36" s="727" t="s">
        <v>547</v>
      </c>
      <c r="C36" s="187"/>
      <c r="N36" s="71"/>
      <c r="O36" s="71"/>
    </row>
    <row r="37" spans="1:13" ht="33.75" customHeight="1">
      <c r="A37" s="199"/>
      <c r="B37" s="864" t="s">
        <v>548</v>
      </c>
      <c r="C37" s="865"/>
      <c r="D37" s="865"/>
      <c r="E37" s="865"/>
      <c r="F37" s="865"/>
      <c r="G37" s="865"/>
      <c r="H37" s="865"/>
      <c r="I37" s="865"/>
      <c r="J37" s="865"/>
      <c r="K37" s="865"/>
      <c r="L37" s="865"/>
      <c r="M37" s="865"/>
    </row>
    <row r="38" spans="1:13" ht="5.25" customHeight="1">
      <c r="A38" s="199"/>
      <c r="B38" s="266"/>
      <c r="C38" s="281"/>
      <c r="D38" s="281"/>
      <c r="E38" s="281"/>
      <c r="F38" s="281"/>
      <c r="G38" s="281"/>
      <c r="H38" s="281"/>
      <c r="I38" s="281"/>
      <c r="J38" s="281"/>
      <c r="K38" s="281"/>
      <c r="L38" s="281"/>
      <c r="M38" s="281"/>
    </row>
    <row r="39" spans="1:15" s="66" customFormat="1" ht="15.75" customHeight="1">
      <c r="A39" s="291"/>
      <c r="B39" s="727" t="s">
        <v>549</v>
      </c>
      <c r="C39" s="187"/>
      <c r="N39" s="71"/>
      <c r="O39" s="71"/>
    </row>
    <row r="40" spans="1:15" s="66" customFormat="1" ht="30.75" customHeight="1">
      <c r="A40" s="291"/>
      <c r="B40" s="868" t="s">
        <v>550</v>
      </c>
      <c r="C40" s="679"/>
      <c r="D40" s="679"/>
      <c r="E40" s="679"/>
      <c r="F40" s="679"/>
      <c r="G40" s="679"/>
      <c r="H40" s="679"/>
      <c r="I40" s="679"/>
      <c r="J40" s="679"/>
      <c r="K40" s="679"/>
      <c r="L40" s="679"/>
      <c r="M40" s="679"/>
      <c r="N40" s="71"/>
      <c r="O40" s="71"/>
    </row>
    <row r="41" spans="1:15" s="66" customFormat="1" ht="31.5" customHeight="1">
      <c r="A41" s="291"/>
      <c r="B41" s="868" t="s">
        <v>551</v>
      </c>
      <c r="C41" s="679"/>
      <c r="D41" s="679"/>
      <c r="E41" s="679"/>
      <c r="F41" s="679"/>
      <c r="G41" s="679"/>
      <c r="H41" s="679"/>
      <c r="I41" s="679"/>
      <c r="J41" s="679"/>
      <c r="K41" s="679"/>
      <c r="L41" s="679"/>
      <c r="M41" s="679"/>
      <c r="N41" s="71"/>
      <c r="O41" s="71"/>
    </row>
    <row r="42" spans="1:15" s="66" customFormat="1" ht="44.25" customHeight="1">
      <c r="A42" s="291"/>
      <c r="B42" s="736" t="s">
        <v>150</v>
      </c>
      <c r="C42" s="679"/>
      <c r="D42" s="679"/>
      <c r="E42" s="679"/>
      <c r="F42" s="679"/>
      <c r="G42" s="679"/>
      <c r="H42" s="679"/>
      <c r="I42" s="679"/>
      <c r="J42" s="679"/>
      <c r="K42" s="679"/>
      <c r="L42" s="679"/>
      <c r="M42" s="679"/>
      <c r="N42" s="71"/>
      <c r="O42" s="71"/>
    </row>
    <row r="43" spans="1:15" s="66" customFormat="1" ht="10.5" customHeight="1">
      <c r="A43" s="291"/>
      <c r="B43" s="289"/>
      <c r="C43" s="289"/>
      <c r="D43" s="289"/>
      <c r="E43" s="289"/>
      <c r="F43" s="289"/>
      <c r="G43" s="289"/>
      <c r="H43" s="289"/>
      <c r="I43" s="289"/>
      <c r="J43" s="289"/>
      <c r="K43" s="289"/>
      <c r="L43" s="289"/>
      <c r="M43" s="289"/>
      <c r="N43" s="71"/>
      <c r="O43" s="71"/>
    </row>
    <row r="44" spans="1:15" s="66" customFormat="1" ht="15.75" customHeight="1">
      <c r="A44" s="291"/>
      <c r="B44" s="727" t="s">
        <v>552</v>
      </c>
      <c r="C44" s="187"/>
      <c r="N44" s="71"/>
      <c r="O44" s="71"/>
    </row>
    <row r="45" spans="1:15" s="282" customFormat="1" ht="15.75" customHeight="1">
      <c r="A45" s="292"/>
      <c r="B45" s="732" t="s">
        <v>553</v>
      </c>
      <c r="C45" s="283"/>
      <c r="D45" s="283"/>
      <c r="E45" s="283"/>
      <c r="F45" s="283"/>
      <c r="G45" s="283"/>
      <c r="H45" s="283"/>
      <c r="I45" s="283"/>
      <c r="J45" s="283"/>
      <c r="K45" s="283"/>
      <c r="L45" s="283"/>
      <c r="N45" s="451"/>
      <c r="O45" s="451"/>
    </row>
    <row r="46" spans="1:12" ht="7.5" customHeight="1">
      <c r="A46" s="199"/>
      <c r="C46" s="266"/>
      <c r="D46" s="266"/>
      <c r="E46" s="266"/>
      <c r="F46" s="266"/>
      <c r="G46" s="266"/>
      <c r="H46" s="266"/>
      <c r="I46" s="266"/>
      <c r="J46" s="266"/>
      <c r="K46" s="266"/>
      <c r="L46" s="266"/>
    </row>
    <row r="47" spans="1:15" s="66" customFormat="1" ht="21.75" customHeight="1">
      <c r="A47" s="729" t="s">
        <v>158</v>
      </c>
      <c r="B47" s="730" t="s">
        <v>554</v>
      </c>
      <c r="N47" s="71"/>
      <c r="O47" s="71"/>
    </row>
    <row r="48" spans="1:15" s="66" customFormat="1" ht="6.75" customHeight="1">
      <c r="A48" s="291"/>
      <c r="B48" s="284"/>
      <c r="N48" s="71"/>
      <c r="O48" s="71"/>
    </row>
    <row r="49" spans="1:15" s="66" customFormat="1" ht="16.5" customHeight="1" hidden="1">
      <c r="A49" s="291"/>
      <c r="B49" s="737" t="s">
        <v>555</v>
      </c>
      <c r="N49" s="71"/>
      <c r="O49" s="71"/>
    </row>
    <row r="50" spans="1:15" s="66" customFormat="1" ht="16.5" customHeight="1" hidden="1">
      <c r="A50" s="291"/>
      <c r="B50" s="864" t="s">
        <v>760</v>
      </c>
      <c r="C50" s="865"/>
      <c r="D50" s="865"/>
      <c r="E50" s="865"/>
      <c r="F50" s="865"/>
      <c r="G50" s="865"/>
      <c r="H50" s="865"/>
      <c r="I50" s="865"/>
      <c r="J50" s="865"/>
      <c r="K50" s="865"/>
      <c r="L50" s="865"/>
      <c r="M50" s="865"/>
      <c r="N50" s="71"/>
      <c r="O50" s="71"/>
    </row>
    <row r="51" spans="1:15" s="66" customFormat="1" ht="16.5" customHeight="1" hidden="1">
      <c r="A51" s="291"/>
      <c r="B51" s="864" t="s">
        <v>530</v>
      </c>
      <c r="C51" s="865"/>
      <c r="D51" s="865"/>
      <c r="E51" s="865"/>
      <c r="F51" s="865"/>
      <c r="G51" s="865"/>
      <c r="H51" s="865"/>
      <c r="I51" s="865"/>
      <c r="J51" s="865"/>
      <c r="K51" s="865"/>
      <c r="L51" s="865"/>
      <c r="M51" s="865"/>
      <c r="N51" s="71"/>
      <c r="O51" s="71"/>
    </row>
    <row r="52" spans="1:15" s="66" customFormat="1" ht="16.5" customHeight="1" hidden="1">
      <c r="A52" s="291"/>
      <c r="B52" s="864" t="s">
        <v>531</v>
      </c>
      <c r="C52" s="865"/>
      <c r="D52" s="865"/>
      <c r="E52" s="865"/>
      <c r="F52" s="865"/>
      <c r="G52" s="865"/>
      <c r="H52" s="865"/>
      <c r="I52" s="865"/>
      <c r="J52" s="865"/>
      <c r="K52" s="865"/>
      <c r="L52" s="865"/>
      <c r="M52" s="865"/>
      <c r="N52" s="71"/>
      <c r="O52" s="71"/>
    </row>
    <row r="53" spans="1:15" s="66" customFormat="1" ht="16.5" customHeight="1" hidden="1">
      <c r="A53" s="291"/>
      <c r="B53" s="864" t="s">
        <v>532</v>
      </c>
      <c r="C53" s="865"/>
      <c r="D53" s="865"/>
      <c r="E53" s="865"/>
      <c r="F53" s="865"/>
      <c r="G53" s="865"/>
      <c r="H53" s="865"/>
      <c r="I53" s="865"/>
      <c r="J53" s="865"/>
      <c r="K53" s="865"/>
      <c r="L53" s="865"/>
      <c r="M53" s="865"/>
      <c r="N53" s="71"/>
      <c r="O53" s="71"/>
    </row>
    <row r="54" spans="1:15" s="66" customFormat="1" ht="16.5" customHeight="1" hidden="1">
      <c r="A54" s="291"/>
      <c r="B54" s="284"/>
      <c r="N54" s="71"/>
      <c r="O54" s="71"/>
    </row>
    <row r="55" spans="1:15" s="66" customFormat="1" ht="15.75" customHeight="1">
      <c r="A55" s="291"/>
      <c r="B55" s="727" t="s">
        <v>533</v>
      </c>
      <c r="C55" s="187"/>
      <c r="N55" s="71"/>
      <c r="O55" s="71"/>
    </row>
    <row r="56" spans="1:15" s="66" customFormat="1" ht="20.25" customHeight="1">
      <c r="A56" s="291"/>
      <c r="B56" s="731" t="s">
        <v>534</v>
      </c>
      <c r="C56" s="187"/>
      <c r="N56" s="71"/>
      <c r="O56" s="71"/>
    </row>
    <row r="57" spans="1:13" ht="48" customHeight="1">
      <c r="A57" s="199"/>
      <c r="B57" s="864" t="s">
        <v>777</v>
      </c>
      <c r="C57" s="865"/>
      <c r="D57" s="865"/>
      <c r="E57" s="865"/>
      <c r="F57" s="865"/>
      <c r="G57" s="865"/>
      <c r="H57" s="865"/>
      <c r="I57" s="865"/>
      <c r="J57" s="865"/>
      <c r="K57" s="865"/>
      <c r="L57" s="865"/>
      <c r="M57" s="865"/>
    </row>
    <row r="58" spans="1:13" ht="14.25" customHeight="1">
      <c r="A58" s="199"/>
      <c r="B58" s="266"/>
      <c r="C58" s="281"/>
      <c r="D58" s="281"/>
      <c r="E58" s="281"/>
      <c r="F58" s="281"/>
      <c r="G58" s="281"/>
      <c r="H58" s="281"/>
      <c r="I58" s="281"/>
      <c r="J58" s="281"/>
      <c r="K58" s="281"/>
      <c r="L58" s="281"/>
      <c r="M58" s="281"/>
    </row>
    <row r="59" spans="1:13" ht="14.25">
      <c r="A59" s="199"/>
      <c r="B59" s="866" t="s">
        <v>535</v>
      </c>
      <c r="C59" s="891"/>
      <c r="D59" s="891"/>
      <c r="E59" s="891"/>
      <c r="F59" s="891"/>
      <c r="G59" s="891"/>
      <c r="H59" s="891"/>
      <c r="I59" s="891"/>
      <c r="J59" s="891"/>
      <c r="K59" s="891"/>
      <c r="L59" s="891"/>
      <c r="M59" s="891"/>
    </row>
    <row r="60" spans="1:13" ht="65.25" customHeight="1">
      <c r="A60" s="199"/>
      <c r="B60" s="864" t="s">
        <v>647</v>
      </c>
      <c r="C60" s="865"/>
      <c r="D60" s="865"/>
      <c r="E60" s="865"/>
      <c r="F60" s="865"/>
      <c r="G60" s="865"/>
      <c r="H60" s="865"/>
      <c r="I60" s="865"/>
      <c r="J60" s="865"/>
      <c r="K60" s="865"/>
      <c r="L60" s="865"/>
      <c r="M60" s="865"/>
    </row>
    <row r="61" spans="1:13" ht="33" customHeight="1">
      <c r="A61" s="199"/>
      <c r="B61" s="895" t="s">
        <v>536</v>
      </c>
      <c r="C61" s="896"/>
      <c r="D61" s="896"/>
      <c r="E61" s="896"/>
      <c r="F61" s="896"/>
      <c r="G61" s="896"/>
      <c r="H61" s="896"/>
      <c r="I61" s="896"/>
      <c r="J61" s="896"/>
      <c r="K61" s="896"/>
      <c r="L61" s="896"/>
      <c r="M61" s="896"/>
    </row>
    <row r="62" spans="1:13" ht="12.75">
      <c r="A62" s="199"/>
      <c r="B62" s="266"/>
      <c r="C62" s="281"/>
      <c r="D62" s="281"/>
      <c r="E62" s="281"/>
      <c r="F62" s="281"/>
      <c r="G62" s="281"/>
      <c r="H62" s="281"/>
      <c r="I62" s="281"/>
      <c r="J62" s="281"/>
      <c r="K62" s="281"/>
      <c r="L62" s="281"/>
      <c r="M62" s="281"/>
    </row>
    <row r="63" spans="1:12" ht="14.25">
      <c r="A63" s="199"/>
      <c r="B63" s="727" t="s">
        <v>537</v>
      </c>
      <c r="C63" s="189"/>
      <c r="F63" s="293"/>
      <c r="G63" s="295"/>
      <c r="H63" s="295"/>
      <c r="I63" s="269"/>
      <c r="J63" s="269"/>
      <c r="K63" s="269"/>
      <c r="L63" s="269"/>
    </row>
    <row r="64" spans="1:13" ht="48.75" customHeight="1">
      <c r="A64" s="199"/>
      <c r="B64" s="892" t="s">
        <v>151</v>
      </c>
      <c r="C64" s="733"/>
      <c r="D64" s="733"/>
      <c r="E64" s="733"/>
      <c r="F64" s="733"/>
      <c r="G64" s="733"/>
      <c r="H64" s="733"/>
      <c r="I64" s="733"/>
      <c r="J64" s="733"/>
      <c r="K64" s="733"/>
      <c r="L64" s="733"/>
      <c r="M64" s="733"/>
    </row>
    <row r="65" spans="1:13" ht="48" customHeight="1">
      <c r="A65" s="199"/>
      <c r="B65" s="842" t="s">
        <v>538</v>
      </c>
      <c r="C65" s="733"/>
      <c r="D65" s="733"/>
      <c r="E65" s="733"/>
      <c r="F65" s="733"/>
      <c r="G65" s="733"/>
      <c r="H65" s="733"/>
      <c r="I65" s="733"/>
      <c r="J65" s="733"/>
      <c r="K65" s="733"/>
      <c r="L65" s="733"/>
      <c r="M65" s="733"/>
    </row>
    <row r="66" spans="1:13" ht="18" customHeight="1">
      <c r="A66" s="199"/>
      <c r="B66" s="842" t="s">
        <v>539</v>
      </c>
      <c r="C66" s="733"/>
      <c r="D66" s="733"/>
      <c r="E66" s="733"/>
      <c r="F66" s="733"/>
      <c r="G66" s="733"/>
      <c r="H66" s="733"/>
      <c r="I66" s="733"/>
      <c r="J66" s="733"/>
      <c r="K66" s="733"/>
      <c r="L66" s="733"/>
      <c r="M66" s="733"/>
    </row>
    <row r="67" spans="1:13" ht="18" customHeight="1">
      <c r="A67" s="199"/>
      <c r="B67" s="732" t="s">
        <v>540</v>
      </c>
      <c r="C67" s="298"/>
      <c r="D67" s="299"/>
      <c r="E67" s="299"/>
      <c r="F67" s="300"/>
      <c r="G67" s="301"/>
      <c r="H67" s="301"/>
      <c r="I67" s="302"/>
      <c r="J67" s="302"/>
      <c r="K67" s="302"/>
      <c r="L67" s="302"/>
      <c r="M67" s="299"/>
    </row>
    <row r="68" spans="1:13" ht="33.75" customHeight="1">
      <c r="A68" s="199"/>
      <c r="B68" s="842" t="s">
        <v>625</v>
      </c>
      <c r="C68" s="733"/>
      <c r="D68" s="733"/>
      <c r="E68" s="733"/>
      <c r="F68" s="733"/>
      <c r="G68" s="733"/>
      <c r="H68" s="733"/>
      <c r="I68" s="733"/>
      <c r="J68" s="733"/>
      <c r="K68" s="733"/>
      <c r="L68" s="733"/>
      <c r="M68" s="733"/>
    </row>
    <row r="69" spans="1:13" ht="51.75" customHeight="1">
      <c r="A69" s="199"/>
      <c r="B69" s="842" t="s">
        <v>135</v>
      </c>
      <c r="C69" s="733"/>
      <c r="D69" s="733"/>
      <c r="E69" s="733"/>
      <c r="F69" s="733"/>
      <c r="G69" s="733"/>
      <c r="H69" s="733"/>
      <c r="I69" s="733"/>
      <c r="J69" s="733"/>
      <c r="K69" s="733"/>
      <c r="L69" s="733"/>
      <c r="M69" s="733"/>
    </row>
    <row r="70" spans="1:13" ht="12" customHeight="1">
      <c r="A70" s="199"/>
      <c r="B70" s="299"/>
      <c r="C70" s="298"/>
      <c r="D70" s="299"/>
      <c r="E70" s="299"/>
      <c r="F70" s="300"/>
      <c r="G70" s="301"/>
      <c r="H70" s="301"/>
      <c r="I70" s="302"/>
      <c r="J70" s="302"/>
      <c r="K70" s="302"/>
      <c r="L70" s="302"/>
      <c r="M70" s="299"/>
    </row>
    <row r="71" spans="1:12" ht="15.75" customHeight="1">
      <c r="A71" s="199"/>
      <c r="B71" s="727" t="s">
        <v>541</v>
      </c>
      <c r="C71" s="189"/>
      <c r="F71" s="293"/>
      <c r="G71" s="295"/>
      <c r="H71" s="295"/>
      <c r="I71" s="269"/>
      <c r="J71" s="269"/>
      <c r="K71" s="269"/>
      <c r="L71" s="269"/>
    </row>
    <row r="72" spans="1:13" ht="18" customHeight="1">
      <c r="A72" s="199"/>
      <c r="B72" s="864" t="s">
        <v>542</v>
      </c>
      <c r="C72" s="865"/>
      <c r="D72" s="865"/>
      <c r="E72" s="865"/>
      <c r="F72" s="865"/>
      <c r="G72" s="865"/>
      <c r="H72" s="865"/>
      <c r="I72" s="865"/>
      <c r="J72" s="865"/>
      <c r="K72" s="865"/>
      <c r="L72" s="865"/>
      <c r="M72" s="865"/>
    </row>
    <row r="73" spans="1:13" ht="33.75" customHeight="1">
      <c r="A73" s="199"/>
      <c r="B73" s="842" t="s">
        <v>512</v>
      </c>
      <c r="C73" s="733"/>
      <c r="D73" s="733"/>
      <c r="E73" s="733"/>
      <c r="F73" s="733"/>
      <c r="G73" s="733"/>
      <c r="H73" s="733"/>
      <c r="I73" s="733"/>
      <c r="J73" s="733"/>
      <c r="K73" s="733"/>
      <c r="L73" s="733"/>
      <c r="M73" s="733"/>
    </row>
    <row r="74" spans="1:13" ht="12.75" customHeight="1">
      <c r="A74" s="199"/>
      <c r="B74" s="266"/>
      <c r="C74" s="281"/>
      <c r="D74" s="281"/>
      <c r="E74" s="281"/>
      <c r="F74" s="281"/>
      <c r="G74" s="281"/>
      <c r="H74" s="281"/>
      <c r="I74" s="281"/>
      <c r="J74" s="281"/>
      <c r="K74" s="281"/>
      <c r="L74" s="281"/>
      <c r="M74" s="281"/>
    </row>
    <row r="75" spans="1:15" s="306" customFormat="1" ht="15" customHeight="1" hidden="1">
      <c r="A75" s="303"/>
      <c r="B75" s="738" t="s">
        <v>513</v>
      </c>
      <c r="C75" s="304"/>
      <c r="D75" s="304"/>
      <c r="E75" s="305"/>
      <c r="G75" s="307"/>
      <c r="H75" s="307"/>
      <c r="I75" s="307"/>
      <c r="J75" s="307"/>
      <c r="K75" s="307"/>
      <c r="L75" s="307"/>
      <c r="N75" s="478"/>
      <c r="O75" s="478"/>
    </row>
    <row r="76" spans="1:15" s="282" customFormat="1" ht="15" customHeight="1" hidden="1">
      <c r="A76" s="292"/>
      <c r="B76" s="893" t="s">
        <v>784</v>
      </c>
      <c r="C76" s="894"/>
      <c r="D76" s="894"/>
      <c r="E76" s="894"/>
      <c r="F76" s="894"/>
      <c r="G76" s="894"/>
      <c r="H76" s="894"/>
      <c r="I76" s="894"/>
      <c r="J76" s="894"/>
      <c r="K76" s="894"/>
      <c r="L76" s="894"/>
      <c r="M76" s="894"/>
      <c r="N76" s="451"/>
      <c r="O76" s="451"/>
    </row>
    <row r="77" spans="1:15" s="282" customFormat="1" ht="15" customHeight="1" hidden="1">
      <c r="A77" s="292"/>
      <c r="B77" s="893" t="s">
        <v>514</v>
      </c>
      <c r="C77" s="894"/>
      <c r="D77" s="894"/>
      <c r="E77" s="894"/>
      <c r="F77" s="894"/>
      <c r="G77" s="894"/>
      <c r="H77" s="894"/>
      <c r="I77" s="894"/>
      <c r="J77" s="894"/>
      <c r="K77" s="894"/>
      <c r="L77" s="894"/>
      <c r="M77" s="894"/>
      <c r="N77" s="451"/>
      <c r="O77" s="451"/>
    </row>
    <row r="78" spans="1:15" s="282" customFormat="1" ht="15" customHeight="1" hidden="1">
      <c r="A78" s="292"/>
      <c r="B78" s="893" t="s">
        <v>515</v>
      </c>
      <c r="C78" s="894"/>
      <c r="D78" s="894"/>
      <c r="E78" s="894"/>
      <c r="F78" s="894"/>
      <c r="G78" s="894"/>
      <c r="H78" s="894"/>
      <c r="I78" s="894"/>
      <c r="J78" s="894"/>
      <c r="K78" s="894"/>
      <c r="L78" s="894"/>
      <c r="M78" s="894"/>
      <c r="N78" s="451"/>
      <c r="O78" s="451"/>
    </row>
    <row r="79" spans="1:15" s="282" customFormat="1" ht="15" customHeight="1" hidden="1">
      <c r="A79" s="292"/>
      <c r="B79" s="283"/>
      <c r="C79" s="308"/>
      <c r="D79" s="308"/>
      <c r="E79" s="308"/>
      <c r="F79" s="308"/>
      <c r="G79" s="308"/>
      <c r="H79" s="308"/>
      <c r="I79" s="308"/>
      <c r="J79" s="308"/>
      <c r="K79" s="308"/>
      <c r="L79" s="308"/>
      <c r="M79" s="308"/>
      <c r="N79" s="451"/>
      <c r="O79" s="451"/>
    </row>
    <row r="80" spans="1:15" s="277" customFormat="1" ht="15.75" customHeight="1">
      <c r="A80" s="286"/>
      <c r="B80" s="727" t="s">
        <v>516</v>
      </c>
      <c r="C80" s="287"/>
      <c r="D80" s="287"/>
      <c r="E80" s="288"/>
      <c r="G80" s="275"/>
      <c r="H80" s="275"/>
      <c r="I80" s="275"/>
      <c r="J80" s="275"/>
      <c r="K80" s="275"/>
      <c r="L80" s="275"/>
      <c r="N80" s="366"/>
      <c r="O80" s="366"/>
    </row>
    <row r="81" spans="1:12" ht="18" customHeight="1">
      <c r="A81" s="199"/>
      <c r="B81" s="731" t="s">
        <v>517</v>
      </c>
      <c r="C81" s="187"/>
      <c r="D81" s="187"/>
      <c r="E81" s="186"/>
      <c r="G81" s="269"/>
      <c r="H81" s="269"/>
      <c r="I81" s="269"/>
      <c r="J81" s="269"/>
      <c r="K81" s="269"/>
      <c r="L81" s="269"/>
    </row>
    <row r="82" spans="1:12" ht="18" customHeight="1">
      <c r="A82" s="199"/>
      <c r="B82" s="731" t="s">
        <v>518</v>
      </c>
      <c r="C82" s="187"/>
      <c r="D82" s="187"/>
      <c r="E82" s="186"/>
      <c r="G82" s="269"/>
      <c r="H82" s="269"/>
      <c r="I82" s="269"/>
      <c r="J82" s="269"/>
      <c r="K82" s="269"/>
      <c r="L82" s="269"/>
    </row>
    <row r="83" spans="1:13" ht="35.25" customHeight="1">
      <c r="A83" s="199"/>
      <c r="B83" s="864" t="s">
        <v>519</v>
      </c>
      <c r="C83" s="865"/>
      <c r="D83" s="865"/>
      <c r="E83" s="865"/>
      <c r="F83" s="865"/>
      <c r="G83" s="865"/>
      <c r="H83" s="865"/>
      <c r="I83" s="865"/>
      <c r="J83" s="865"/>
      <c r="K83" s="865"/>
      <c r="L83" s="865"/>
      <c r="M83" s="865"/>
    </row>
    <row r="84" spans="1:13" ht="35.25" customHeight="1">
      <c r="A84" s="199"/>
      <c r="B84" s="864" t="s">
        <v>520</v>
      </c>
      <c r="C84" s="865"/>
      <c r="D84" s="865"/>
      <c r="E84" s="865"/>
      <c r="F84" s="865"/>
      <c r="G84" s="865"/>
      <c r="H84" s="865"/>
      <c r="I84" s="865"/>
      <c r="J84" s="865"/>
      <c r="K84" s="865"/>
      <c r="L84" s="865"/>
      <c r="M84" s="865"/>
    </row>
    <row r="85" spans="1:13" ht="50.25" customHeight="1">
      <c r="A85" s="199"/>
      <c r="B85" s="897" t="s">
        <v>232</v>
      </c>
      <c r="C85" s="865"/>
      <c r="D85" s="865"/>
      <c r="E85" s="865"/>
      <c r="F85" s="865"/>
      <c r="G85" s="865"/>
      <c r="H85" s="865"/>
      <c r="I85" s="865"/>
      <c r="J85" s="865"/>
      <c r="K85" s="865"/>
      <c r="L85" s="865"/>
      <c r="M85" s="865"/>
    </row>
    <row r="86" spans="1:13" ht="3" customHeight="1">
      <c r="A86" s="199"/>
      <c r="B86" s="309"/>
      <c r="C86" s="281"/>
      <c r="D86" s="281"/>
      <c r="E86" s="281"/>
      <c r="F86" s="281"/>
      <c r="G86" s="281"/>
      <c r="H86" s="281"/>
      <c r="I86" s="281"/>
      <c r="J86" s="281"/>
      <c r="K86" s="281"/>
      <c r="L86" s="281"/>
      <c r="M86" s="281"/>
    </row>
    <row r="87" spans="1:15" s="277" customFormat="1" ht="19.5" customHeight="1">
      <c r="A87" s="286"/>
      <c r="B87" s="310"/>
      <c r="C87" s="311"/>
      <c r="D87" s="741" t="s">
        <v>522</v>
      </c>
      <c r="E87" s="311"/>
      <c r="F87" s="311"/>
      <c r="G87" s="311"/>
      <c r="H87" s="311"/>
      <c r="I87" s="739" t="s">
        <v>521</v>
      </c>
      <c r="J87" s="312"/>
      <c r="K87" s="311"/>
      <c r="L87" s="311"/>
      <c r="M87" s="311"/>
      <c r="N87" s="366"/>
      <c r="O87" s="366"/>
    </row>
    <row r="88" spans="1:13" ht="19.5" customHeight="1">
      <c r="A88" s="199"/>
      <c r="B88" s="295"/>
      <c r="D88" s="742" t="s">
        <v>523</v>
      </c>
      <c r="G88" s="293"/>
      <c r="H88" s="293"/>
      <c r="I88" s="740" t="s">
        <v>1</v>
      </c>
      <c r="J88" s="313"/>
      <c r="K88" s="269"/>
      <c r="L88" s="269"/>
      <c r="M88" s="269"/>
    </row>
    <row r="89" spans="1:13" ht="19.5" customHeight="1">
      <c r="A89" s="199"/>
      <c r="B89" s="295"/>
      <c r="D89" s="742" t="s">
        <v>524</v>
      </c>
      <c r="G89" s="293"/>
      <c r="H89" s="293"/>
      <c r="I89" s="740" t="s">
        <v>140</v>
      </c>
      <c r="J89" s="295"/>
      <c r="K89" s="269"/>
      <c r="L89" s="269"/>
      <c r="M89" s="269"/>
    </row>
    <row r="90" spans="1:13" ht="19.5" customHeight="1">
      <c r="A90" s="199"/>
      <c r="B90" s="295"/>
      <c r="D90" s="742" t="s">
        <v>525</v>
      </c>
      <c r="G90" s="293"/>
      <c r="H90" s="293"/>
      <c r="I90" s="740" t="s">
        <v>2</v>
      </c>
      <c r="J90" s="295"/>
      <c r="K90" s="269"/>
      <c r="L90" s="269"/>
      <c r="M90" s="269"/>
    </row>
    <row r="91" spans="1:13" ht="19.5" customHeight="1">
      <c r="A91" s="199"/>
      <c r="B91" s="295"/>
      <c r="D91" s="742" t="s">
        <v>526</v>
      </c>
      <c r="G91" s="293"/>
      <c r="H91" s="293"/>
      <c r="I91" s="301">
        <v>20</v>
      </c>
      <c r="J91" s="295"/>
      <c r="K91" s="269"/>
      <c r="L91" s="269"/>
      <c r="M91" s="269"/>
    </row>
    <row r="92" spans="1:13" ht="19.5" customHeight="1">
      <c r="A92" s="199"/>
      <c r="B92" s="295"/>
      <c r="D92" s="742" t="s">
        <v>527</v>
      </c>
      <c r="G92" s="293"/>
      <c r="H92" s="293"/>
      <c r="I92" s="743" t="s">
        <v>206</v>
      </c>
      <c r="J92" s="295"/>
      <c r="K92" s="269"/>
      <c r="L92" s="269"/>
      <c r="M92" s="269"/>
    </row>
    <row r="93" spans="1:13" ht="13.5">
      <c r="A93" s="199"/>
      <c r="B93" s="295"/>
      <c r="D93" s="189"/>
      <c r="G93" s="293"/>
      <c r="H93" s="293"/>
      <c r="I93" s="295"/>
      <c r="J93" s="295"/>
      <c r="K93" s="269"/>
      <c r="L93" s="269"/>
      <c r="M93" s="269"/>
    </row>
    <row r="94" spans="1:15" s="277" customFormat="1" ht="15.75" customHeight="1">
      <c r="A94" s="286"/>
      <c r="B94" s="727" t="s">
        <v>528</v>
      </c>
      <c r="C94" s="287"/>
      <c r="D94" s="287"/>
      <c r="E94" s="288"/>
      <c r="G94" s="275"/>
      <c r="H94" s="275"/>
      <c r="I94" s="275"/>
      <c r="J94" s="275"/>
      <c r="K94" s="275"/>
      <c r="L94" s="275"/>
      <c r="N94" s="366"/>
      <c r="O94" s="366"/>
    </row>
    <row r="95" spans="1:12" ht="21.75" customHeight="1">
      <c r="A95" s="199"/>
      <c r="B95" s="731" t="s">
        <v>529</v>
      </c>
      <c r="C95" s="187"/>
      <c r="D95" s="187"/>
      <c r="E95" s="186"/>
      <c r="G95" s="269"/>
      <c r="H95" s="269"/>
      <c r="I95" s="269"/>
      <c r="J95" s="269"/>
      <c r="K95" s="269"/>
      <c r="L95" s="269"/>
    </row>
    <row r="96" spans="1:12" ht="18" customHeight="1">
      <c r="A96" s="199"/>
      <c r="B96" s="731" t="s">
        <v>518</v>
      </c>
      <c r="C96" s="187"/>
      <c r="D96" s="187"/>
      <c r="E96" s="186"/>
      <c r="G96" s="269"/>
      <c r="H96" s="269"/>
      <c r="I96" s="269"/>
      <c r="J96" s="269"/>
      <c r="K96" s="269"/>
      <c r="L96" s="269"/>
    </row>
    <row r="97" spans="1:13" ht="33.75" customHeight="1">
      <c r="A97" s="199"/>
      <c r="B97" s="864" t="s">
        <v>499</v>
      </c>
      <c r="C97" s="865"/>
      <c r="D97" s="865"/>
      <c r="E97" s="865"/>
      <c r="F97" s="865"/>
      <c r="G97" s="865"/>
      <c r="H97" s="865"/>
      <c r="I97" s="865"/>
      <c r="J97" s="865"/>
      <c r="K97" s="865"/>
      <c r="L97" s="865"/>
      <c r="M97" s="865"/>
    </row>
    <row r="98" spans="1:13" ht="52.5" customHeight="1">
      <c r="A98" s="199"/>
      <c r="B98" s="864" t="s">
        <v>0</v>
      </c>
      <c r="C98" s="882"/>
      <c r="D98" s="882"/>
      <c r="E98" s="882"/>
      <c r="F98" s="882"/>
      <c r="G98" s="882"/>
      <c r="H98" s="882"/>
      <c r="I98" s="882"/>
      <c r="J98" s="882"/>
      <c r="K98" s="882"/>
      <c r="L98" s="882"/>
      <c r="M98" s="882"/>
    </row>
    <row r="99" spans="1:13" ht="34.5" customHeight="1">
      <c r="A99" s="199"/>
      <c r="B99" s="864" t="s">
        <v>500</v>
      </c>
      <c r="C99" s="865"/>
      <c r="D99" s="865"/>
      <c r="E99" s="865"/>
      <c r="F99" s="865"/>
      <c r="G99" s="865"/>
      <c r="H99" s="865"/>
      <c r="I99" s="865"/>
      <c r="J99" s="865"/>
      <c r="K99" s="865"/>
      <c r="L99" s="865"/>
      <c r="M99" s="865"/>
    </row>
    <row r="100" spans="1:13" ht="15.75" customHeight="1">
      <c r="A100" s="199"/>
      <c r="B100" s="309"/>
      <c r="C100" s="281"/>
      <c r="D100" s="281"/>
      <c r="E100" s="281"/>
      <c r="F100" s="281"/>
      <c r="G100" s="281"/>
      <c r="H100" s="281"/>
      <c r="I100" s="281"/>
      <c r="J100" s="281"/>
      <c r="K100" s="281"/>
      <c r="L100" s="281"/>
      <c r="M100" s="281"/>
    </row>
    <row r="101" spans="1:15" s="277" customFormat="1" ht="17.25" customHeight="1">
      <c r="A101" s="286"/>
      <c r="B101" s="727" t="s">
        <v>501</v>
      </c>
      <c r="C101" s="314"/>
      <c r="F101" s="315"/>
      <c r="G101" s="310"/>
      <c r="H101" s="310"/>
      <c r="I101" s="275"/>
      <c r="J101" s="275"/>
      <c r="K101" s="275"/>
      <c r="L101" s="275"/>
      <c r="N101" s="366"/>
      <c r="O101" s="366"/>
    </row>
    <row r="102" spans="1:13" ht="18" customHeight="1">
      <c r="A102" s="199"/>
      <c r="B102" s="864" t="s">
        <v>502</v>
      </c>
      <c r="C102" s="865"/>
      <c r="D102" s="865"/>
      <c r="E102" s="865"/>
      <c r="F102" s="865"/>
      <c r="G102" s="865"/>
      <c r="H102" s="865"/>
      <c r="I102" s="865"/>
      <c r="J102" s="865"/>
      <c r="K102" s="865"/>
      <c r="L102" s="865"/>
      <c r="M102" s="865"/>
    </row>
    <row r="103" spans="1:13" ht="48.75" customHeight="1">
      <c r="A103" s="199"/>
      <c r="B103" s="864" t="s">
        <v>649</v>
      </c>
      <c r="C103" s="865"/>
      <c r="D103" s="865"/>
      <c r="E103" s="865"/>
      <c r="F103" s="865"/>
      <c r="G103" s="865"/>
      <c r="H103" s="865"/>
      <c r="I103" s="865"/>
      <c r="J103" s="865"/>
      <c r="K103" s="865"/>
      <c r="L103" s="865"/>
      <c r="M103" s="865"/>
    </row>
    <row r="104" spans="1:13" ht="18" customHeight="1">
      <c r="A104" s="199"/>
      <c r="B104" s="842" t="s">
        <v>503</v>
      </c>
      <c r="C104" s="733"/>
      <c r="D104" s="733"/>
      <c r="E104" s="733"/>
      <c r="F104" s="733"/>
      <c r="G104" s="733"/>
      <c r="H104" s="733"/>
      <c r="I104" s="733"/>
      <c r="J104" s="733"/>
      <c r="K104" s="733"/>
      <c r="L104" s="733"/>
      <c r="M104" s="733"/>
    </row>
    <row r="105" spans="1:13" ht="60.75" customHeight="1">
      <c r="A105" s="199"/>
      <c r="B105" s="864" t="s">
        <v>4</v>
      </c>
      <c r="C105" s="865"/>
      <c r="D105" s="865"/>
      <c r="E105" s="865"/>
      <c r="F105" s="865"/>
      <c r="G105" s="865"/>
      <c r="H105" s="865"/>
      <c r="I105" s="865"/>
      <c r="J105" s="865"/>
      <c r="K105" s="865"/>
      <c r="L105" s="865"/>
      <c r="M105" s="865"/>
    </row>
    <row r="106" spans="1:13" ht="34.5" customHeight="1">
      <c r="A106" s="199"/>
      <c r="B106" s="864" t="s">
        <v>504</v>
      </c>
      <c r="C106" s="865"/>
      <c r="D106" s="865"/>
      <c r="E106" s="865"/>
      <c r="F106" s="865"/>
      <c r="G106" s="865"/>
      <c r="H106" s="865"/>
      <c r="I106" s="865"/>
      <c r="J106" s="865"/>
      <c r="K106" s="865"/>
      <c r="L106" s="865"/>
      <c r="M106" s="865"/>
    </row>
    <row r="107" spans="1:13" ht="35.25" customHeight="1">
      <c r="A107" s="199"/>
      <c r="B107" s="864" t="s">
        <v>505</v>
      </c>
      <c r="C107" s="865"/>
      <c r="D107" s="865"/>
      <c r="E107" s="865"/>
      <c r="F107" s="865"/>
      <c r="G107" s="865"/>
      <c r="H107" s="865"/>
      <c r="I107" s="865"/>
      <c r="J107" s="865"/>
      <c r="K107" s="865"/>
      <c r="L107" s="865"/>
      <c r="M107" s="865"/>
    </row>
    <row r="108" spans="1:12" ht="11.25" customHeight="1">
      <c r="A108" s="199"/>
      <c r="B108" s="266"/>
      <c r="C108" s="266"/>
      <c r="D108" s="266"/>
      <c r="E108" s="266"/>
      <c r="F108" s="266"/>
      <c r="G108" s="266"/>
      <c r="H108" s="266"/>
      <c r="I108" s="266"/>
      <c r="J108" s="266"/>
      <c r="K108" s="266"/>
      <c r="L108" s="266"/>
    </row>
    <row r="109" spans="1:15" s="277" customFormat="1" ht="15.75" customHeight="1" hidden="1">
      <c r="A109" s="286"/>
      <c r="B109" s="738" t="s">
        <v>506</v>
      </c>
      <c r="C109" s="316"/>
      <c r="D109" s="306"/>
      <c r="E109" s="306"/>
      <c r="F109" s="317"/>
      <c r="G109" s="318"/>
      <c r="H109" s="318"/>
      <c r="I109" s="307"/>
      <c r="J109" s="307"/>
      <c r="K109" s="307"/>
      <c r="L109" s="307"/>
      <c r="M109" s="306"/>
      <c r="N109" s="366"/>
      <c r="O109" s="366"/>
    </row>
    <row r="110" spans="1:13" ht="52.5" customHeight="1" hidden="1">
      <c r="A110" s="199"/>
      <c r="B110" s="900" t="s">
        <v>671</v>
      </c>
      <c r="C110" s="901"/>
      <c r="D110" s="901"/>
      <c r="E110" s="901"/>
      <c r="F110" s="901"/>
      <c r="G110" s="901"/>
      <c r="H110" s="901"/>
      <c r="I110" s="901"/>
      <c r="J110" s="901"/>
      <c r="K110" s="901"/>
      <c r="L110" s="901"/>
      <c r="M110" s="901"/>
    </row>
    <row r="111" spans="1:13" ht="16.5" customHeight="1" hidden="1">
      <c r="A111" s="199"/>
      <c r="B111" s="309" t="s">
        <v>611</v>
      </c>
      <c r="C111" s="281"/>
      <c r="D111" s="281"/>
      <c r="E111" s="281"/>
      <c r="F111" s="281"/>
      <c r="G111" s="281"/>
      <c r="H111" s="281"/>
      <c r="I111" s="281"/>
      <c r="J111" s="281"/>
      <c r="K111" s="281"/>
      <c r="L111" s="281"/>
      <c r="M111" s="281"/>
    </row>
    <row r="112" spans="1:15" s="277" customFormat="1" ht="19.5" customHeight="1">
      <c r="A112" s="286"/>
      <c r="B112" s="727" t="s">
        <v>507</v>
      </c>
      <c r="C112" s="314"/>
      <c r="F112" s="315"/>
      <c r="G112" s="310"/>
      <c r="H112" s="310"/>
      <c r="I112" s="275"/>
      <c r="J112" s="275"/>
      <c r="K112" s="275"/>
      <c r="L112" s="275"/>
      <c r="N112" s="366"/>
      <c r="O112" s="366"/>
    </row>
    <row r="113" spans="1:15" s="262" customFormat="1" ht="20.25" customHeight="1">
      <c r="A113" s="319"/>
      <c r="B113" s="898" t="s">
        <v>508</v>
      </c>
      <c r="C113" s="899"/>
      <c r="D113" s="899"/>
      <c r="E113" s="899"/>
      <c r="F113" s="899"/>
      <c r="G113" s="899"/>
      <c r="H113" s="899"/>
      <c r="I113" s="899"/>
      <c r="J113" s="899"/>
      <c r="K113" s="899"/>
      <c r="L113" s="899"/>
      <c r="M113" s="899"/>
      <c r="N113" s="337"/>
      <c r="O113" s="337"/>
    </row>
    <row r="114" spans="1:15" s="299" customFormat="1" ht="11.25" customHeight="1">
      <c r="A114" s="320"/>
      <c r="B114" s="296"/>
      <c r="C114" s="297"/>
      <c r="D114" s="297"/>
      <c r="E114" s="297"/>
      <c r="F114" s="297"/>
      <c r="G114" s="297"/>
      <c r="H114" s="297"/>
      <c r="I114" s="297"/>
      <c r="J114" s="297"/>
      <c r="K114" s="297"/>
      <c r="L114" s="297"/>
      <c r="M114" s="297"/>
      <c r="N114" s="411"/>
      <c r="O114" s="411"/>
    </row>
    <row r="115" spans="1:15" s="277" customFormat="1" ht="17.25" customHeight="1">
      <c r="A115" s="286"/>
      <c r="B115" s="890" t="s">
        <v>509</v>
      </c>
      <c r="C115" s="865"/>
      <c r="D115" s="865"/>
      <c r="E115" s="865"/>
      <c r="F115" s="865"/>
      <c r="G115" s="865"/>
      <c r="H115" s="865"/>
      <c r="I115" s="865"/>
      <c r="J115" s="865"/>
      <c r="K115" s="865"/>
      <c r="L115" s="865"/>
      <c r="M115" s="865"/>
      <c r="N115" s="366"/>
      <c r="O115" s="366"/>
    </row>
    <row r="116" spans="1:13" ht="36.75" customHeight="1">
      <c r="A116" s="199"/>
      <c r="B116" s="864" t="s">
        <v>510</v>
      </c>
      <c r="C116" s="882"/>
      <c r="D116" s="882"/>
      <c r="E116" s="882"/>
      <c r="F116" s="882"/>
      <c r="G116" s="882"/>
      <c r="H116" s="882"/>
      <c r="I116" s="882"/>
      <c r="J116" s="882"/>
      <c r="K116" s="882"/>
      <c r="L116" s="882"/>
      <c r="M116" s="882"/>
    </row>
    <row r="117" spans="1:13" ht="12" customHeight="1">
      <c r="A117" s="199"/>
      <c r="B117" s="882"/>
      <c r="C117" s="865"/>
      <c r="D117" s="865"/>
      <c r="E117" s="865"/>
      <c r="F117" s="865"/>
      <c r="G117" s="865"/>
      <c r="H117" s="865"/>
      <c r="I117" s="865"/>
      <c r="J117" s="865"/>
      <c r="K117" s="865"/>
      <c r="L117" s="865"/>
      <c r="M117" s="865"/>
    </row>
    <row r="118" spans="1:15" s="277" customFormat="1" ht="16.5" customHeight="1">
      <c r="A118" s="286"/>
      <c r="B118" s="890" t="s">
        <v>511</v>
      </c>
      <c r="C118" s="865"/>
      <c r="D118" s="865"/>
      <c r="E118" s="865"/>
      <c r="F118" s="865"/>
      <c r="G118" s="865"/>
      <c r="H118" s="865"/>
      <c r="I118" s="865"/>
      <c r="J118" s="865"/>
      <c r="K118" s="865"/>
      <c r="L118" s="865"/>
      <c r="M118" s="865"/>
      <c r="N118" s="366"/>
      <c r="O118" s="366"/>
    </row>
    <row r="119" spans="1:13" ht="34.5" customHeight="1">
      <c r="A119" s="199"/>
      <c r="B119" s="842" t="s">
        <v>482</v>
      </c>
      <c r="C119" s="733"/>
      <c r="D119" s="733"/>
      <c r="E119" s="733"/>
      <c r="F119" s="733"/>
      <c r="G119" s="733"/>
      <c r="H119" s="733"/>
      <c r="I119" s="733"/>
      <c r="J119" s="733"/>
      <c r="K119" s="733"/>
      <c r="L119" s="733"/>
      <c r="M119" s="733"/>
    </row>
    <row r="120" spans="1:13" ht="51" customHeight="1">
      <c r="A120" s="199"/>
      <c r="B120" s="842" t="s">
        <v>648</v>
      </c>
      <c r="C120" s="733"/>
      <c r="D120" s="733"/>
      <c r="E120" s="733"/>
      <c r="F120" s="733"/>
      <c r="G120" s="733"/>
      <c r="H120" s="733"/>
      <c r="I120" s="733"/>
      <c r="J120" s="733"/>
      <c r="K120" s="733"/>
      <c r="L120" s="733"/>
      <c r="M120" s="733"/>
    </row>
    <row r="121" spans="1:13" ht="12" customHeight="1">
      <c r="A121" s="199"/>
      <c r="B121" s="882"/>
      <c r="C121" s="865"/>
      <c r="D121" s="865"/>
      <c r="E121" s="865"/>
      <c r="F121" s="865"/>
      <c r="G121" s="865"/>
      <c r="H121" s="865"/>
      <c r="I121" s="865"/>
      <c r="J121" s="865"/>
      <c r="K121" s="865"/>
      <c r="L121" s="865"/>
      <c r="M121" s="865"/>
    </row>
    <row r="122" spans="1:15" s="277" customFormat="1" ht="14.25">
      <c r="A122" s="286"/>
      <c r="B122" s="890" t="s">
        <v>483</v>
      </c>
      <c r="C122" s="865"/>
      <c r="D122" s="865"/>
      <c r="E122" s="865"/>
      <c r="F122" s="865"/>
      <c r="G122" s="865"/>
      <c r="H122" s="865"/>
      <c r="I122" s="865"/>
      <c r="J122" s="865"/>
      <c r="K122" s="865"/>
      <c r="L122" s="865"/>
      <c r="M122" s="865"/>
      <c r="N122" s="366"/>
      <c r="O122" s="366"/>
    </row>
    <row r="123" spans="1:15" s="277" customFormat="1" ht="5.25" customHeight="1">
      <c r="A123" s="286"/>
      <c r="B123" s="509"/>
      <c r="C123" s="281"/>
      <c r="D123" s="281"/>
      <c r="E123" s="281"/>
      <c r="F123" s="281"/>
      <c r="G123" s="281"/>
      <c r="H123" s="281"/>
      <c r="I123" s="281"/>
      <c r="J123" s="281"/>
      <c r="K123" s="281"/>
      <c r="L123" s="281"/>
      <c r="M123" s="281"/>
      <c r="N123" s="366"/>
      <c r="O123" s="366"/>
    </row>
    <row r="124" spans="1:15" s="277" customFormat="1" ht="17.25" customHeight="1">
      <c r="A124" s="286"/>
      <c r="B124" s="731" t="s">
        <v>484</v>
      </c>
      <c r="C124" s="281"/>
      <c r="D124" s="281"/>
      <c r="E124" s="281"/>
      <c r="F124" s="281"/>
      <c r="G124" s="281"/>
      <c r="H124" s="281"/>
      <c r="I124" s="281"/>
      <c r="J124" s="281"/>
      <c r="K124" s="281"/>
      <c r="L124" s="281"/>
      <c r="M124" s="281"/>
      <c r="N124" s="366"/>
      <c r="O124" s="366"/>
    </row>
    <row r="125" ht="18.75" customHeight="1">
      <c r="C125" s="731" t="s">
        <v>485</v>
      </c>
    </row>
    <row r="126" spans="3:13" ht="33.75" customHeight="1">
      <c r="C126" s="868" t="s">
        <v>486</v>
      </c>
      <c r="D126" s="679"/>
      <c r="E126" s="679"/>
      <c r="F126" s="679"/>
      <c r="G126" s="679"/>
      <c r="H126" s="679"/>
      <c r="I126" s="679"/>
      <c r="J126" s="679"/>
      <c r="K126" s="679"/>
      <c r="L126" s="679"/>
      <c r="M126" s="679"/>
    </row>
    <row r="127" spans="1:13" ht="36" customHeight="1">
      <c r="A127" s="199"/>
      <c r="B127" s="842" t="s">
        <v>487</v>
      </c>
      <c r="C127" s="733"/>
      <c r="D127" s="733"/>
      <c r="E127" s="733"/>
      <c r="F127" s="733"/>
      <c r="G127" s="733"/>
      <c r="H127" s="733"/>
      <c r="I127" s="733"/>
      <c r="J127" s="733"/>
      <c r="K127" s="733"/>
      <c r="L127" s="733"/>
      <c r="M127" s="733"/>
    </row>
    <row r="128" spans="1:13" ht="18" customHeight="1">
      <c r="A128" s="199"/>
      <c r="B128" s="294"/>
      <c r="C128" s="902" t="s">
        <v>488</v>
      </c>
      <c r="D128" s="733"/>
      <c r="E128" s="733"/>
      <c r="F128" s="733"/>
      <c r="G128" s="733"/>
      <c r="H128" s="733"/>
      <c r="I128" s="733"/>
      <c r="J128" s="733"/>
      <c r="K128" s="733"/>
      <c r="L128" s="733"/>
      <c r="M128" s="733"/>
    </row>
    <row r="129" spans="1:13" ht="18" customHeight="1">
      <c r="A129" s="199"/>
      <c r="B129" s="294"/>
      <c r="C129" s="902" t="s">
        <v>489</v>
      </c>
      <c r="D129" s="733"/>
      <c r="E129" s="733"/>
      <c r="F129" s="733"/>
      <c r="G129" s="733"/>
      <c r="H129" s="733"/>
      <c r="I129" s="733"/>
      <c r="J129" s="733"/>
      <c r="K129" s="733"/>
      <c r="L129" s="733"/>
      <c r="M129" s="733"/>
    </row>
    <row r="130" spans="1:13" ht="18" customHeight="1">
      <c r="A130" s="199"/>
      <c r="B130" s="294"/>
      <c r="C130" s="902" t="s">
        <v>490</v>
      </c>
      <c r="D130" s="733"/>
      <c r="E130" s="733"/>
      <c r="F130" s="733"/>
      <c r="G130" s="733"/>
      <c r="H130" s="733"/>
      <c r="I130" s="733"/>
      <c r="J130" s="733"/>
      <c r="K130" s="733"/>
      <c r="L130" s="733"/>
      <c r="M130" s="733"/>
    </row>
    <row r="131" spans="1:13" ht="18" customHeight="1">
      <c r="A131" s="199"/>
      <c r="B131" s="294"/>
      <c r="C131" s="902" t="s">
        <v>491</v>
      </c>
      <c r="D131" s="733"/>
      <c r="E131" s="733"/>
      <c r="F131" s="733"/>
      <c r="G131" s="733"/>
      <c r="H131" s="733"/>
      <c r="I131" s="733"/>
      <c r="J131" s="733"/>
      <c r="K131" s="733"/>
      <c r="L131" s="733"/>
      <c r="M131" s="733"/>
    </row>
    <row r="132" spans="1:13" ht="35.25" customHeight="1">
      <c r="A132" s="199"/>
      <c r="B132" s="842" t="s">
        <v>492</v>
      </c>
      <c r="C132" s="733"/>
      <c r="D132" s="733"/>
      <c r="E132" s="733"/>
      <c r="F132" s="733"/>
      <c r="G132" s="733"/>
      <c r="H132" s="733"/>
      <c r="I132" s="733"/>
      <c r="J132" s="733"/>
      <c r="K132" s="733"/>
      <c r="L132" s="733"/>
      <c r="M132" s="733"/>
    </row>
    <row r="133" spans="1:13" ht="18" customHeight="1">
      <c r="A133" s="199"/>
      <c r="B133" s="294"/>
      <c r="C133" s="902" t="s">
        <v>493</v>
      </c>
      <c r="D133" s="733"/>
      <c r="E133" s="733"/>
      <c r="F133" s="733"/>
      <c r="G133" s="733"/>
      <c r="H133" s="733"/>
      <c r="I133" s="733"/>
      <c r="J133" s="733"/>
      <c r="K133" s="733"/>
      <c r="L133" s="733"/>
      <c r="M133" s="733"/>
    </row>
    <row r="134" spans="1:13" ht="18" customHeight="1">
      <c r="A134" s="199"/>
      <c r="B134" s="294"/>
      <c r="C134" s="902" t="s">
        <v>489</v>
      </c>
      <c r="D134" s="733"/>
      <c r="E134" s="733"/>
      <c r="F134" s="733"/>
      <c r="G134" s="733"/>
      <c r="H134" s="733"/>
      <c r="I134" s="733"/>
      <c r="J134" s="733"/>
      <c r="K134" s="733"/>
      <c r="L134" s="733"/>
      <c r="M134" s="733"/>
    </row>
    <row r="135" spans="1:13" ht="18" customHeight="1">
      <c r="A135" s="199"/>
      <c r="B135" s="294"/>
      <c r="C135" s="902" t="s">
        <v>490</v>
      </c>
      <c r="D135" s="733"/>
      <c r="E135" s="733"/>
      <c r="F135" s="733"/>
      <c r="G135" s="733"/>
      <c r="H135" s="733"/>
      <c r="I135" s="733"/>
      <c r="J135" s="733"/>
      <c r="K135" s="733"/>
      <c r="L135" s="733"/>
      <c r="M135" s="733"/>
    </row>
    <row r="136" spans="1:13" ht="18" customHeight="1">
      <c r="A136" s="199"/>
      <c r="B136" s="294"/>
      <c r="C136" s="902" t="s">
        <v>491</v>
      </c>
      <c r="D136" s="733"/>
      <c r="E136" s="733"/>
      <c r="F136" s="733"/>
      <c r="G136" s="733"/>
      <c r="H136" s="733"/>
      <c r="I136" s="733"/>
      <c r="J136" s="733"/>
      <c r="K136" s="733"/>
      <c r="L136" s="733"/>
      <c r="M136" s="733"/>
    </row>
    <row r="137" spans="1:13" ht="36.75" customHeight="1">
      <c r="A137" s="199"/>
      <c r="B137" s="842" t="s">
        <v>494</v>
      </c>
      <c r="C137" s="733"/>
      <c r="D137" s="733"/>
      <c r="E137" s="733"/>
      <c r="F137" s="733"/>
      <c r="G137" s="733"/>
      <c r="H137" s="733"/>
      <c r="I137" s="733"/>
      <c r="J137" s="733"/>
      <c r="K137" s="733"/>
      <c r="L137" s="733"/>
      <c r="M137" s="733"/>
    </row>
    <row r="138" spans="1:13" ht="14.25" customHeight="1">
      <c r="A138" s="199"/>
      <c r="B138" s="294"/>
      <c r="C138" s="514"/>
      <c r="D138" s="297"/>
      <c r="E138" s="297"/>
      <c r="F138" s="297"/>
      <c r="G138" s="297"/>
      <c r="H138" s="297"/>
      <c r="I138" s="297"/>
      <c r="J138" s="297"/>
      <c r="K138" s="297"/>
      <c r="L138" s="297"/>
      <c r="M138" s="297"/>
    </row>
    <row r="139" spans="1:14" s="277" customFormat="1" ht="14.25">
      <c r="A139" s="286"/>
      <c r="B139" s="727" t="s">
        <v>495</v>
      </c>
      <c r="C139" s="314"/>
      <c r="F139" s="315"/>
      <c r="G139" s="310"/>
      <c r="H139" s="310"/>
      <c r="I139" s="275"/>
      <c r="J139" s="275"/>
      <c r="K139" s="275"/>
      <c r="L139" s="275"/>
      <c r="N139" s="491"/>
    </row>
    <row r="140" spans="1:15" ht="49.5" customHeight="1">
      <c r="A140" s="199"/>
      <c r="B140" s="864" t="s">
        <v>136</v>
      </c>
      <c r="C140" s="865"/>
      <c r="D140" s="865"/>
      <c r="E140" s="865"/>
      <c r="F140" s="865"/>
      <c r="G140" s="865"/>
      <c r="H140" s="865"/>
      <c r="I140" s="865"/>
      <c r="J140" s="865"/>
      <c r="K140" s="865"/>
      <c r="L140" s="865"/>
      <c r="M140" s="865"/>
      <c r="N140" s="492"/>
      <c r="O140" s="67"/>
    </row>
    <row r="141" spans="1:15" ht="19.5" customHeight="1">
      <c r="A141" s="199"/>
      <c r="B141" s="864" t="s">
        <v>496</v>
      </c>
      <c r="C141" s="865"/>
      <c r="D141" s="865"/>
      <c r="E141" s="865"/>
      <c r="F141" s="865"/>
      <c r="G141" s="865"/>
      <c r="H141" s="865"/>
      <c r="I141" s="865"/>
      <c r="J141" s="865"/>
      <c r="K141" s="865"/>
      <c r="L141" s="865"/>
      <c r="M141" s="865"/>
      <c r="N141" s="492"/>
      <c r="O141" s="67"/>
    </row>
    <row r="142" spans="1:15" ht="66.75" customHeight="1">
      <c r="A142" s="199"/>
      <c r="B142" s="864" t="s">
        <v>137</v>
      </c>
      <c r="C142" s="865"/>
      <c r="D142" s="865"/>
      <c r="E142" s="865"/>
      <c r="F142" s="865"/>
      <c r="G142" s="865"/>
      <c r="H142" s="865"/>
      <c r="I142" s="865"/>
      <c r="J142" s="865"/>
      <c r="K142" s="865"/>
      <c r="L142" s="865"/>
      <c r="M142" s="865"/>
      <c r="N142" s="492"/>
      <c r="O142" s="67"/>
    </row>
    <row r="143" spans="1:15" ht="81" customHeight="1">
      <c r="A143" s="199"/>
      <c r="B143" s="864" t="s">
        <v>138</v>
      </c>
      <c r="C143" s="865"/>
      <c r="D143" s="865"/>
      <c r="E143" s="865"/>
      <c r="F143" s="865"/>
      <c r="G143" s="865"/>
      <c r="H143" s="865"/>
      <c r="I143" s="865"/>
      <c r="J143" s="865"/>
      <c r="K143" s="865"/>
      <c r="L143" s="865"/>
      <c r="M143" s="865"/>
      <c r="N143" s="492"/>
      <c r="O143" s="67"/>
    </row>
    <row r="144" spans="1:15" ht="51" customHeight="1">
      <c r="A144" s="199"/>
      <c r="B144" s="864" t="s">
        <v>697</v>
      </c>
      <c r="C144" s="865"/>
      <c r="D144" s="865"/>
      <c r="E144" s="865"/>
      <c r="F144" s="865"/>
      <c r="G144" s="865"/>
      <c r="H144" s="865"/>
      <c r="I144" s="865"/>
      <c r="J144" s="865"/>
      <c r="K144" s="865"/>
      <c r="L144" s="865"/>
      <c r="M144" s="865"/>
      <c r="N144" s="492"/>
      <c r="O144" s="67"/>
    </row>
    <row r="145" spans="1:15" ht="75" customHeight="1">
      <c r="A145" s="199"/>
      <c r="B145" s="864" t="s">
        <v>139</v>
      </c>
      <c r="C145" s="865"/>
      <c r="D145" s="865"/>
      <c r="E145" s="865"/>
      <c r="F145" s="865"/>
      <c r="G145" s="865"/>
      <c r="H145" s="865"/>
      <c r="I145" s="865"/>
      <c r="J145" s="865"/>
      <c r="K145" s="865"/>
      <c r="L145" s="865"/>
      <c r="M145" s="865"/>
      <c r="N145" s="492"/>
      <c r="O145" s="67"/>
    </row>
    <row r="146" spans="1:15" ht="12.75" customHeight="1">
      <c r="A146" s="199"/>
      <c r="B146" s="266"/>
      <c r="C146" s="281"/>
      <c r="D146" s="281"/>
      <c r="E146" s="281"/>
      <c r="F146" s="281"/>
      <c r="G146" s="281"/>
      <c r="H146" s="281"/>
      <c r="I146" s="281"/>
      <c r="J146" s="281"/>
      <c r="K146" s="281"/>
      <c r="L146" s="281"/>
      <c r="M146" s="281"/>
      <c r="N146" s="492"/>
      <c r="O146" s="67"/>
    </row>
    <row r="147" spans="1:15" s="277" customFormat="1" ht="18" customHeight="1">
      <c r="A147" s="286"/>
      <c r="B147" s="727" t="s">
        <v>497</v>
      </c>
      <c r="C147" s="314"/>
      <c r="F147" s="315"/>
      <c r="G147" s="310"/>
      <c r="H147" s="310"/>
      <c r="I147" s="275"/>
      <c r="J147" s="275"/>
      <c r="K147" s="275"/>
      <c r="L147" s="275"/>
      <c r="N147" s="366"/>
      <c r="O147" s="366"/>
    </row>
    <row r="148" spans="1:13" ht="53.25" customHeight="1">
      <c r="A148" s="199"/>
      <c r="B148" s="864" t="s">
        <v>626</v>
      </c>
      <c r="C148" s="882"/>
      <c r="D148" s="882"/>
      <c r="E148" s="882"/>
      <c r="F148" s="882"/>
      <c r="G148" s="882"/>
      <c r="H148" s="882"/>
      <c r="I148" s="882"/>
      <c r="J148" s="882"/>
      <c r="K148" s="882"/>
      <c r="L148" s="882"/>
      <c r="M148" s="882"/>
    </row>
    <row r="149" spans="1:13" ht="48" customHeight="1">
      <c r="A149" s="199"/>
      <c r="B149" s="864" t="s">
        <v>144</v>
      </c>
      <c r="C149" s="882"/>
      <c r="D149" s="882"/>
      <c r="E149" s="882"/>
      <c r="F149" s="882"/>
      <c r="G149" s="882"/>
      <c r="H149" s="882"/>
      <c r="I149" s="882"/>
      <c r="J149" s="882"/>
      <c r="K149" s="882"/>
      <c r="L149" s="882"/>
      <c r="M149" s="882"/>
    </row>
    <row r="150" spans="1:13" ht="9.75" customHeight="1">
      <c r="A150" s="199"/>
      <c r="B150" s="266"/>
      <c r="C150" s="281"/>
      <c r="D150" s="281"/>
      <c r="E150" s="281"/>
      <c r="F150" s="281"/>
      <c r="G150" s="281"/>
      <c r="H150" s="281"/>
      <c r="I150" s="281"/>
      <c r="J150" s="281"/>
      <c r="K150" s="281"/>
      <c r="L150" s="281"/>
      <c r="M150" s="281"/>
    </row>
    <row r="151" spans="1:13" ht="14.25">
      <c r="A151" s="199"/>
      <c r="B151" s="866" t="s">
        <v>498</v>
      </c>
      <c r="C151" s="867"/>
      <c r="D151" s="867"/>
      <c r="E151" s="867"/>
      <c r="F151" s="867"/>
      <c r="G151" s="867"/>
      <c r="H151" s="867"/>
      <c r="I151" s="867"/>
      <c r="J151" s="867"/>
      <c r="K151" s="867"/>
      <c r="L151" s="867"/>
      <c r="M151" s="867"/>
    </row>
    <row r="152" spans="1:13" ht="36.75" customHeight="1">
      <c r="A152" s="199"/>
      <c r="B152" s="864" t="s">
        <v>444</v>
      </c>
      <c r="C152" s="882"/>
      <c r="D152" s="882"/>
      <c r="E152" s="882"/>
      <c r="F152" s="882"/>
      <c r="G152" s="882"/>
      <c r="H152" s="882"/>
      <c r="I152" s="882"/>
      <c r="J152" s="882"/>
      <c r="K152" s="882"/>
      <c r="L152" s="882"/>
      <c r="M152" s="882"/>
    </row>
    <row r="153" spans="1:13" ht="13.5">
      <c r="A153" s="199"/>
      <c r="B153" s="266"/>
      <c r="C153" s="281"/>
      <c r="D153" s="281"/>
      <c r="E153" s="281"/>
      <c r="F153" s="281"/>
      <c r="G153" s="281"/>
      <c r="H153" s="281"/>
      <c r="I153" s="281"/>
      <c r="J153" s="281"/>
      <c r="K153" s="281"/>
      <c r="L153" s="281"/>
      <c r="M153" s="281"/>
    </row>
    <row r="154" spans="1:13" ht="15.75" customHeight="1">
      <c r="A154" s="725" t="s">
        <v>776</v>
      </c>
      <c r="B154" s="744" t="s">
        <v>445</v>
      </c>
      <c r="F154" s="186"/>
      <c r="I154" s="275"/>
      <c r="J154" s="275"/>
      <c r="K154" s="275"/>
      <c r="L154" s="275"/>
      <c r="M154" s="275"/>
    </row>
    <row r="155" spans="1:13" ht="9" customHeight="1">
      <c r="A155" s="270"/>
      <c r="B155" s="187"/>
      <c r="F155" s="186"/>
      <c r="I155" s="275"/>
      <c r="J155" s="275"/>
      <c r="K155" s="275"/>
      <c r="L155" s="275"/>
      <c r="M155" s="275"/>
    </row>
    <row r="156" spans="1:13" ht="15.75" customHeight="1">
      <c r="A156" s="270"/>
      <c r="B156" s="745" t="s">
        <v>147</v>
      </c>
      <c r="C156" s="727" t="s">
        <v>26</v>
      </c>
      <c r="F156" s="186"/>
      <c r="I156" s="321"/>
      <c r="J156" s="321"/>
      <c r="K156" s="321"/>
      <c r="L156" s="321"/>
      <c r="M156" s="322"/>
    </row>
    <row r="157" spans="1:13" ht="3.75" customHeight="1">
      <c r="A157" s="270"/>
      <c r="B157" s="267"/>
      <c r="C157" s="287"/>
      <c r="F157" s="186"/>
      <c r="I157" s="321"/>
      <c r="J157" s="321"/>
      <c r="K157" s="321"/>
      <c r="L157" s="321"/>
      <c r="M157" s="322"/>
    </row>
    <row r="158" spans="1:13" ht="18" customHeight="1">
      <c r="A158" s="270"/>
      <c r="B158" s="270"/>
      <c r="C158" s="231"/>
      <c r="D158" s="218"/>
      <c r="E158" s="218"/>
      <c r="F158" s="260"/>
      <c r="G158" s="218"/>
      <c r="H158" s="218"/>
      <c r="I158" s="323"/>
      <c r="J158" s="323"/>
      <c r="K158" s="746" t="s">
        <v>176</v>
      </c>
      <c r="L158" s="323"/>
      <c r="M158" s="746" t="s">
        <v>178</v>
      </c>
    </row>
    <row r="159" spans="1:12" ht="9" customHeight="1">
      <c r="A159" s="270"/>
      <c r="B159" s="270"/>
      <c r="C159" s="231"/>
      <c r="D159" s="218"/>
      <c r="E159" s="218"/>
      <c r="F159" s="260"/>
      <c r="G159" s="218"/>
      <c r="H159" s="218"/>
      <c r="I159" s="323"/>
      <c r="J159" s="323"/>
      <c r="K159" s="323"/>
      <c r="L159" s="323"/>
    </row>
    <row r="160" spans="1:13" ht="15.75" customHeight="1">
      <c r="A160" s="270"/>
      <c r="B160" s="190"/>
      <c r="C160" s="747" t="s">
        <v>446</v>
      </c>
      <c r="D160" s="218"/>
      <c r="E160" s="218"/>
      <c r="F160" s="260"/>
      <c r="G160" s="218"/>
      <c r="H160" s="218"/>
      <c r="I160" s="324"/>
      <c r="J160" s="324"/>
      <c r="K160" s="324">
        <f>949784217+140828208</f>
        <v>1090612425</v>
      </c>
      <c r="L160" s="324"/>
      <c r="M160" s="196">
        <v>383628090</v>
      </c>
    </row>
    <row r="161" spans="1:13" ht="15.75" customHeight="1">
      <c r="A161" s="270"/>
      <c r="B161" s="190"/>
      <c r="C161" s="747" t="s">
        <v>447</v>
      </c>
      <c r="D161" s="218"/>
      <c r="E161" s="218"/>
      <c r="F161" s="260"/>
      <c r="G161" s="218"/>
      <c r="H161" s="218"/>
      <c r="I161" s="324"/>
      <c r="J161" s="324"/>
      <c r="K161" s="324">
        <f>403427275178+18146272037+5652095724</f>
        <v>427225642939</v>
      </c>
      <c r="L161" s="324"/>
      <c r="M161" s="196">
        <v>30021842517</v>
      </c>
    </row>
    <row r="162" spans="1:12" ht="15.75" customHeight="1" hidden="1">
      <c r="A162" s="270"/>
      <c r="B162" s="190"/>
      <c r="C162" s="748" t="s">
        <v>448</v>
      </c>
      <c r="D162" s="325"/>
      <c r="E162" s="228"/>
      <c r="F162" s="326"/>
      <c r="G162" s="228"/>
      <c r="H162" s="228"/>
      <c r="I162" s="200"/>
      <c r="J162" s="200"/>
      <c r="K162" s="200"/>
      <c r="L162" s="200"/>
    </row>
    <row r="163" spans="1:12" ht="15.75" customHeight="1" hidden="1">
      <c r="A163" s="270"/>
      <c r="B163" s="190"/>
      <c r="C163" s="748" t="s">
        <v>449</v>
      </c>
      <c r="D163" s="228"/>
      <c r="E163" s="228"/>
      <c r="F163" s="326"/>
      <c r="G163" s="200"/>
      <c r="H163" s="200"/>
      <c r="I163" s="200"/>
      <c r="J163" s="200"/>
      <c r="K163" s="200"/>
      <c r="L163" s="200"/>
    </row>
    <row r="164" spans="1:15" s="299" customFormat="1" ht="15.75" customHeight="1" hidden="1">
      <c r="A164" s="327"/>
      <c r="B164" s="328"/>
      <c r="C164" s="749" t="s">
        <v>450</v>
      </c>
      <c r="D164" s="329"/>
      <c r="E164" s="329"/>
      <c r="F164" s="330"/>
      <c r="G164" s="331"/>
      <c r="H164" s="331"/>
      <c r="I164" s="331"/>
      <c r="J164" s="331"/>
      <c r="K164" s="331"/>
      <c r="L164" s="331"/>
      <c r="N164" s="411"/>
      <c r="O164" s="411"/>
    </row>
    <row r="165" spans="1:13" ht="15.75" customHeight="1" hidden="1">
      <c r="A165" s="270"/>
      <c r="B165" s="190"/>
      <c r="C165" s="747" t="s">
        <v>451</v>
      </c>
      <c r="D165" s="228"/>
      <c r="E165" s="228"/>
      <c r="F165" s="326"/>
      <c r="G165" s="200"/>
      <c r="H165" s="200"/>
      <c r="I165" s="200"/>
      <c r="J165" s="200"/>
      <c r="K165" s="324">
        <v>0</v>
      </c>
      <c r="L165" s="324"/>
      <c r="M165" s="450">
        <v>0</v>
      </c>
    </row>
    <row r="166" spans="1:15" ht="19.5" customHeight="1" thickBot="1">
      <c r="A166" s="270"/>
      <c r="B166" s="190"/>
      <c r="C166" s="750" t="s">
        <v>452</v>
      </c>
      <c r="D166" s="218"/>
      <c r="E166" s="218"/>
      <c r="F166" s="260"/>
      <c r="G166" s="218"/>
      <c r="H166" s="218"/>
      <c r="I166" s="332"/>
      <c r="J166" s="332"/>
      <c r="K166" s="333">
        <f>+K160+K161+K165</f>
        <v>428316255364</v>
      </c>
      <c r="L166" s="332"/>
      <c r="M166" s="333">
        <f>+M160+M161+M165</f>
        <v>30405470607</v>
      </c>
      <c r="N166" s="196">
        <f>M166-BCDKT!I13</f>
        <v>0</v>
      </c>
      <c r="O166" s="196">
        <f>K166-BCDKT!H13</f>
        <v>0</v>
      </c>
    </row>
    <row r="167" spans="1:21" ht="15.75" customHeight="1" thickTop="1">
      <c r="A167" s="270"/>
      <c r="B167" s="190"/>
      <c r="C167" s="231"/>
      <c r="D167" s="218"/>
      <c r="E167" s="218"/>
      <c r="F167" s="260"/>
      <c r="G167" s="218"/>
      <c r="H167" s="218"/>
      <c r="I167" s="332"/>
      <c r="J167" s="332"/>
      <c r="K167" s="324"/>
      <c r="L167" s="324"/>
      <c r="M167" s="332"/>
      <c r="U167" s="751" t="s">
        <v>584</v>
      </c>
    </row>
    <row r="168" spans="1:13" ht="15.75" customHeight="1">
      <c r="A168" s="270"/>
      <c r="B168" s="745" t="s">
        <v>148</v>
      </c>
      <c r="C168" s="651" t="s">
        <v>32</v>
      </c>
      <c r="D168" s="218"/>
      <c r="E168" s="218"/>
      <c r="F168" s="260"/>
      <c r="G168" s="218"/>
      <c r="H168" s="218"/>
      <c r="I168" s="332"/>
      <c r="J168" s="332"/>
      <c r="K168" s="324"/>
      <c r="L168" s="324"/>
      <c r="M168" s="332"/>
    </row>
    <row r="169" spans="1:13" ht="3" customHeight="1">
      <c r="A169" s="270"/>
      <c r="B169" s="334"/>
      <c r="C169" s="85"/>
      <c r="D169" s="218"/>
      <c r="E169" s="218"/>
      <c r="F169" s="260"/>
      <c r="G169" s="218"/>
      <c r="H169" s="218"/>
      <c r="I169" s="332"/>
      <c r="J169" s="332"/>
      <c r="K169" s="324"/>
      <c r="L169" s="324"/>
      <c r="M169" s="332"/>
    </row>
    <row r="170" spans="1:13" ht="15.75" customHeight="1">
      <c r="A170" s="270"/>
      <c r="B170" s="335"/>
      <c r="C170" s="263"/>
      <c r="D170" s="218"/>
      <c r="E170" s="218"/>
      <c r="F170" s="260"/>
      <c r="G170" s="218"/>
      <c r="H170" s="218"/>
      <c r="I170" s="218"/>
      <c r="J170" s="218"/>
      <c r="K170" s="746" t="s">
        <v>176</v>
      </c>
      <c r="L170" s="323"/>
      <c r="M170" s="746" t="s">
        <v>178</v>
      </c>
    </row>
    <row r="171" spans="1:12" ht="3.75" customHeight="1">
      <c r="A171" s="270"/>
      <c r="B171" s="335"/>
      <c r="C171" s="263"/>
      <c r="D171" s="218"/>
      <c r="E171" s="218"/>
      <c r="F171" s="260"/>
      <c r="G171" s="218"/>
      <c r="H171" s="218"/>
      <c r="I171" s="218"/>
      <c r="J171" s="218"/>
      <c r="K171" s="323"/>
      <c r="L171" s="323"/>
    </row>
    <row r="172" spans="1:15" s="218" customFormat="1" ht="15.75" customHeight="1">
      <c r="A172" s="336"/>
      <c r="B172" s="210"/>
      <c r="C172" s="752" t="s">
        <v>33</v>
      </c>
      <c r="K172" s="346">
        <f>SUM(K173:K175)</f>
        <v>69992058635</v>
      </c>
      <c r="L172" s="473"/>
      <c r="M172" s="474">
        <f>SUM(M173:M175)</f>
        <v>153179946085</v>
      </c>
      <c r="N172" s="126">
        <f>M172-BCDKT!I21</f>
        <v>0</v>
      </c>
      <c r="O172" s="126">
        <f>K172-BCDKT!H21</f>
        <v>0</v>
      </c>
    </row>
    <row r="173" spans="1:15" s="228" customFormat="1" ht="15.75" customHeight="1">
      <c r="A173" s="125"/>
      <c r="B173" s="341"/>
      <c r="C173" s="354"/>
      <c r="D173" s="748" t="s">
        <v>453</v>
      </c>
      <c r="K173" s="343">
        <f>57251759606-K174-K175+13309686532-'AE'!H30+5</f>
        <v>69344158635</v>
      </c>
      <c r="L173" s="485"/>
      <c r="M173" s="486">
        <v>31896390664</v>
      </c>
      <c r="N173" s="225"/>
      <c r="O173" s="225"/>
    </row>
    <row r="174" spans="1:15" s="228" customFormat="1" ht="15.75" customHeight="1">
      <c r="A174" s="125"/>
      <c r="B174" s="341"/>
      <c r="C174" s="354"/>
      <c r="D174" s="748" t="s">
        <v>454</v>
      </c>
      <c r="K174" s="343">
        <v>647900000</v>
      </c>
      <c r="L174" s="485"/>
      <c r="M174" s="486">
        <v>549055421</v>
      </c>
      <c r="N174" s="225"/>
      <c r="O174" s="225"/>
    </row>
    <row r="175" spans="1:15" s="228" customFormat="1" ht="15.75" customHeight="1">
      <c r="A175" s="125"/>
      <c r="B175" s="341"/>
      <c r="C175" s="354"/>
      <c r="D175" s="748" t="s">
        <v>455</v>
      </c>
      <c r="K175" s="343">
        <v>0</v>
      </c>
      <c r="L175" s="485"/>
      <c r="M175" s="486">
        <v>120734500000</v>
      </c>
      <c r="N175" s="225"/>
      <c r="O175" s="225"/>
    </row>
    <row r="176" spans="1:15" s="218" customFormat="1" ht="17.25" customHeight="1">
      <c r="A176" s="336"/>
      <c r="B176" s="210"/>
      <c r="C176" s="752" t="s">
        <v>34</v>
      </c>
      <c r="I176" s="339"/>
      <c r="K176" s="475">
        <f>SUM(K177:K182)</f>
        <v>566923696655</v>
      </c>
      <c r="L176" s="475"/>
      <c r="M176" s="490">
        <f>SUM(M177:M182)</f>
        <v>21397981384</v>
      </c>
      <c r="N176" s="126">
        <f>M176-BCDKT!I22</f>
        <v>0</v>
      </c>
      <c r="O176" s="126">
        <f>K176-BCDKT!H22</f>
        <v>0</v>
      </c>
    </row>
    <row r="177" spans="1:15" s="228" customFormat="1" ht="13.5">
      <c r="A177" s="125"/>
      <c r="B177" s="341"/>
      <c r="C177" s="354"/>
      <c r="D177" s="748" t="s">
        <v>456</v>
      </c>
      <c r="I177" s="484"/>
      <c r="K177" s="487">
        <v>319100000000</v>
      </c>
      <c r="L177" s="422"/>
      <c r="M177" s="342">
        <v>0</v>
      </c>
      <c r="N177" s="225"/>
      <c r="O177" s="225"/>
    </row>
    <row r="178" spans="1:15" s="228" customFormat="1" ht="13.5">
      <c r="A178" s="125"/>
      <c r="B178" s="341"/>
      <c r="C178" s="354"/>
      <c r="D178" s="748" t="s">
        <v>457</v>
      </c>
      <c r="I178" s="484"/>
      <c r="K178" s="487">
        <v>52557990000</v>
      </c>
      <c r="L178" s="422"/>
      <c r="M178" s="342">
        <v>0</v>
      </c>
      <c r="N178" s="225"/>
      <c r="O178" s="225"/>
    </row>
    <row r="179" spans="1:15" s="228" customFormat="1" ht="13.5">
      <c r="A179" s="125"/>
      <c r="B179" s="341"/>
      <c r="C179" s="354"/>
      <c r="D179" s="749" t="s">
        <v>458</v>
      </c>
      <c r="I179" s="484"/>
      <c r="K179" s="487">
        <v>54000000000</v>
      </c>
      <c r="L179" s="422"/>
      <c r="M179" s="342">
        <v>0</v>
      </c>
      <c r="N179" s="225"/>
      <c r="O179" s="225"/>
    </row>
    <row r="180" spans="1:15" s="228" customFormat="1" ht="13.5">
      <c r="A180" s="125"/>
      <c r="B180" s="341"/>
      <c r="C180" s="354"/>
      <c r="D180" s="748" t="s">
        <v>459</v>
      </c>
      <c r="I180" s="484"/>
      <c r="K180" s="487">
        <v>51207277720</v>
      </c>
      <c r="L180" s="422"/>
      <c r="M180" s="342">
        <v>0</v>
      </c>
      <c r="N180" s="225"/>
      <c r="O180" s="225"/>
    </row>
    <row r="181" spans="1:15" s="228" customFormat="1" ht="13.5">
      <c r="A181" s="125"/>
      <c r="B181" s="341"/>
      <c r="C181" s="354"/>
      <c r="D181" s="748" t="s">
        <v>460</v>
      </c>
      <c r="I181" s="484"/>
      <c r="K181" s="487">
        <v>52201950611</v>
      </c>
      <c r="L181" s="422"/>
      <c r="M181" s="348">
        <v>0</v>
      </c>
      <c r="N181" s="225"/>
      <c r="O181" s="225"/>
    </row>
    <row r="182" spans="1:15" s="228" customFormat="1" ht="13.5">
      <c r="A182" s="125"/>
      <c r="B182" s="341"/>
      <c r="C182" s="354"/>
      <c r="D182" s="748" t="s">
        <v>461</v>
      </c>
      <c r="I182" s="484"/>
      <c r="K182" s="487">
        <f>14000000+65550000+115402000+574311349+25200000+4222993160+57000000+1966942768+14500000+1578731000+15000000+37500000+500000000+24500000+290512100+587660720+109900000+504472500+1003422095+150096080+2170000000+15660000+4475552+33000000+3909049000+5803600000+25000000+14000000000+38000000</f>
        <v>37856478324</v>
      </c>
      <c r="L182" s="422"/>
      <c r="M182" s="200">
        <v>21397981384</v>
      </c>
      <c r="N182" s="225"/>
      <c r="O182" s="225"/>
    </row>
    <row r="183" spans="1:15" s="218" customFormat="1" ht="17.25" customHeight="1">
      <c r="A183" s="336"/>
      <c r="B183" s="210"/>
      <c r="C183" s="752" t="s">
        <v>462</v>
      </c>
      <c r="D183" s="228"/>
      <c r="I183" s="339"/>
      <c r="K183" s="332">
        <f>SUM(K184:K189)</f>
        <v>74894753568</v>
      </c>
      <c r="L183" s="395"/>
      <c r="M183" s="332">
        <f>SUM(M184:M189)</f>
        <v>16342862535</v>
      </c>
      <c r="N183" s="126">
        <f>M183-BCDKT!I25</f>
        <v>0</v>
      </c>
      <c r="O183" s="126">
        <f>K183-BCDKT!H25</f>
        <v>0</v>
      </c>
    </row>
    <row r="184" spans="1:15" s="228" customFormat="1" ht="17.25" customHeight="1">
      <c r="A184" s="125"/>
      <c r="B184" s="341"/>
      <c r="C184" s="354"/>
      <c r="D184" s="748" t="s">
        <v>463</v>
      </c>
      <c r="I184" s="484">
        <v>-1</v>
      </c>
      <c r="K184" s="487">
        <f>51454028214+1923432036</f>
        <v>53377460250</v>
      </c>
      <c r="L184" s="422"/>
      <c r="M184" s="200">
        <v>1923432036</v>
      </c>
      <c r="N184" s="225"/>
      <c r="O184" s="225"/>
    </row>
    <row r="185" spans="1:15" s="228" customFormat="1" ht="17.25" customHeight="1">
      <c r="A185" s="125"/>
      <c r="B185" s="341"/>
      <c r="C185" s="354"/>
      <c r="D185" s="749" t="s">
        <v>464</v>
      </c>
      <c r="I185" s="484"/>
      <c r="K185" s="487">
        <f>5025735776+'AE'!H39</f>
        <v>5595123284</v>
      </c>
      <c r="L185" s="422"/>
      <c r="M185" s="331">
        <v>0</v>
      </c>
      <c r="N185" s="225"/>
      <c r="O185" s="225"/>
    </row>
    <row r="186" spans="1:15" s="228" customFormat="1" ht="17.25" customHeight="1">
      <c r="A186" s="125"/>
      <c r="B186" s="341"/>
      <c r="C186" s="354"/>
      <c r="D186" s="748" t="s">
        <v>465</v>
      </c>
      <c r="I186" s="484"/>
      <c r="K186" s="487">
        <f>36593264910-36200175902</f>
        <v>393089008</v>
      </c>
      <c r="L186" s="422"/>
      <c r="M186" s="200">
        <v>5781502149</v>
      </c>
      <c r="N186" s="225"/>
      <c r="O186" s="225"/>
    </row>
    <row r="187" spans="1:15" s="228" customFormat="1" ht="17.25" customHeight="1">
      <c r="A187" s="125"/>
      <c r="B187" s="341"/>
      <c r="C187" s="354"/>
      <c r="D187" s="748" t="s">
        <v>466</v>
      </c>
      <c r="I187" s="484"/>
      <c r="K187" s="487">
        <f>358111036+4593165464</f>
        <v>4951276500</v>
      </c>
      <c r="L187" s="422"/>
      <c r="M187" s="331">
        <v>0</v>
      </c>
      <c r="N187" s="225"/>
      <c r="O187" s="225"/>
    </row>
    <row r="188" spans="1:15" s="228" customFormat="1" ht="17.25" customHeight="1">
      <c r="A188" s="125"/>
      <c r="B188" s="341"/>
      <c r="C188" s="354"/>
      <c r="D188" s="748" t="s">
        <v>467</v>
      </c>
      <c r="I188" s="484">
        <v>-2</v>
      </c>
      <c r="K188" s="486">
        <f>M188</f>
        <v>8186010000</v>
      </c>
      <c r="L188" s="422"/>
      <c r="M188" s="200">
        <v>8186010000</v>
      </c>
      <c r="N188" s="225"/>
      <c r="O188" s="225"/>
    </row>
    <row r="189" spans="1:15" s="228" customFormat="1" ht="17.25" customHeight="1">
      <c r="A189" s="125"/>
      <c r="B189" s="341"/>
      <c r="C189" s="354"/>
      <c r="D189" s="748" t="s">
        <v>468</v>
      </c>
      <c r="I189" s="484"/>
      <c r="K189" s="487">
        <f>14000000+57452678+34231050+26096000+1457880968-1419900181+58700000+1677427476+'AE'!H18-'AE'!I15+163959900-5+321020000</f>
        <v>2391794526</v>
      </c>
      <c r="L189" s="422"/>
      <c r="M189" s="200">
        <f>130898350+321020000</f>
        <v>451918350</v>
      </c>
      <c r="N189" s="225"/>
      <c r="O189" s="225"/>
    </row>
    <row r="190" spans="1:15" s="231" customFormat="1" ht="19.5" customHeight="1">
      <c r="A190" s="336"/>
      <c r="B190" s="210"/>
      <c r="C190" s="750" t="s">
        <v>469</v>
      </c>
      <c r="G190" s="344"/>
      <c r="H190" s="344"/>
      <c r="I190" s="344"/>
      <c r="J190" s="344"/>
      <c r="K190" s="345">
        <f>K172+K176+K183</f>
        <v>711810508858</v>
      </c>
      <c r="L190" s="215"/>
      <c r="M190" s="345">
        <f>M172+M176+M183</f>
        <v>190920790004</v>
      </c>
      <c r="N190" s="215"/>
      <c r="O190" s="215"/>
    </row>
    <row r="191" spans="1:13" ht="19.5" customHeight="1">
      <c r="A191" s="270"/>
      <c r="B191" s="190"/>
      <c r="C191" s="752" t="s">
        <v>470</v>
      </c>
      <c r="D191" s="218"/>
      <c r="E191" s="218"/>
      <c r="F191" s="260"/>
      <c r="G191" s="340"/>
      <c r="H191" s="340"/>
      <c r="I191" s="484">
        <v>-2</v>
      </c>
      <c r="J191" s="218"/>
      <c r="K191" s="519">
        <f>BCDKT!H26</f>
        <v>-6000000000</v>
      </c>
      <c r="L191" s="324"/>
      <c r="M191" s="337">
        <f>BCDKT!I26</f>
        <v>-1474324766</v>
      </c>
    </row>
    <row r="192" spans="1:14" ht="14.25" thickBot="1">
      <c r="A192" s="270"/>
      <c r="B192" s="190"/>
      <c r="C192" s="750" t="s">
        <v>471</v>
      </c>
      <c r="D192" s="218"/>
      <c r="E192" s="218"/>
      <c r="F192" s="260"/>
      <c r="G192" s="340"/>
      <c r="H192" s="340"/>
      <c r="I192" s="218"/>
      <c r="J192" s="218"/>
      <c r="K192" s="333">
        <f>SUM(K190:K191)</f>
        <v>705810508858</v>
      </c>
      <c r="L192" s="332"/>
      <c r="M192" s="333">
        <f>SUM(M190:M191)</f>
        <v>189446465238</v>
      </c>
      <c r="N192" s="196">
        <f>M192-BCDKT!I20</f>
        <v>0</v>
      </c>
    </row>
    <row r="193" spans="1:13" ht="24.75" customHeight="1" thickTop="1">
      <c r="A193" s="270"/>
      <c r="B193" s="190"/>
      <c r="C193" s="903" t="s">
        <v>472</v>
      </c>
      <c r="D193" s="863"/>
      <c r="E193" s="863"/>
      <c r="F193" s="863"/>
      <c r="G193" s="863"/>
      <c r="H193" s="863"/>
      <c r="I193" s="863"/>
      <c r="J193" s="863"/>
      <c r="K193" s="863"/>
      <c r="L193" s="863"/>
      <c r="M193" s="863"/>
    </row>
    <row r="194" spans="1:13" ht="43.5" customHeight="1">
      <c r="A194" s="270"/>
      <c r="B194" s="190"/>
      <c r="C194" s="903" t="s">
        <v>473</v>
      </c>
      <c r="D194" s="863"/>
      <c r="E194" s="863"/>
      <c r="F194" s="863"/>
      <c r="G194" s="863"/>
      <c r="H194" s="863"/>
      <c r="I194" s="863"/>
      <c r="J194" s="863"/>
      <c r="K194" s="863"/>
      <c r="L194" s="863"/>
      <c r="M194" s="863"/>
    </row>
    <row r="195" spans="1:13" ht="55.5" customHeight="1">
      <c r="A195" s="270"/>
      <c r="B195" s="190"/>
      <c r="C195" s="903" t="s">
        <v>474</v>
      </c>
      <c r="D195" s="863"/>
      <c r="E195" s="863"/>
      <c r="F195" s="863"/>
      <c r="G195" s="863"/>
      <c r="H195" s="863"/>
      <c r="I195" s="863"/>
      <c r="J195" s="863"/>
      <c r="K195" s="863"/>
      <c r="L195" s="863"/>
      <c r="M195" s="863"/>
    </row>
    <row r="196" spans="1:13" ht="42" customHeight="1">
      <c r="A196" s="270"/>
      <c r="B196" s="190"/>
      <c r="C196" s="903" t="s">
        <v>475</v>
      </c>
      <c r="D196" s="863"/>
      <c r="E196" s="863"/>
      <c r="F196" s="863"/>
      <c r="G196" s="863"/>
      <c r="H196" s="863"/>
      <c r="I196" s="863"/>
      <c r="J196" s="863"/>
      <c r="K196" s="863"/>
      <c r="L196" s="863"/>
      <c r="M196" s="863"/>
    </row>
    <row r="197" spans="1:13" ht="4.5" customHeight="1">
      <c r="A197" s="270"/>
      <c r="B197" s="190"/>
      <c r="C197" s="905"/>
      <c r="D197" s="905"/>
      <c r="E197" s="905"/>
      <c r="F197" s="905"/>
      <c r="G197" s="905"/>
      <c r="H197" s="905"/>
      <c r="I197" s="905"/>
      <c r="J197" s="905"/>
      <c r="K197" s="905"/>
      <c r="L197" s="905"/>
      <c r="M197" s="905"/>
    </row>
    <row r="198" spans="1:13" ht="3.75" customHeight="1">
      <c r="A198" s="270"/>
      <c r="B198" s="190"/>
      <c r="C198" s="218"/>
      <c r="D198" s="218"/>
      <c r="E198" s="218"/>
      <c r="F198" s="218"/>
      <c r="G198" s="344"/>
      <c r="H198" s="344"/>
      <c r="I198" s="215"/>
      <c r="J198" s="215"/>
      <c r="K198" s="344"/>
      <c r="L198" s="344"/>
      <c r="M198" s="215"/>
    </row>
    <row r="199" spans="1:13" ht="14.25">
      <c r="A199" s="270"/>
      <c r="B199" s="745" t="s">
        <v>152</v>
      </c>
      <c r="C199" s="723" t="s">
        <v>39</v>
      </c>
      <c r="D199" s="218"/>
      <c r="E199" s="218"/>
      <c r="F199" s="260"/>
      <c r="G199" s="340"/>
      <c r="H199" s="340"/>
      <c r="I199" s="332"/>
      <c r="J199" s="332"/>
      <c r="K199" s="324"/>
      <c r="L199" s="324"/>
      <c r="M199" s="332"/>
    </row>
    <row r="200" spans="1:13" ht="18.75" customHeight="1">
      <c r="A200" s="270"/>
      <c r="B200" s="190"/>
      <c r="C200" s="263"/>
      <c r="D200" s="218"/>
      <c r="E200" s="218"/>
      <c r="F200" s="260"/>
      <c r="G200" s="261"/>
      <c r="H200" s="261"/>
      <c r="I200" s="218"/>
      <c r="J200" s="218"/>
      <c r="K200" s="746" t="s">
        <v>176</v>
      </c>
      <c r="L200" s="323"/>
      <c r="M200" s="746" t="s">
        <v>178</v>
      </c>
    </row>
    <row r="201" spans="1:15" s="299" customFormat="1" ht="18.75" customHeight="1">
      <c r="A201" s="327"/>
      <c r="B201" s="328"/>
      <c r="C201" s="753" t="s">
        <v>476</v>
      </c>
      <c r="E201" s="262"/>
      <c r="F201" s="262"/>
      <c r="G201" s="358"/>
      <c r="H201" s="358"/>
      <c r="I201" s="337"/>
      <c r="J201" s="337"/>
      <c r="K201" s="337">
        <v>16403871724</v>
      </c>
      <c r="L201" s="337"/>
      <c r="M201" s="337">
        <v>9591134522</v>
      </c>
      <c r="N201" s="411"/>
      <c r="O201" s="498"/>
    </row>
    <row r="202" spans="1:15" ht="18.75" customHeight="1">
      <c r="A202" s="270"/>
      <c r="B202" s="190"/>
      <c r="C202" s="747" t="s">
        <v>477</v>
      </c>
      <c r="E202" s="218"/>
      <c r="F202" s="218"/>
      <c r="G202" s="359"/>
      <c r="H202" s="359"/>
      <c r="I202" s="259"/>
      <c r="J202" s="259"/>
      <c r="K202" s="126">
        <v>176197256</v>
      </c>
      <c r="L202" s="126"/>
      <c r="M202" s="126">
        <v>64471668</v>
      </c>
      <c r="O202" s="499"/>
    </row>
    <row r="203" spans="1:15" ht="18.75" customHeight="1">
      <c r="A203" s="270"/>
      <c r="B203" s="190"/>
      <c r="C203" s="747" t="s">
        <v>478</v>
      </c>
      <c r="E203" s="218"/>
      <c r="F203" s="218"/>
      <c r="G203" s="359"/>
      <c r="H203" s="359"/>
      <c r="I203" s="126"/>
      <c r="J203" s="126"/>
      <c r="K203" s="126">
        <v>0</v>
      </c>
      <c r="L203" s="126"/>
      <c r="M203" s="126">
        <v>795944528</v>
      </c>
      <c r="O203" s="499"/>
    </row>
    <row r="204" spans="1:15" ht="18.75" customHeight="1">
      <c r="A204" s="270"/>
      <c r="B204" s="190"/>
      <c r="C204" s="747" t="s">
        <v>479</v>
      </c>
      <c r="E204" s="218"/>
      <c r="F204" s="218"/>
      <c r="G204" s="359"/>
      <c r="H204" s="359"/>
      <c r="I204" s="126"/>
      <c r="J204" s="126"/>
      <c r="K204" s="126">
        <f>31460208968+2587028942</f>
        <v>34047237910</v>
      </c>
      <c r="L204" s="126"/>
      <c r="M204" s="126">
        <v>5030598991</v>
      </c>
      <c r="O204" s="499"/>
    </row>
    <row r="205" spans="1:13" ht="18.75" customHeight="1">
      <c r="A205" s="270"/>
      <c r="B205" s="190"/>
      <c r="C205" s="753" t="s">
        <v>480</v>
      </c>
      <c r="E205" s="218"/>
      <c r="F205" s="218"/>
      <c r="G205" s="359"/>
      <c r="H205" s="359"/>
      <c r="I205" s="126"/>
      <c r="J205" s="126"/>
      <c r="K205" s="456">
        <v>0</v>
      </c>
      <c r="L205" s="126"/>
      <c r="M205" s="455">
        <v>0</v>
      </c>
    </row>
    <row r="206" spans="1:14" ht="22.5" customHeight="1">
      <c r="A206" s="270"/>
      <c r="B206" s="190"/>
      <c r="C206" s="754" t="s">
        <v>481</v>
      </c>
      <c r="D206" s="218"/>
      <c r="E206" s="218"/>
      <c r="F206" s="218"/>
      <c r="G206" s="260"/>
      <c r="H206" s="260"/>
      <c r="I206" s="357"/>
      <c r="J206" s="357"/>
      <c r="K206" s="360">
        <f>SUM(K201:K205)</f>
        <v>50627306890</v>
      </c>
      <c r="L206" s="361"/>
      <c r="M206" s="360">
        <f>SUM(M201:M205)</f>
        <v>15482149709</v>
      </c>
      <c r="N206" s="196">
        <f>M206-BCDKT!I28</f>
        <v>0</v>
      </c>
    </row>
    <row r="207" spans="1:13" ht="18.75" customHeight="1">
      <c r="A207" s="270"/>
      <c r="B207" s="190"/>
      <c r="C207" s="752" t="s">
        <v>40</v>
      </c>
      <c r="D207" s="218"/>
      <c r="E207" s="218"/>
      <c r="F207" s="218"/>
      <c r="G207" s="359"/>
      <c r="H207" s="359"/>
      <c r="I207" s="126"/>
      <c r="J207" s="126"/>
      <c r="K207" s="126">
        <v>0</v>
      </c>
      <c r="L207" s="126"/>
      <c r="M207" s="196">
        <v>0</v>
      </c>
    </row>
    <row r="208" spans="1:14" ht="21.75" customHeight="1" thickBot="1">
      <c r="A208" s="270"/>
      <c r="B208" s="190"/>
      <c r="C208" s="906" t="s">
        <v>382</v>
      </c>
      <c r="D208" s="907"/>
      <c r="E208" s="907"/>
      <c r="F208" s="907"/>
      <c r="G208" s="907"/>
      <c r="H208" s="907"/>
      <c r="I208" s="907"/>
      <c r="J208" s="241"/>
      <c r="K208" s="362">
        <f>K206-K207</f>
        <v>50627306890</v>
      </c>
      <c r="L208" s="363"/>
      <c r="M208" s="362">
        <f>M206-M207</f>
        <v>15482149709</v>
      </c>
      <c r="N208" s="196">
        <f>K208-BCDKT!H29</f>
        <v>0</v>
      </c>
    </row>
    <row r="209" spans="1:13" ht="17.25" customHeight="1" thickTop="1">
      <c r="A209" s="270"/>
      <c r="C209" s="210"/>
      <c r="D209" s="364"/>
      <c r="E209" s="364"/>
      <c r="F209" s="364"/>
      <c r="G209" s="365"/>
      <c r="H209" s="365"/>
      <c r="I209" s="365"/>
      <c r="J209" s="365"/>
      <c r="K209" s="126"/>
      <c r="L209" s="126"/>
      <c r="M209" s="332"/>
    </row>
    <row r="210" spans="1:13" ht="16.5" customHeight="1">
      <c r="A210" s="270"/>
      <c r="B210" s="745" t="s">
        <v>155</v>
      </c>
      <c r="C210" s="723" t="s">
        <v>41</v>
      </c>
      <c r="D210" s="218"/>
      <c r="E210" s="218"/>
      <c r="F210" s="260"/>
      <c r="G210" s="340"/>
      <c r="H210" s="340"/>
      <c r="I210" s="332"/>
      <c r="J210" s="332"/>
      <c r="K210" s="324"/>
      <c r="L210" s="324"/>
      <c r="M210" s="332"/>
    </row>
    <row r="211" spans="1:13" ht="4.5" customHeight="1">
      <c r="A211" s="270"/>
      <c r="B211" s="335"/>
      <c r="C211" s="231"/>
      <c r="D211" s="218"/>
      <c r="E211" s="218"/>
      <c r="F211" s="260"/>
      <c r="G211" s="340"/>
      <c r="H211" s="340"/>
      <c r="I211" s="332"/>
      <c r="J211" s="332"/>
      <c r="K211" s="324"/>
      <c r="L211" s="324"/>
      <c r="M211" s="332"/>
    </row>
    <row r="212" spans="1:13" ht="14.25">
      <c r="A212" s="270"/>
      <c r="B212" s="190"/>
      <c r="C212" s="263"/>
      <c r="D212" s="218"/>
      <c r="E212" s="218"/>
      <c r="F212" s="260"/>
      <c r="G212" s="261"/>
      <c r="H212" s="261"/>
      <c r="I212" s="218"/>
      <c r="J212" s="218"/>
      <c r="K212" s="746" t="s">
        <v>176</v>
      </c>
      <c r="L212" s="323"/>
      <c r="M212" s="746" t="s">
        <v>178</v>
      </c>
    </row>
    <row r="213" spans="1:12" ht="5.25" customHeight="1">
      <c r="A213" s="270"/>
      <c r="B213" s="190"/>
      <c r="C213" s="263"/>
      <c r="D213" s="218"/>
      <c r="E213" s="218"/>
      <c r="F213" s="260"/>
      <c r="G213" s="261"/>
      <c r="H213" s="261"/>
      <c r="I213" s="218"/>
      <c r="J213" s="218"/>
      <c r="K213" s="323"/>
      <c r="L213" s="323"/>
    </row>
    <row r="214" spans="1:13" ht="18.75" customHeight="1">
      <c r="A214" s="270"/>
      <c r="B214" s="190"/>
      <c r="C214" s="747" t="s">
        <v>42</v>
      </c>
      <c r="D214" s="218"/>
      <c r="E214" s="218"/>
      <c r="F214" s="260"/>
      <c r="G214" s="261"/>
      <c r="H214" s="261"/>
      <c r="I214" s="218"/>
      <c r="J214" s="218"/>
      <c r="K214" s="403">
        <f>SUM(K215:K216)</f>
        <v>20628098</v>
      </c>
      <c r="L214" s="403"/>
      <c r="M214" s="196">
        <f>SUM(M215:M216)</f>
        <v>156133132</v>
      </c>
    </row>
    <row r="215" spans="1:13" ht="18.75" customHeight="1">
      <c r="A215" s="270"/>
      <c r="B215" s="190"/>
      <c r="C215" s="263"/>
      <c r="D215" s="748" t="s">
        <v>383</v>
      </c>
      <c r="E215" s="218"/>
      <c r="F215" s="260"/>
      <c r="G215" s="261"/>
      <c r="H215" s="261"/>
      <c r="I215" s="218"/>
      <c r="J215" s="218"/>
      <c r="K215" s="401">
        <f>BCDKT!H33</f>
        <v>20628098</v>
      </c>
      <c r="L215" s="401"/>
      <c r="M215" s="366">
        <v>139232032</v>
      </c>
    </row>
    <row r="216" spans="1:13" ht="18.75" customHeight="1">
      <c r="A216" s="270"/>
      <c r="B216" s="190"/>
      <c r="C216" s="263"/>
      <c r="D216" s="748" t="s">
        <v>384</v>
      </c>
      <c r="E216" s="218"/>
      <c r="F216" s="260"/>
      <c r="G216" s="261"/>
      <c r="H216" s="261"/>
      <c r="I216" s="218"/>
      <c r="J216" s="218"/>
      <c r="K216" s="401">
        <v>0</v>
      </c>
      <c r="L216" s="401"/>
      <c r="M216" s="366">
        <v>16901100</v>
      </c>
    </row>
    <row r="217" spans="1:13" ht="18.75" customHeight="1">
      <c r="A217" s="270"/>
      <c r="B217" s="190"/>
      <c r="C217" s="752" t="s">
        <v>385</v>
      </c>
      <c r="D217" s="218"/>
      <c r="E217" s="218"/>
      <c r="F217" s="260"/>
      <c r="G217" s="261"/>
      <c r="H217" s="261"/>
      <c r="I217" s="218"/>
      <c r="J217" s="218"/>
      <c r="K217" s="324">
        <f>BCDKT!H34</f>
        <v>8117385187</v>
      </c>
      <c r="L217" s="324"/>
      <c r="M217" s="196">
        <v>3130391564</v>
      </c>
    </row>
    <row r="218" spans="1:13" ht="18.75" customHeight="1">
      <c r="A218" s="270"/>
      <c r="B218" s="190"/>
      <c r="C218" s="752" t="s">
        <v>386</v>
      </c>
      <c r="D218" s="218"/>
      <c r="E218" s="218"/>
      <c r="F218" s="260"/>
      <c r="G218" s="261"/>
      <c r="H218" s="261"/>
      <c r="I218" s="218"/>
      <c r="J218" s="218"/>
      <c r="K218" s="324">
        <v>6011219</v>
      </c>
      <c r="L218" s="324"/>
      <c r="M218" s="196">
        <v>0</v>
      </c>
    </row>
    <row r="219" spans="1:13" ht="18.75" customHeight="1">
      <c r="A219" s="270"/>
      <c r="B219" s="190"/>
      <c r="C219" s="752" t="s">
        <v>41</v>
      </c>
      <c r="D219" s="218"/>
      <c r="E219" s="218"/>
      <c r="F219" s="260"/>
      <c r="G219" s="340"/>
      <c r="H219" s="340"/>
      <c r="I219" s="218"/>
      <c r="J219" s="218"/>
      <c r="K219" s="324">
        <f>SUM(K220:K221)</f>
        <v>1943367744</v>
      </c>
      <c r="L219" s="324"/>
      <c r="M219" s="196">
        <f>SUM(M220:M221)</f>
        <v>2436926992</v>
      </c>
    </row>
    <row r="220" spans="1:15" s="277" customFormat="1" ht="18.75" customHeight="1">
      <c r="A220" s="267"/>
      <c r="B220" s="268"/>
      <c r="C220" s="354"/>
      <c r="D220" s="748" t="s">
        <v>387</v>
      </c>
      <c r="E220" s="228"/>
      <c r="F220" s="326"/>
      <c r="G220" s="342"/>
      <c r="H220" s="342"/>
      <c r="I220" s="228"/>
      <c r="J220" s="228"/>
      <c r="K220" s="200">
        <f>1752345172+156149572</f>
        <v>1908494744</v>
      </c>
      <c r="L220" s="200"/>
      <c r="M220" s="366">
        <v>1735295933</v>
      </c>
      <c r="N220" s="366"/>
      <c r="O220" s="366"/>
    </row>
    <row r="221" spans="1:15" s="277" customFormat="1" ht="18.75" customHeight="1">
      <c r="A221" s="267"/>
      <c r="B221" s="268"/>
      <c r="C221" s="354"/>
      <c r="D221" s="748" t="s">
        <v>388</v>
      </c>
      <c r="E221" s="228"/>
      <c r="F221" s="326"/>
      <c r="G221" s="342"/>
      <c r="H221" s="342"/>
      <c r="I221" s="228"/>
      <c r="J221" s="228"/>
      <c r="K221" s="200">
        <v>34873000</v>
      </c>
      <c r="L221" s="200"/>
      <c r="M221" s="366">
        <v>701631059</v>
      </c>
      <c r="N221" s="366"/>
      <c r="O221" s="366"/>
    </row>
    <row r="222" spans="1:15" ht="24.75" customHeight="1" thickBot="1">
      <c r="A222" s="270"/>
      <c r="B222" s="190"/>
      <c r="C222" s="750" t="s">
        <v>452</v>
      </c>
      <c r="D222" s="218"/>
      <c r="E222" s="218"/>
      <c r="F222" s="260"/>
      <c r="G222" s="340"/>
      <c r="H222" s="340"/>
      <c r="I222" s="265"/>
      <c r="J222" s="218"/>
      <c r="K222" s="333">
        <f>+K214+K217+K219+K218</f>
        <v>10087392248</v>
      </c>
      <c r="L222" s="332"/>
      <c r="M222" s="333">
        <f>+M214+M217+M219</f>
        <v>5723451688</v>
      </c>
      <c r="N222" s="196">
        <f>M222-BCDKT!I32</f>
        <v>0</v>
      </c>
      <c r="O222" s="196">
        <f>K222-BCDKT!H32</f>
        <v>0</v>
      </c>
    </row>
    <row r="223" spans="1:13" ht="45" customHeight="1" thickTop="1">
      <c r="A223" s="295"/>
      <c r="B223" s="189"/>
      <c r="C223" s="85"/>
      <c r="D223" s="347"/>
      <c r="E223" s="347"/>
      <c r="F223" s="347"/>
      <c r="G223" s="347"/>
      <c r="H223" s="347"/>
      <c r="I223" s="347"/>
      <c r="J223" s="347"/>
      <c r="K223" s="347"/>
      <c r="L223" s="347"/>
      <c r="M223" s="347"/>
    </row>
    <row r="224" spans="1:15" s="306" customFormat="1" ht="14.25">
      <c r="A224" s="367"/>
      <c r="B224" s="745" t="s">
        <v>156</v>
      </c>
      <c r="C224" s="727" t="s">
        <v>54</v>
      </c>
      <c r="D224" s="368"/>
      <c r="F224" s="305"/>
      <c r="G224" s="307"/>
      <c r="H224" s="307"/>
      <c r="I224" s="307"/>
      <c r="J224" s="307"/>
      <c r="K224" s="307"/>
      <c r="L224" s="307"/>
      <c r="M224" s="307"/>
      <c r="N224" s="478"/>
      <c r="O224" s="478"/>
    </row>
    <row r="225" spans="1:15" s="282" customFormat="1" ht="21" customHeight="1">
      <c r="A225" s="369"/>
      <c r="B225" s="335"/>
      <c r="C225" s="727" t="s">
        <v>389</v>
      </c>
      <c r="D225" s="370"/>
      <c r="F225" s="371"/>
      <c r="G225" s="372"/>
      <c r="H225" s="372"/>
      <c r="I225" s="372"/>
      <c r="J225" s="372"/>
      <c r="K225" s="372"/>
      <c r="L225" s="372"/>
      <c r="M225" s="372"/>
      <c r="N225" s="451"/>
      <c r="O225" s="451"/>
    </row>
    <row r="226" spans="1:15" s="83" customFormat="1" ht="16.5" customHeight="1">
      <c r="A226" s="373"/>
      <c r="B226" s="374"/>
      <c r="C226" s="85"/>
      <c r="D226" s="375"/>
      <c r="E226" s="105"/>
      <c r="F226" s="376"/>
      <c r="G226" s="755" t="s">
        <v>177</v>
      </c>
      <c r="H226" s="377"/>
      <c r="I226" s="756" t="s">
        <v>390</v>
      </c>
      <c r="J226" s="378"/>
      <c r="K226" s="756" t="s">
        <v>391</v>
      </c>
      <c r="L226" s="378"/>
      <c r="M226" s="757" t="s">
        <v>176</v>
      </c>
      <c r="N226" s="479"/>
      <c r="O226" s="479"/>
    </row>
    <row r="227" spans="1:13" ht="13.5" customHeight="1">
      <c r="A227" s="270"/>
      <c r="B227" s="335"/>
      <c r="C227" s="750" t="s">
        <v>392</v>
      </c>
      <c r="D227" s="264"/>
      <c r="E227" s="218"/>
      <c r="F227" s="260"/>
      <c r="G227" s="332"/>
      <c r="H227" s="332"/>
      <c r="I227" s="332"/>
      <c r="J227" s="332"/>
      <c r="K227" s="332"/>
      <c r="L227" s="332"/>
      <c r="M227" s="332"/>
    </row>
    <row r="228" spans="1:13" ht="15" customHeight="1" hidden="1">
      <c r="A228" s="270"/>
      <c r="B228" s="335"/>
      <c r="C228" s="758" t="s">
        <v>393</v>
      </c>
      <c r="D228" s="264"/>
      <c r="E228" s="218"/>
      <c r="F228" s="260"/>
      <c r="G228" s="126">
        <v>0</v>
      </c>
      <c r="H228" s="126"/>
      <c r="I228" s="126">
        <v>0</v>
      </c>
      <c r="J228" s="78"/>
      <c r="K228" s="126">
        <v>0</v>
      </c>
      <c r="L228" s="381"/>
      <c r="M228" s="148">
        <f>G228+I228-K228</f>
        <v>0</v>
      </c>
    </row>
    <row r="229" spans="1:13" ht="15" customHeight="1">
      <c r="A229" s="270"/>
      <c r="B229" s="335"/>
      <c r="C229" s="759" t="s">
        <v>523</v>
      </c>
      <c r="D229" s="264"/>
      <c r="E229" s="218"/>
      <c r="F229" s="260"/>
      <c r="G229" s="126">
        <v>2919073004</v>
      </c>
      <c r="H229" s="126"/>
      <c r="I229" s="126">
        <v>329061425</v>
      </c>
      <c r="J229" s="78"/>
      <c r="K229" s="126">
        <v>11940000</v>
      </c>
      <c r="L229" s="381"/>
      <c r="M229" s="148">
        <f>G229+I229-K229</f>
        <v>3236194429</v>
      </c>
    </row>
    <row r="230" spans="1:13" ht="15" customHeight="1">
      <c r="A230" s="270"/>
      <c r="B230" s="335"/>
      <c r="C230" s="759" t="s">
        <v>394</v>
      </c>
      <c r="D230" s="264"/>
      <c r="E230" s="218"/>
      <c r="F230" s="260"/>
      <c r="G230" s="126">
        <v>464478826964</v>
      </c>
      <c r="H230" s="126"/>
      <c r="I230" s="126">
        <f>455632291406+475467182</f>
        <v>456107758588</v>
      </c>
      <c r="J230" s="78"/>
      <c r="K230" s="126">
        <f>123143358668-428632364</f>
        <v>122714726304</v>
      </c>
      <c r="L230" s="381"/>
      <c r="M230" s="148">
        <f>G230+I230-K230</f>
        <v>797871859248</v>
      </c>
    </row>
    <row r="231" spans="1:13" ht="15" customHeight="1">
      <c r="A231" s="270"/>
      <c r="B231" s="335"/>
      <c r="C231" s="759" t="s">
        <v>395</v>
      </c>
      <c r="D231" s="264"/>
      <c r="E231" s="218"/>
      <c r="F231" s="260"/>
      <c r="G231" s="126">
        <v>934570702</v>
      </c>
      <c r="H231" s="126"/>
      <c r="I231" s="126">
        <v>263615656</v>
      </c>
      <c r="J231" s="78"/>
      <c r="K231" s="126">
        <f>75133432-14783636</f>
        <v>60349796</v>
      </c>
      <c r="L231" s="381"/>
      <c r="M231" s="148">
        <f>G231+I231-K231</f>
        <v>1137836562</v>
      </c>
    </row>
    <row r="232" spans="1:13" ht="15" customHeight="1" hidden="1">
      <c r="A232" s="270"/>
      <c r="B232" s="335"/>
      <c r="C232" s="759" t="s">
        <v>396</v>
      </c>
      <c r="D232" s="264"/>
      <c r="E232" s="218"/>
      <c r="F232" s="260"/>
      <c r="G232" s="126">
        <v>0</v>
      </c>
      <c r="H232" s="126"/>
      <c r="I232" s="126">
        <v>0</v>
      </c>
      <c r="J232" s="78"/>
      <c r="K232" s="126">
        <v>0</v>
      </c>
      <c r="L232" s="381"/>
      <c r="M232" s="148">
        <f>G232+I232-K232</f>
        <v>0</v>
      </c>
    </row>
    <row r="233" spans="1:15" s="386" customFormat="1" ht="18" customHeight="1" thickBot="1">
      <c r="A233" s="270"/>
      <c r="B233" s="335"/>
      <c r="C233" s="760" t="s">
        <v>452</v>
      </c>
      <c r="D233" s="383"/>
      <c r="E233" s="249"/>
      <c r="F233" s="260"/>
      <c r="G233" s="384">
        <f>SUM(G228:G231)</f>
        <v>468332470670</v>
      </c>
      <c r="H233" s="385"/>
      <c r="I233" s="384">
        <f>SUM(I228:I231)</f>
        <v>456700435669</v>
      </c>
      <c r="J233" s="385"/>
      <c r="K233" s="384">
        <f>SUM(K228:K231)</f>
        <v>122787016100</v>
      </c>
      <c r="L233" s="385"/>
      <c r="M233" s="384">
        <f>SUM(M228:M231)</f>
        <v>802245890239</v>
      </c>
      <c r="N233" s="480">
        <f>G233-BCDKT!I52</f>
        <v>0</v>
      </c>
      <c r="O233" s="480">
        <f>M233-BCDKT!H52</f>
        <v>0</v>
      </c>
    </row>
    <row r="234" spans="1:13" ht="7.5" customHeight="1" thickTop="1">
      <c r="A234" s="270"/>
      <c r="B234" s="335"/>
      <c r="C234" s="380"/>
      <c r="D234" s="264"/>
      <c r="E234" s="218"/>
      <c r="F234" s="260"/>
      <c r="G234" s="78"/>
      <c r="H234" s="78"/>
      <c r="I234" s="78"/>
      <c r="J234" s="78"/>
      <c r="K234" s="381"/>
      <c r="L234" s="381"/>
      <c r="M234" s="148"/>
    </row>
    <row r="235" spans="1:13" ht="18.75" customHeight="1">
      <c r="A235" s="270"/>
      <c r="B235" s="335"/>
      <c r="C235" s="750" t="s">
        <v>397</v>
      </c>
      <c r="D235" s="264"/>
      <c r="E235" s="218"/>
      <c r="F235" s="260"/>
      <c r="G235" s="332"/>
      <c r="H235" s="332"/>
      <c r="I235" s="332"/>
      <c r="J235" s="332"/>
      <c r="K235" s="332"/>
      <c r="L235" s="332"/>
      <c r="M235" s="332"/>
    </row>
    <row r="236" spans="1:13" ht="18" customHeight="1" hidden="1">
      <c r="A236" s="270"/>
      <c r="B236" s="335"/>
      <c r="C236" s="758" t="s">
        <v>393</v>
      </c>
      <c r="D236" s="264"/>
      <c r="E236" s="218"/>
      <c r="F236" s="260"/>
      <c r="G236" s="337">
        <v>0</v>
      </c>
      <c r="H236" s="337"/>
      <c r="I236" s="337">
        <v>0</v>
      </c>
      <c r="J236" s="457"/>
      <c r="K236" s="337">
        <v>0</v>
      </c>
      <c r="L236" s="381"/>
      <c r="M236" s="148">
        <f>G236+I236-K236</f>
        <v>0</v>
      </c>
    </row>
    <row r="237" spans="1:13" ht="18" customHeight="1">
      <c r="A237" s="270"/>
      <c r="B237" s="335"/>
      <c r="C237" s="759" t="s">
        <v>523</v>
      </c>
      <c r="D237" s="264"/>
      <c r="E237" s="218"/>
      <c r="F237" s="260"/>
      <c r="G237" s="337">
        <v>898436060</v>
      </c>
      <c r="H237" s="337"/>
      <c r="I237" s="337">
        <v>496533805</v>
      </c>
      <c r="J237" s="457"/>
      <c r="K237" s="337">
        <v>5771000</v>
      </c>
      <c r="L237" s="381"/>
      <c r="M237" s="148">
        <f>G237+I237-K237</f>
        <v>1389198865</v>
      </c>
    </row>
    <row r="238" spans="1:13" ht="18" customHeight="1">
      <c r="A238" s="270"/>
      <c r="B238" s="335"/>
      <c r="C238" s="759" t="s">
        <v>394</v>
      </c>
      <c r="D238" s="264"/>
      <c r="E238" s="218"/>
      <c r="F238" s="260"/>
      <c r="G238" s="337">
        <v>45038406285</v>
      </c>
      <c r="H238" s="337"/>
      <c r="I238" s="337">
        <f>72560567143+11906455+16</f>
        <v>72572473614</v>
      </c>
      <c r="J238" s="457"/>
      <c r="K238" s="337">
        <f>10279806238-53579045</f>
        <v>10226227193</v>
      </c>
      <c r="L238" s="381"/>
      <c r="M238" s="148">
        <f>G238+I238-K238</f>
        <v>107384652706</v>
      </c>
    </row>
    <row r="239" spans="1:13" ht="18" customHeight="1">
      <c r="A239" s="270"/>
      <c r="B239" s="335"/>
      <c r="C239" s="759" t="s">
        <v>395</v>
      </c>
      <c r="D239" s="264"/>
      <c r="E239" s="218"/>
      <c r="F239" s="260"/>
      <c r="G239" s="337">
        <v>171767264</v>
      </c>
      <c r="H239" s="337"/>
      <c r="I239" s="337">
        <f>199927723+492788</f>
        <v>200420511</v>
      </c>
      <c r="J239" s="457"/>
      <c r="K239" s="337">
        <f>17948139-3942303</f>
        <v>14005836</v>
      </c>
      <c r="L239" s="381"/>
      <c r="M239" s="148">
        <f>G239+I239-K239</f>
        <v>358181939</v>
      </c>
    </row>
    <row r="240" spans="1:13" ht="18" customHeight="1" hidden="1">
      <c r="A240" s="270"/>
      <c r="B240" s="335"/>
      <c r="C240" s="759" t="s">
        <v>396</v>
      </c>
      <c r="D240" s="264"/>
      <c r="E240" s="218"/>
      <c r="F240" s="260"/>
      <c r="G240" s="337">
        <v>0</v>
      </c>
      <c r="H240" s="337"/>
      <c r="I240" s="337">
        <v>0</v>
      </c>
      <c r="J240" s="457"/>
      <c r="K240" s="337">
        <v>0</v>
      </c>
      <c r="L240" s="381"/>
      <c r="M240" s="148">
        <f>G240+I240-K240</f>
        <v>0</v>
      </c>
    </row>
    <row r="241" spans="1:15" s="386" customFormat="1" ht="18" customHeight="1" thickBot="1">
      <c r="A241" s="270"/>
      <c r="B241" s="335"/>
      <c r="C241" s="760" t="s">
        <v>452</v>
      </c>
      <c r="D241" s="383"/>
      <c r="E241" s="249"/>
      <c r="F241" s="260"/>
      <c r="G241" s="384">
        <f>SUM(G236:G240)</f>
        <v>46108609609</v>
      </c>
      <c r="H241" s="385"/>
      <c r="I241" s="384">
        <f>SUM(I236:I240)</f>
        <v>73269427930</v>
      </c>
      <c r="J241" s="385"/>
      <c r="K241" s="384">
        <f>SUM(K236:K240)</f>
        <v>10246004029</v>
      </c>
      <c r="L241" s="385"/>
      <c r="M241" s="384">
        <f>SUM(M236:M240)</f>
        <v>109132033510</v>
      </c>
      <c r="N241" s="480">
        <f>G241+BCDKT!I53</f>
        <v>0</v>
      </c>
      <c r="O241" s="528">
        <f>M241+BCDKT!H53</f>
        <v>0</v>
      </c>
    </row>
    <row r="242" spans="1:13" ht="4.5" customHeight="1" thickTop="1">
      <c r="A242" s="270"/>
      <c r="B242" s="335"/>
      <c r="C242" s="380"/>
      <c r="D242" s="264"/>
      <c r="E242" s="218"/>
      <c r="F242" s="260"/>
      <c r="G242" s="377"/>
      <c r="H242" s="78"/>
      <c r="I242" s="78"/>
      <c r="J242" s="78"/>
      <c r="K242" s="381"/>
      <c r="L242" s="381"/>
      <c r="M242" s="379"/>
    </row>
    <row r="243" spans="1:13" ht="20.25" customHeight="1">
      <c r="A243" s="270"/>
      <c r="B243" s="335"/>
      <c r="C243" s="750" t="s">
        <v>398</v>
      </c>
      <c r="D243" s="264"/>
      <c r="E243" s="218"/>
      <c r="F243" s="260"/>
      <c r="G243" s="332"/>
      <c r="H243" s="332"/>
      <c r="I243" s="324"/>
      <c r="J243" s="324"/>
      <c r="K243" s="324"/>
      <c r="L243" s="324"/>
      <c r="M243" s="332"/>
    </row>
    <row r="244" spans="1:13" ht="18" customHeight="1" hidden="1">
      <c r="A244" s="270"/>
      <c r="B244" s="335"/>
      <c r="C244" s="758" t="s">
        <v>393</v>
      </c>
      <c r="D244" s="264"/>
      <c r="E244" s="218"/>
      <c r="F244" s="260"/>
      <c r="G244" s="126">
        <f>+G228-G236</f>
        <v>0</v>
      </c>
      <c r="H244" s="332"/>
      <c r="I244" s="324"/>
      <c r="J244" s="324"/>
      <c r="K244" s="324"/>
      <c r="L244" s="324"/>
      <c r="M244" s="148">
        <f>+M228-M236</f>
        <v>0</v>
      </c>
    </row>
    <row r="245" spans="1:13" ht="18" customHeight="1">
      <c r="A245" s="270"/>
      <c r="B245" s="335"/>
      <c r="C245" s="759" t="s">
        <v>523</v>
      </c>
      <c r="D245" s="264"/>
      <c r="E245" s="218"/>
      <c r="F245" s="260"/>
      <c r="G245" s="126">
        <f>+G229-G237</f>
        <v>2020636944</v>
      </c>
      <c r="H245" s="126"/>
      <c r="I245" s="126"/>
      <c r="J245" s="78"/>
      <c r="K245" s="126"/>
      <c r="L245" s="381"/>
      <c r="M245" s="148">
        <f>+M229-M237</f>
        <v>1846995564</v>
      </c>
    </row>
    <row r="246" spans="1:13" ht="18" customHeight="1">
      <c r="A246" s="270"/>
      <c r="B246" s="335"/>
      <c r="C246" s="759" t="s">
        <v>394</v>
      </c>
      <c r="D246" s="264"/>
      <c r="E246" s="218"/>
      <c r="F246" s="260"/>
      <c r="G246" s="126">
        <f>+G230-G238</f>
        <v>419440420679</v>
      </c>
      <c r="H246" s="126"/>
      <c r="I246" s="126"/>
      <c r="J246" s="78"/>
      <c r="K246" s="126"/>
      <c r="L246" s="381"/>
      <c r="M246" s="148">
        <f>+M230-M238</f>
        <v>690487206542</v>
      </c>
    </row>
    <row r="247" spans="1:13" ht="18" customHeight="1">
      <c r="A247" s="270"/>
      <c r="B247" s="335"/>
      <c r="C247" s="759" t="s">
        <v>395</v>
      </c>
      <c r="D247" s="264"/>
      <c r="E247" s="218"/>
      <c r="F247" s="260"/>
      <c r="G247" s="126">
        <f>+G231-G239</f>
        <v>762803438</v>
      </c>
      <c r="H247" s="126"/>
      <c r="I247" s="126"/>
      <c r="J247" s="78"/>
      <c r="K247" s="126"/>
      <c r="L247" s="381"/>
      <c r="M247" s="148">
        <f>+M231-M239</f>
        <v>779654623</v>
      </c>
    </row>
    <row r="248" spans="1:13" ht="18" customHeight="1" hidden="1">
      <c r="A248" s="270"/>
      <c r="B248" s="335"/>
      <c r="C248" s="759" t="s">
        <v>396</v>
      </c>
      <c r="D248" s="264"/>
      <c r="E248" s="218"/>
      <c r="F248" s="260"/>
      <c r="G248" s="126">
        <f>+G232-G240</f>
        <v>0</v>
      </c>
      <c r="H248" s="337"/>
      <c r="I248" s="337"/>
      <c r="J248" s="457"/>
      <c r="K248" s="337"/>
      <c r="L248" s="381"/>
      <c r="M248" s="148">
        <f>+M232-M240</f>
        <v>0</v>
      </c>
    </row>
    <row r="249" spans="1:15" s="386" customFormat="1" ht="18" customHeight="1" thickBot="1">
      <c r="A249" s="270"/>
      <c r="B249" s="335"/>
      <c r="C249" s="760" t="s">
        <v>452</v>
      </c>
      <c r="D249" s="383"/>
      <c r="E249" s="249"/>
      <c r="F249" s="260"/>
      <c r="G249" s="384">
        <f>SUM(G244:G248)</f>
        <v>422223861061</v>
      </c>
      <c r="H249" s="385"/>
      <c r="I249" s="385"/>
      <c r="J249" s="385"/>
      <c r="K249" s="385"/>
      <c r="L249" s="385"/>
      <c r="M249" s="384">
        <f>SUM(M244:M248)</f>
        <v>693113856729</v>
      </c>
      <c r="N249" s="480">
        <f>G249-BCDKT!I51</f>
        <v>0</v>
      </c>
      <c r="O249" s="480"/>
    </row>
    <row r="250" spans="1:15" s="386" customFormat="1" ht="14.25" customHeight="1" thickTop="1">
      <c r="A250" s="270"/>
      <c r="B250" s="335"/>
      <c r="C250" s="382"/>
      <c r="D250" s="383"/>
      <c r="E250" s="249"/>
      <c r="F250" s="260"/>
      <c r="G250" s="385"/>
      <c r="H250" s="385"/>
      <c r="I250" s="385"/>
      <c r="J250" s="385"/>
      <c r="K250" s="385"/>
      <c r="L250" s="385"/>
      <c r="M250" s="385"/>
      <c r="N250" s="480"/>
      <c r="O250" s="480"/>
    </row>
    <row r="251" spans="1:15" s="493" customFormat="1" ht="16.5" customHeight="1">
      <c r="A251" s="500"/>
      <c r="B251" s="501"/>
      <c r="C251" s="761" t="s">
        <v>399</v>
      </c>
      <c r="D251" s="495"/>
      <c r="E251" s="494"/>
      <c r="F251" s="497"/>
      <c r="G251" s="502"/>
      <c r="H251" s="502"/>
      <c r="I251" s="502"/>
      <c r="J251" s="502"/>
      <c r="K251" s="502"/>
      <c r="L251" s="502"/>
      <c r="N251" s="496"/>
      <c r="O251" s="496"/>
    </row>
    <row r="252" spans="1:15" s="493" customFormat="1" ht="16.5" customHeight="1">
      <c r="A252" s="500"/>
      <c r="B252" s="501"/>
      <c r="C252" s="761" t="s">
        <v>400</v>
      </c>
      <c r="D252" s="495"/>
      <c r="E252" s="494"/>
      <c r="F252" s="497"/>
      <c r="G252" s="502"/>
      <c r="H252" s="502"/>
      <c r="I252" s="502"/>
      <c r="J252" s="502"/>
      <c r="K252" s="502"/>
      <c r="L252" s="502"/>
      <c r="N252" s="496"/>
      <c r="O252" s="496"/>
    </row>
    <row r="253" spans="1:15" s="493" customFormat="1" ht="16.5" customHeight="1">
      <c r="A253" s="500"/>
      <c r="B253" s="501"/>
      <c r="C253" s="761" t="s">
        <v>401</v>
      </c>
      <c r="D253" s="495"/>
      <c r="E253" s="494"/>
      <c r="F253" s="497"/>
      <c r="G253" s="502"/>
      <c r="H253" s="502"/>
      <c r="I253" s="502"/>
      <c r="J253" s="502"/>
      <c r="K253" s="502"/>
      <c r="L253" s="502"/>
      <c r="N253" s="496"/>
      <c r="O253" s="496"/>
    </row>
    <row r="254" spans="1:15" s="493" customFormat="1" ht="16.5" customHeight="1">
      <c r="A254" s="500"/>
      <c r="B254" s="501"/>
      <c r="C254" s="761" t="s">
        <v>402</v>
      </c>
      <c r="D254" s="495"/>
      <c r="E254" s="494"/>
      <c r="F254" s="497"/>
      <c r="G254" s="502"/>
      <c r="H254" s="502"/>
      <c r="I254" s="502"/>
      <c r="J254" s="502"/>
      <c r="K254" s="502"/>
      <c r="L254" s="502"/>
      <c r="N254" s="496"/>
      <c r="O254" s="496"/>
    </row>
    <row r="255" spans="1:15" s="493" customFormat="1" ht="11.25" customHeight="1">
      <c r="A255" s="500"/>
      <c r="B255" s="501"/>
      <c r="C255" s="503"/>
      <c r="D255" s="495"/>
      <c r="E255" s="494"/>
      <c r="F255" s="497"/>
      <c r="G255" s="502"/>
      <c r="H255" s="502"/>
      <c r="I255" s="502"/>
      <c r="J255" s="502"/>
      <c r="K255" s="502"/>
      <c r="L255" s="502"/>
      <c r="N255" s="496"/>
      <c r="O255" s="496"/>
    </row>
    <row r="256" spans="1:13" ht="15.75" customHeight="1">
      <c r="A256" s="270"/>
      <c r="B256" s="335"/>
      <c r="C256" s="762" t="s">
        <v>403</v>
      </c>
      <c r="D256" s="264"/>
      <c r="E256" s="218"/>
      <c r="F256" s="260"/>
      <c r="G256" s="349"/>
      <c r="H256" s="349"/>
      <c r="I256" s="349"/>
      <c r="J256" s="349"/>
      <c r="K256" s="349"/>
      <c r="L256" s="349"/>
      <c r="M256" s="349"/>
    </row>
    <row r="257" spans="1:13" ht="3" customHeight="1">
      <c r="A257" s="270"/>
      <c r="B257" s="335"/>
      <c r="C257" s="231"/>
      <c r="D257" s="264"/>
      <c r="E257" s="218"/>
      <c r="F257" s="260"/>
      <c r="G257" s="349"/>
      <c r="H257" s="349"/>
      <c r="I257" s="349"/>
      <c r="J257" s="349"/>
      <c r="K257" s="349"/>
      <c r="L257" s="349"/>
      <c r="M257" s="348"/>
    </row>
    <row r="258" spans="1:15" s="83" customFormat="1" ht="19.5" customHeight="1">
      <c r="A258" s="373"/>
      <c r="B258" s="374"/>
      <c r="C258" s="85"/>
      <c r="D258" s="375"/>
      <c r="E258" s="105"/>
      <c r="F258" s="376"/>
      <c r="G258" s="755" t="s">
        <v>177</v>
      </c>
      <c r="H258" s="377"/>
      <c r="I258" s="756" t="s">
        <v>390</v>
      </c>
      <c r="J258" s="378"/>
      <c r="K258" s="756" t="s">
        <v>391</v>
      </c>
      <c r="L258" s="378"/>
      <c r="M258" s="757" t="s">
        <v>176</v>
      </c>
      <c r="N258" s="479"/>
      <c r="O258" s="479"/>
    </row>
    <row r="259" spans="1:13" ht="3.75" customHeight="1">
      <c r="A259" s="270"/>
      <c r="B259" s="335"/>
      <c r="C259" s="231"/>
      <c r="D259" s="264"/>
      <c r="E259" s="218"/>
      <c r="F259" s="260"/>
      <c r="G259" s="149"/>
      <c r="H259" s="149"/>
      <c r="I259" s="387"/>
      <c r="J259" s="387"/>
      <c r="K259" s="387"/>
      <c r="L259" s="387"/>
      <c r="M259" s="149"/>
    </row>
    <row r="260" spans="1:13" ht="18" customHeight="1">
      <c r="A260" s="270"/>
      <c r="B260" s="335"/>
      <c r="C260" s="750" t="s">
        <v>392</v>
      </c>
      <c r="D260" s="264"/>
      <c r="E260" s="218"/>
      <c r="F260" s="260"/>
      <c r="G260" s="332"/>
      <c r="H260" s="332"/>
      <c r="I260" s="332"/>
      <c r="J260" s="332"/>
      <c r="K260" s="332"/>
      <c r="L260" s="332"/>
      <c r="M260" s="332"/>
    </row>
    <row r="261" spans="1:13" ht="1.5" customHeight="1">
      <c r="A261" s="270"/>
      <c r="B261" s="335"/>
      <c r="C261" s="218"/>
      <c r="D261" s="264"/>
      <c r="E261" s="218"/>
      <c r="F261" s="260"/>
      <c r="G261" s="324"/>
      <c r="H261" s="324"/>
      <c r="I261" s="324"/>
      <c r="J261" s="324"/>
      <c r="K261" s="324"/>
      <c r="L261" s="324"/>
      <c r="M261" s="324"/>
    </row>
    <row r="262" spans="1:13" ht="18" customHeight="1">
      <c r="A262" s="270"/>
      <c r="B262" s="335"/>
      <c r="C262" s="763" t="s">
        <v>696</v>
      </c>
      <c r="D262" s="264"/>
      <c r="E262" s="218"/>
      <c r="F262" s="260"/>
      <c r="G262" s="126">
        <v>570911611</v>
      </c>
      <c r="H262" s="126"/>
      <c r="I262" s="126">
        <v>0</v>
      </c>
      <c r="J262" s="78"/>
      <c r="K262" s="126">
        <f>G262</f>
        <v>570911611</v>
      </c>
      <c r="L262" s="381"/>
      <c r="M262" s="148">
        <f>G262+I262-K262</f>
        <v>0</v>
      </c>
    </row>
    <row r="263" spans="1:13" ht="18" customHeight="1" thickBot="1">
      <c r="A263" s="270"/>
      <c r="B263" s="335"/>
      <c r="C263" s="698" t="s">
        <v>452</v>
      </c>
      <c r="D263" s="264"/>
      <c r="E263" s="218"/>
      <c r="F263" s="260"/>
      <c r="G263" s="333">
        <f>SUM(G261:G262)</f>
        <v>570911611</v>
      </c>
      <c r="H263" s="324"/>
      <c r="I263" s="333">
        <f>SUM(I261:I262)</f>
        <v>0</v>
      </c>
      <c r="J263" s="324"/>
      <c r="K263" s="333">
        <f>SUM(K261:K262)</f>
        <v>570911611</v>
      </c>
      <c r="L263" s="324"/>
      <c r="M263" s="333">
        <f>SUM(M261:M262)</f>
        <v>0</v>
      </c>
    </row>
    <row r="264" spans="1:13" ht="3" customHeight="1" thickTop="1">
      <c r="A264" s="270"/>
      <c r="B264" s="335"/>
      <c r="C264" s="218"/>
      <c r="D264" s="264"/>
      <c r="E264" s="218"/>
      <c r="F264" s="260"/>
      <c r="G264" s="324"/>
      <c r="H264" s="324"/>
      <c r="I264" s="324"/>
      <c r="J264" s="324"/>
      <c r="K264" s="324"/>
      <c r="L264" s="324"/>
      <c r="M264" s="324"/>
    </row>
    <row r="265" spans="1:13" ht="19.5" customHeight="1">
      <c r="A265" s="270"/>
      <c r="B265" s="335"/>
      <c r="C265" s="698" t="s">
        <v>397</v>
      </c>
      <c r="D265" s="264"/>
      <c r="E265" s="218"/>
      <c r="F265" s="260"/>
      <c r="G265" s="332"/>
      <c r="H265" s="332"/>
      <c r="I265" s="332"/>
      <c r="J265" s="332"/>
      <c r="K265" s="332"/>
      <c r="L265" s="332"/>
      <c r="M265" s="332"/>
    </row>
    <row r="266" spans="1:13" ht="6.75" customHeight="1">
      <c r="A266" s="270"/>
      <c r="B266" s="335"/>
      <c r="C266" s="218"/>
      <c r="D266" s="264"/>
      <c r="E266" s="218"/>
      <c r="F266" s="260"/>
      <c r="G266" s="324"/>
      <c r="H266" s="324"/>
      <c r="I266" s="324"/>
      <c r="J266" s="324"/>
      <c r="K266" s="324"/>
      <c r="L266" s="324"/>
      <c r="M266" s="324"/>
    </row>
    <row r="267" spans="1:13" ht="18" customHeight="1">
      <c r="A267" s="270"/>
      <c r="B267" s="335"/>
      <c r="C267" s="763" t="s">
        <v>696</v>
      </c>
      <c r="D267" s="264"/>
      <c r="E267" s="218"/>
      <c r="F267" s="260"/>
      <c r="G267" s="126">
        <v>249773832</v>
      </c>
      <c r="H267" s="126"/>
      <c r="I267" s="126">
        <v>35681976</v>
      </c>
      <c r="J267" s="78"/>
      <c r="K267" s="126">
        <v>285455808</v>
      </c>
      <c r="L267" s="381"/>
      <c r="M267" s="148">
        <f>G267+I267-K267</f>
        <v>0</v>
      </c>
    </row>
    <row r="268" spans="1:13" ht="18" customHeight="1" thickBot="1">
      <c r="A268" s="270"/>
      <c r="B268" s="335"/>
      <c r="C268" s="698" t="s">
        <v>452</v>
      </c>
      <c r="D268" s="264"/>
      <c r="E268" s="218"/>
      <c r="F268" s="260"/>
      <c r="G268" s="333">
        <f>SUM(G266:G267)</f>
        <v>249773832</v>
      </c>
      <c r="H268" s="324"/>
      <c r="I268" s="333">
        <f>SUM(I266:I267)</f>
        <v>35681976</v>
      </c>
      <c r="J268" s="324"/>
      <c r="K268" s="333">
        <f>SUM(K266:K267)</f>
        <v>285455808</v>
      </c>
      <c r="L268" s="324"/>
      <c r="M268" s="333">
        <f>SUM(M266:M267)</f>
        <v>0</v>
      </c>
    </row>
    <row r="269" spans="1:13" ht="11.25" customHeight="1" thickTop="1">
      <c r="A269" s="270"/>
      <c r="B269" s="335"/>
      <c r="C269" s="218"/>
      <c r="D269" s="264"/>
      <c r="E269" s="218"/>
      <c r="F269" s="260"/>
      <c r="G269" s="324"/>
      <c r="H269" s="324"/>
      <c r="I269" s="324"/>
      <c r="J269" s="324"/>
      <c r="K269" s="324"/>
      <c r="L269" s="324"/>
      <c r="M269" s="324">
        <f>G269+I269-K269</f>
        <v>0</v>
      </c>
    </row>
    <row r="270" spans="1:13" ht="16.5" customHeight="1">
      <c r="A270" s="270"/>
      <c r="B270" s="335"/>
      <c r="C270" s="698" t="s">
        <v>398</v>
      </c>
      <c r="D270" s="264"/>
      <c r="E270" s="218"/>
      <c r="F270" s="260"/>
      <c r="G270" s="332"/>
      <c r="H270" s="332"/>
      <c r="I270" s="332"/>
      <c r="J270" s="332"/>
      <c r="K270" s="332"/>
      <c r="L270" s="332"/>
      <c r="M270" s="332"/>
    </row>
    <row r="271" spans="1:13" ht="18" customHeight="1">
      <c r="A271" s="270"/>
      <c r="B271" s="335"/>
      <c r="C271" s="763" t="s">
        <v>696</v>
      </c>
      <c r="D271" s="264"/>
      <c r="E271" s="218"/>
      <c r="F271" s="260"/>
      <c r="G271" s="126">
        <f>+G262-G267</f>
        <v>321137779</v>
      </c>
      <c r="H271" s="126"/>
      <c r="I271" s="126"/>
      <c r="J271" s="78"/>
      <c r="K271" s="126"/>
      <c r="L271" s="381"/>
      <c r="M271" s="148">
        <f>M262-M267</f>
        <v>0</v>
      </c>
    </row>
    <row r="272" spans="1:14" ht="18" customHeight="1" thickBot="1">
      <c r="A272" s="270"/>
      <c r="B272" s="335"/>
      <c r="C272" s="698" t="s">
        <v>452</v>
      </c>
      <c r="D272" s="264"/>
      <c r="E272" s="218"/>
      <c r="F272" s="260"/>
      <c r="G272" s="333">
        <f>SUM(G271:G271)</f>
        <v>321137779</v>
      </c>
      <c r="H272" s="324"/>
      <c r="I272" s="324"/>
      <c r="J272" s="324"/>
      <c r="K272" s="324"/>
      <c r="L272" s="324"/>
      <c r="M272" s="333">
        <f>SUM(M271:M271)</f>
        <v>0</v>
      </c>
      <c r="N272" s="196">
        <f>G272-BCDKT!I54</f>
        <v>0</v>
      </c>
    </row>
    <row r="273" spans="1:13" ht="10.5" customHeight="1" thickTop="1">
      <c r="A273" s="270"/>
      <c r="B273" s="335"/>
      <c r="C273" s="231"/>
      <c r="D273" s="264"/>
      <c r="E273" s="218"/>
      <c r="F273" s="260"/>
      <c r="G273" s="332"/>
      <c r="H273" s="324"/>
      <c r="I273" s="324"/>
      <c r="J273" s="324"/>
      <c r="K273" s="324"/>
      <c r="L273" s="324"/>
      <c r="M273" s="332"/>
    </row>
    <row r="274" spans="1:13" ht="15.75" customHeight="1">
      <c r="A274" s="270"/>
      <c r="B274" s="335"/>
      <c r="C274" s="723" t="s">
        <v>404</v>
      </c>
      <c r="D274" s="264"/>
      <c r="E274" s="218"/>
      <c r="F274" s="260"/>
      <c r="G274" s="349"/>
      <c r="H274" s="349"/>
      <c r="I274" s="349"/>
      <c r="J274" s="349"/>
      <c r="K274" s="349"/>
      <c r="L274" s="349"/>
      <c r="M274" s="349"/>
    </row>
    <row r="275" spans="1:13" ht="3" customHeight="1">
      <c r="A275" s="270"/>
      <c r="B275" s="335"/>
      <c r="C275" s="231"/>
      <c r="D275" s="264"/>
      <c r="E275" s="218"/>
      <c r="F275" s="260"/>
      <c r="G275" s="349"/>
      <c r="H275" s="349"/>
      <c r="I275" s="349"/>
      <c r="J275" s="349"/>
      <c r="K275" s="349"/>
      <c r="L275" s="349"/>
      <c r="M275" s="348"/>
    </row>
    <row r="276" spans="1:15" s="83" customFormat="1" ht="19.5" customHeight="1">
      <c r="A276" s="373"/>
      <c r="B276" s="374"/>
      <c r="C276" s="85"/>
      <c r="D276" s="375"/>
      <c r="E276" s="105"/>
      <c r="F276" s="376"/>
      <c r="G276" s="755" t="s">
        <v>177</v>
      </c>
      <c r="H276" s="377"/>
      <c r="I276" s="756" t="s">
        <v>390</v>
      </c>
      <c r="J276" s="378"/>
      <c r="K276" s="756" t="s">
        <v>391</v>
      </c>
      <c r="L276" s="378"/>
      <c r="M276" s="757" t="s">
        <v>176</v>
      </c>
      <c r="N276" s="479"/>
      <c r="O276" s="479"/>
    </row>
    <row r="277" spans="1:13" ht="3.75" customHeight="1">
      <c r="A277" s="270"/>
      <c r="B277" s="335"/>
      <c r="C277" s="231"/>
      <c r="D277" s="264"/>
      <c r="E277" s="218"/>
      <c r="F277" s="260"/>
      <c r="G277" s="149"/>
      <c r="H277" s="149"/>
      <c r="I277" s="387"/>
      <c r="J277" s="387"/>
      <c r="K277" s="387"/>
      <c r="L277" s="387"/>
      <c r="M277" s="149"/>
    </row>
    <row r="278" spans="1:13" ht="18" customHeight="1">
      <c r="A278" s="270"/>
      <c r="B278" s="335"/>
      <c r="C278" s="750" t="s">
        <v>392</v>
      </c>
      <c r="D278" s="264"/>
      <c r="E278" s="218"/>
      <c r="F278" s="260"/>
      <c r="G278" s="332"/>
      <c r="H278" s="332"/>
      <c r="I278" s="332"/>
      <c r="J278" s="332"/>
      <c r="K278" s="332"/>
      <c r="L278" s="332"/>
      <c r="M278" s="332"/>
    </row>
    <row r="279" spans="1:13" ht="6.75" customHeight="1">
      <c r="A279" s="270"/>
      <c r="B279" s="335"/>
      <c r="C279" s="218"/>
      <c r="D279" s="264"/>
      <c r="E279" s="218"/>
      <c r="F279" s="260"/>
      <c r="G279" s="324"/>
      <c r="H279" s="324"/>
      <c r="I279" s="324"/>
      <c r="J279" s="324"/>
      <c r="K279" s="324"/>
      <c r="L279" s="324"/>
      <c r="M279" s="324"/>
    </row>
    <row r="280" spans="1:13" ht="18" customHeight="1">
      <c r="A280" s="270"/>
      <c r="B280" s="335"/>
      <c r="C280" s="747" t="s">
        <v>405</v>
      </c>
      <c r="D280" s="264"/>
      <c r="E280" s="218"/>
      <c r="F280" s="260"/>
      <c r="G280" s="126">
        <v>385000000</v>
      </c>
      <c r="H280" s="126"/>
      <c r="I280" s="126">
        <v>0</v>
      </c>
      <c r="J280" s="78"/>
      <c r="K280" s="126">
        <v>0</v>
      </c>
      <c r="L280" s="381"/>
      <c r="M280" s="148">
        <f>G280+I280-K280</f>
        <v>385000000</v>
      </c>
    </row>
    <row r="281" spans="1:13" ht="18" customHeight="1">
      <c r="A281" s="270"/>
      <c r="B281" s="335"/>
      <c r="C281" s="747" t="s">
        <v>526</v>
      </c>
      <c r="D281" s="264"/>
      <c r="E281" s="218"/>
      <c r="F281" s="260"/>
      <c r="G281" s="126">
        <v>10000000000</v>
      </c>
      <c r="H281" s="126"/>
      <c r="I281" s="126">
        <v>0</v>
      </c>
      <c r="J281" s="78"/>
      <c r="K281" s="126">
        <v>0</v>
      </c>
      <c r="L281" s="381"/>
      <c r="M281" s="148">
        <f>G281+I281-K281</f>
        <v>10000000000</v>
      </c>
    </row>
    <row r="282" spans="1:14" ht="18" customHeight="1" thickBot="1">
      <c r="A282" s="270"/>
      <c r="B282" s="335"/>
      <c r="C282" s="750" t="s">
        <v>452</v>
      </c>
      <c r="D282" s="264"/>
      <c r="E282" s="218"/>
      <c r="F282" s="260"/>
      <c r="G282" s="333">
        <f>SUM(G279:G281)</f>
        <v>10385000000</v>
      </c>
      <c r="H282" s="324"/>
      <c r="I282" s="333">
        <f>SUM(I279:I281)</f>
        <v>0</v>
      </c>
      <c r="J282" s="324"/>
      <c r="K282" s="333">
        <f>SUM(K279:K281)</f>
        <v>0</v>
      </c>
      <c r="L282" s="324"/>
      <c r="M282" s="333">
        <f>SUM(M279:M281)</f>
        <v>10385000000</v>
      </c>
      <c r="N282" s="196">
        <f>M282-BCDKT!H58</f>
        <v>0</v>
      </c>
    </row>
    <row r="283" spans="1:13" ht="10.5" customHeight="1" thickTop="1">
      <c r="A283" s="270"/>
      <c r="B283" s="335"/>
      <c r="C283" s="218"/>
      <c r="D283" s="264"/>
      <c r="E283" s="218"/>
      <c r="F283" s="260"/>
      <c r="G283" s="324"/>
      <c r="H283" s="324"/>
      <c r="I283" s="324"/>
      <c r="J283" s="324"/>
      <c r="K283" s="324"/>
      <c r="L283" s="324"/>
      <c r="M283" s="324"/>
    </row>
    <row r="284" spans="1:13" ht="19.5" customHeight="1">
      <c r="A284" s="270"/>
      <c r="B284" s="335"/>
      <c r="C284" s="750" t="s">
        <v>397</v>
      </c>
      <c r="D284" s="264"/>
      <c r="E284" s="218"/>
      <c r="F284" s="260"/>
      <c r="G284" s="332"/>
      <c r="H284" s="332"/>
      <c r="I284" s="332"/>
      <c r="J284" s="332"/>
      <c r="K284" s="332"/>
      <c r="L284" s="332"/>
      <c r="M284" s="332"/>
    </row>
    <row r="285" spans="1:13" ht="7.5" customHeight="1">
      <c r="A285" s="270"/>
      <c r="B285" s="335"/>
      <c r="C285" s="218"/>
      <c r="D285" s="264"/>
      <c r="E285" s="218"/>
      <c r="F285" s="260"/>
      <c r="G285" s="324"/>
      <c r="H285" s="324"/>
      <c r="I285" s="324"/>
      <c r="J285" s="324"/>
      <c r="K285" s="324"/>
      <c r="L285" s="324"/>
      <c r="M285" s="324"/>
    </row>
    <row r="286" spans="1:13" ht="18" customHeight="1">
      <c r="A286" s="270"/>
      <c r="B286" s="335"/>
      <c r="C286" s="747" t="s">
        <v>405</v>
      </c>
      <c r="D286" s="264"/>
      <c r="E286" s="218"/>
      <c r="F286" s="260"/>
      <c r="G286" s="126">
        <v>246666669</v>
      </c>
      <c r="H286" s="126"/>
      <c r="I286" s="126">
        <f>6666672+121666661</f>
        <v>128333333</v>
      </c>
      <c r="J286" s="78"/>
      <c r="K286" s="126">
        <v>0</v>
      </c>
      <c r="L286" s="381"/>
      <c r="M286" s="148">
        <f>G286+I286-K286</f>
        <v>375000002</v>
      </c>
    </row>
    <row r="287" spans="1:13" ht="18" customHeight="1">
      <c r="A287" s="270"/>
      <c r="B287" s="335"/>
      <c r="C287" s="747" t="s">
        <v>526</v>
      </c>
      <c r="D287" s="264"/>
      <c r="E287" s="218"/>
      <c r="F287" s="260"/>
      <c r="G287" s="126">
        <v>2083333340</v>
      </c>
      <c r="H287" s="126"/>
      <c r="I287" s="126">
        <v>500000002</v>
      </c>
      <c r="J287" s="78"/>
      <c r="K287" s="126">
        <v>0</v>
      </c>
      <c r="L287" s="381"/>
      <c r="M287" s="148">
        <f>G287+I287-K287</f>
        <v>2583333342</v>
      </c>
    </row>
    <row r="288" spans="1:14" ht="18" customHeight="1" thickBot="1">
      <c r="A288" s="270"/>
      <c r="B288" s="335"/>
      <c r="C288" s="750" t="s">
        <v>452</v>
      </c>
      <c r="D288" s="264"/>
      <c r="E288" s="218"/>
      <c r="F288" s="260"/>
      <c r="G288" s="333">
        <f>SUM(G285:G287)</f>
        <v>2330000009</v>
      </c>
      <c r="H288" s="324"/>
      <c r="I288" s="333">
        <f>SUM(I285:I287)</f>
        <v>628333335</v>
      </c>
      <c r="J288" s="324"/>
      <c r="K288" s="333">
        <f>SUM(K285:K287)</f>
        <v>0</v>
      </c>
      <c r="L288" s="324"/>
      <c r="M288" s="333">
        <f>SUM(M285:M287)</f>
        <v>2958333344</v>
      </c>
      <c r="N288" s="196">
        <f>M288+BCDKT!H59</f>
        <v>0</v>
      </c>
    </row>
    <row r="289" spans="1:13" ht="8.25" customHeight="1" thickTop="1">
      <c r="A289" s="270"/>
      <c r="B289" s="335"/>
      <c r="C289" s="218"/>
      <c r="D289" s="264"/>
      <c r="E289" s="218"/>
      <c r="F289" s="260"/>
      <c r="G289" s="324"/>
      <c r="H289" s="324"/>
      <c r="I289" s="324"/>
      <c r="J289" s="324"/>
      <c r="K289" s="324"/>
      <c r="L289" s="324"/>
      <c r="M289" s="324">
        <f>G289+I289-K289</f>
        <v>0</v>
      </c>
    </row>
    <row r="290" spans="1:13" ht="19.5" customHeight="1">
      <c r="A290" s="270"/>
      <c r="B290" s="335"/>
      <c r="C290" s="750" t="s">
        <v>398</v>
      </c>
      <c r="D290" s="264"/>
      <c r="E290" s="218"/>
      <c r="F290" s="260"/>
      <c r="G290" s="755" t="s">
        <v>177</v>
      </c>
      <c r="H290" s="332"/>
      <c r="I290" s="332"/>
      <c r="J290" s="332"/>
      <c r="K290" s="332"/>
      <c r="L290" s="332"/>
      <c r="M290" s="755" t="s">
        <v>177</v>
      </c>
    </row>
    <row r="291" spans="1:13" ht="18" customHeight="1">
      <c r="A291" s="270"/>
      <c r="B291" s="335"/>
      <c r="C291" s="747" t="s">
        <v>405</v>
      </c>
      <c r="D291" s="264"/>
      <c r="E291" s="218"/>
      <c r="F291" s="260"/>
      <c r="G291" s="126">
        <f>+G280-G286</f>
        <v>138333331</v>
      </c>
      <c r="H291" s="126"/>
      <c r="I291" s="126"/>
      <c r="J291" s="78"/>
      <c r="K291" s="126"/>
      <c r="L291" s="381"/>
      <c r="M291" s="148">
        <f>M280-M286</f>
        <v>9999998</v>
      </c>
    </row>
    <row r="292" spans="1:13" ht="18" customHeight="1">
      <c r="A292" s="270"/>
      <c r="B292" s="335"/>
      <c r="C292" s="747" t="s">
        <v>526</v>
      </c>
      <c r="D292" s="264"/>
      <c r="E292" s="218"/>
      <c r="F292" s="260"/>
      <c r="G292" s="126">
        <f>+G281-G287</f>
        <v>7916666660</v>
      </c>
      <c r="H292" s="126"/>
      <c r="I292" s="126"/>
      <c r="J292" s="78"/>
      <c r="K292" s="126"/>
      <c r="L292" s="381"/>
      <c r="M292" s="148">
        <f>+M281-M287</f>
        <v>7416666658</v>
      </c>
    </row>
    <row r="293" spans="1:14" ht="18" customHeight="1" thickBot="1">
      <c r="A293" s="270"/>
      <c r="B293" s="335"/>
      <c r="C293" s="750" t="s">
        <v>452</v>
      </c>
      <c r="D293" s="264"/>
      <c r="E293" s="218"/>
      <c r="F293" s="260"/>
      <c r="G293" s="333">
        <f>SUM(G291:G292)</f>
        <v>8054999991</v>
      </c>
      <c r="H293" s="324"/>
      <c r="I293" s="324"/>
      <c r="J293" s="324"/>
      <c r="K293" s="324"/>
      <c r="L293" s="324"/>
      <c r="M293" s="333">
        <f>SUM(M291:M292)</f>
        <v>7426666656</v>
      </c>
      <c r="N293" s="196">
        <f>G293-BCDKT!I57</f>
        <v>0</v>
      </c>
    </row>
    <row r="294" spans="1:13" ht="10.5" customHeight="1" thickTop="1">
      <c r="A294" s="270"/>
      <c r="B294" s="335"/>
      <c r="C294" s="231"/>
      <c r="D294" s="264"/>
      <c r="E294" s="218"/>
      <c r="F294" s="260"/>
      <c r="G294" s="332"/>
      <c r="H294" s="324"/>
      <c r="I294" s="324"/>
      <c r="J294" s="324"/>
      <c r="K294" s="324"/>
      <c r="L294" s="324"/>
      <c r="M294" s="332"/>
    </row>
    <row r="295" spans="1:13" ht="21" customHeight="1">
      <c r="A295" s="270"/>
      <c r="B295" s="764" t="s">
        <v>157</v>
      </c>
      <c r="C295" s="723" t="s">
        <v>60</v>
      </c>
      <c r="D295" s="218"/>
      <c r="E295" s="218"/>
      <c r="F295" s="260"/>
      <c r="G295" s="340"/>
      <c r="H295" s="340"/>
      <c r="I295" s="387"/>
      <c r="J295" s="387"/>
      <c r="K295" s="349"/>
      <c r="L295" s="349"/>
      <c r="M295" s="387"/>
    </row>
    <row r="296" spans="1:15" s="299" customFormat="1" ht="6.75" customHeight="1">
      <c r="A296" s="327"/>
      <c r="B296" s="328"/>
      <c r="C296" s="649"/>
      <c r="D296" s="733"/>
      <c r="E296" s="733"/>
      <c r="F296" s="733"/>
      <c r="G296" s="733"/>
      <c r="H296" s="733"/>
      <c r="I296" s="733"/>
      <c r="J296" s="733"/>
      <c r="K296" s="733"/>
      <c r="L296" s="733"/>
      <c r="M296" s="733"/>
      <c r="N296" s="411"/>
      <c r="O296" s="411"/>
    </row>
    <row r="297" spans="1:13" ht="15.75" customHeight="1">
      <c r="A297" s="270"/>
      <c r="B297" s="190"/>
      <c r="C297" s="231"/>
      <c r="D297" s="231"/>
      <c r="E297" s="231"/>
      <c r="F297" s="231"/>
      <c r="G297" s="398"/>
      <c r="H297" s="398"/>
      <c r="J297" s="398"/>
      <c r="K297" s="746" t="s">
        <v>176</v>
      </c>
      <c r="L297" s="323"/>
      <c r="M297" s="746" t="s">
        <v>178</v>
      </c>
    </row>
    <row r="298" spans="1:13" ht="15.75" customHeight="1">
      <c r="A298" s="270"/>
      <c r="B298" s="190"/>
      <c r="C298" s="699" t="s">
        <v>406</v>
      </c>
      <c r="D298" s="231"/>
      <c r="E298" s="231"/>
      <c r="F298" s="231"/>
      <c r="G298" s="398"/>
      <c r="H298" s="398"/>
      <c r="I298" s="908" t="s">
        <v>669</v>
      </c>
      <c r="J298" s="909"/>
      <c r="K298" s="399">
        <v>113810938862</v>
      </c>
      <c r="L298" s="400"/>
      <c r="M298" s="399">
        <v>57865251186</v>
      </c>
    </row>
    <row r="299" spans="1:15" s="299" customFormat="1" ht="15.75" customHeight="1">
      <c r="A299" s="327"/>
      <c r="B299" s="328"/>
      <c r="C299" s="715" t="s">
        <v>407</v>
      </c>
      <c r="D299" s="262"/>
      <c r="E299" s="262"/>
      <c r="F299" s="425"/>
      <c r="G299" s="402"/>
      <c r="H299" s="402"/>
      <c r="J299" s="469"/>
      <c r="K299" s="353">
        <v>79435305868</v>
      </c>
      <c r="L299" s="402"/>
      <c r="M299" s="353">
        <v>10299324396</v>
      </c>
      <c r="N299" s="411"/>
      <c r="O299" s="411"/>
    </row>
    <row r="300" spans="1:15" ht="19.5" customHeight="1" thickBot="1">
      <c r="A300" s="270"/>
      <c r="B300" s="190"/>
      <c r="C300" s="698" t="s">
        <v>452</v>
      </c>
      <c r="D300" s="218"/>
      <c r="E300" s="218"/>
      <c r="F300" s="260"/>
      <c r="G300" s="344"/>
      <c r="H300" s="344"/>
      <c r="J300" s="215"/>
      <c r="K300" s="391">
        <f>SUM(K298:K299)</f>
        <v>193246244730</v>
      </c>
      <c r="L300" s="404"/>
      <c r="M300" s="391">
        <f>SUM(M298:M299)</f>
        <v>68164575582</v>
      </c>
      <c r="N300" s="196">
        <f>M300-BCDKT!I60</f>
        <v>0</v>
      </c>
      <c r="O300" s="196">
        <f>K300-BCDKT!H60</f>
        <v>0</v>
      </c>
    </row>
    <row r="301" spans="1:13" ht="27" customHeight="1" thickTop="1">
      <c r="A301" s="270"/>
      <c r="B301" s="190"/>
      <c r="C301" s="904" t="s">
        <v>408</v>
      </c>
      <c r="D301" s="905"/>
      <c r="E301" s="905"/>
      <c r="F301" s="905"/>
      <c r="G301" s="905"/>
      <c r="H301" s="905"/>
      <c r="I301" s="905"/>
      <c r="J301" s="905"/>
      <c r="K301" s="905"/>
      <c r="L301" s="905"/>
      <c r="M301" s="905"/>
    </row>
    <row r="302" spans="1:13" ht="21.75" customHeight="1">
      <c r="A302" s="270"/>
      <c r="B302" s="190"/>
      <c r="C302" s="904" t="s">
        <v>409</v>
      </c>
      <c r="D302" s="905"/>
      <c r="E302" s="905"/>
      <c r="F302" s="905"/>
      <c r="G302" s="905"/>
      <c r="H302" s="905"/>
      <c r="I302" s="905"/>
      <c r="J302" s="905"/>
      <c r="K302" s="905"/>
      <c r="L302" s="905"/>
      <c r="M302" s="905"/>
    </row>
    <row r="303" spans="1:13" ht="18" customHeight="1">
      <c r="A303" s="270"/>
      <c r="B303" s="190"/>
      <c r="C303" s="512"/>
      <c r="D303" s="699" t="s">
        <v>410</v>
      </c>
      <c r="E303" s="512"/>
      <c r="F303" s="512"/>
      <c r="G303" s="512"/>
      <c r="H303" s="512"/>
      <c r="I303" s="512"/>
      <c r="J303" s="512"/>
      <c r="K303" s="512"/>
      <c r="L303" s="512"/>
      <c r="M303" s="512"/>
    </row>
    <row r="304" spans="1:13" ht="18" customHeight="1">
      <c r="A304" s="270"/>
      <c r="B304" s="190"/>
      <c r="C304" s="512"/>
      <c r="D304" s="699" t="s">
        <v>411</v>
      </c>
      <c r="E304" s="512"/>
      <c r="F304" s="512"/>
      <c r="G304" s="512"/>
      <c r="H304" s="512"/>
      <c r="I304" s="512"/>
      <c r="J304" s="512"/>
      <c r="K304" s="512"/>
      <c r="L304" s="512"/>
      <c r="M304" s="512"/>
    </row>
    <row r="305" spans="1:13" ht="18" customHeight="1">
      <c r="A305" s="270"/>
      <c r="B305" s="190"/>
      <c r="C305" s="512"/>
      <c r="D305" s="699" t="s">
        <v>412</v>
      </c>
      <c r="E305" s="512"/>
      <c r="F305" s="512"/>
      <c r="G305" s="512"/>
      <c r="H305" s="512"/>
      <c r="I305" s="512"/>
      <c r="J305" s="512"/>
      <c r="K305" s="512"/>
      <c r="L305" s="512"/>
      <c r="M305" s="512"/>
    </row>
    <row r="306" spans="1:13" ht="18" customHeight="1">
      <c r="A306" s="270"/>
      <c r="B306" s="190"/>
      <c r="C306" s="512"/>
      <c r="D306" s="699" t="s">
        <v>413</v>
      </c>
      <c r="E306" s="512"/>
      <c r="F306" s="512"/>
      <c r="G306" s="512"/>
      <c r="H306" s="512"/>
      <c r="I306" s="512"/>
      <c r="J306" s="512"/>
      <c r="K306" s="512"/>
      <c r="L306" s="512"/>
      <c r="M306" s="512"/>
    </row>
    <row r="307" spans="1:13" ht="18" customHeight="1">
      <c r="A307" s="270"/>
      <c r="B307" s="190"/>
      <c r="C307" s="512"/>
      <c r="D307" s="699" t="s">
        <v>414</v>
      </c>
      <c r="E307" s="512"/>
      <c r="F307" s="512"/>
      <c r="G307" s="512"/>
      <c r="H307" s="512"/>
      <c r="I307" s="512"/>
      <c r="J307" s="512"/>
      <c r="K307" s="512"/>
      <c r="L307" s="512"/>
      <c r="M307" s="512"/>
    </row>
    <row r="308" spans="1:13" ht="3.75" customHeight="1">
      <c r="A308" s="270"/>
      <c r="B308" s="190"/>
      <c r="C308" s="512"/>
      <c r="D308" s="218"/>
      <c r="E308" s="512"/>
      <c r="F308" s="512"/>
      <c r="G308" s="512"/>
      <c r="H308" s="512"/>
      <c r="I308" s="512"/>
      <c r="J308" s="512"/>
      <c r="K308" s="512"/>
      <c r="L308" s="512"/>
      <c r="M308" s="512"/>
    </row>
    <row r="309" spans="1:13" ht="24" customHeight="1">
      <c r="A309" s="270"/>
      <c r="B309" s="764" t="s">
        <v>159</v>
      </c>
      <c r="C309" s="723" t="s">
        <v>66</v>
      </c>
      <c r="D309" s="218"/>
      <c r="E309" s="218"/>
      <c r="F309" s="260"/>
      <c r="G309" s="340"/>
      <c r="H309" s="340"/>
      <c r="I309" s="387"/>
      <c r="J309" s="387"/>
      <c r="K309" s="349"/>
      <c r="L309" s="349"/>
      <c r="M309" s="387"/>
    </row>
    <row r="310" spans="1:15" s="299" customFormat="1" ht="6.75" customHeight="1">
      <c r="A310" s="327"/>
      <c r="B310" s="328"/>
      <c r="C310" s="649"/>
      <c r="D310" s="733"/>
      <c r="E310" s="733"/>
      <c r="F310" s="733"/>
      <c r="G310" s="733"/>
      <c r="H310" s="733"/>
      <c r="I310" s="733"/>
      <c r="J310" s="733"/>
      <c r="K310" s="733"/>
      <c r="L310" s="733"/>
      <c r="M310" s="733"/>
      <c r="N310" s="411"/>
      <c r="O310" s="411"/>
    </row>
    <row r="311" spans="1:13" ht="48.75" customHeight="1">
      <c r="A311" s="270"/>
      <c r="B311" s="190"/>
      <c r="C311" s="650" t="s">
        <v>415</v>
      </c>
      <c r="D311" s="863"/>
      <c r="E311" s="863"/>
      <c r="F311" s="863"/>
      <c r="G311" s="863"/>
      <c r="H311" s="863"/>
      <c r="I311" s="863"/>
      <c r="J311" s="863"/>
      <c r="K311" s="863"/>
      <c r="L311" s="863"/>
      <c r="M311" s="863"/>
    </row>
    <row r="312" spans="1:13" ht="6.75" customHeight="1">
      <c r="A312" s="270"/>
      <c r="B312" s="190"/>
      <c r="C312" s="231"/>
      <c r="D312" s="231"/>
      <c r="E312" s="231"/>
      <c r="F312" s="231"/>
      <c r="G312" s="397"/>
      <c r="H312" s="397"/>
      <c r="I312" s="396"/>
      <c r="J312" s="396"/>
      <c r="K312" s="398"/>
      <c r="L312" s="398"/>
      <c r="M312" s="398"/>
    </row>
    <row r="313" spans="1:13" ht="20.25" customHeight="1">
      <c r="A313" s="270"/>
      <c r="B313" s="764" t="s">
        <v>160</v>
      </c>
      <c r="C313" s="723" t="s">
        <v>76</v>
      </c>
      <c r="D313" s="218"/>
      <c r="E313" s="218"/>
      <c r="F313" s="260"/>
      <c r="G313" s="340"/>
      <c r="H313" s="340"/>
      <c r="I313" s="387"/>
      <c r="J313" s="387"/>
      <c r="K313" s="349"/>
      <c r="L313" s="349"/>
      <c r="M313" s="387"/>
    </row>
    <row r="314" spans="1:13" ht="2.25" customHeight="1">
      <c r="A314" s="270"/>
      <c r="B314" s="190"/>
      <c r="C314" s="231"/>
      <c r="D314" s="231"/>
      <c r="E314" s="231"/>
      <c r="F314" s="231"/>
      <c r="G314" s="397"/>
      <c r="H314" s="397"/>
      <c r="I314" s="396"/>
      <c r="J314" s="396"/>
      <c r="K314" s="398"/>
      <c r="L314" s="398"/>
      <c r="M314" s="398"/>
    </row>
    <row r="315" spans="1:13" ht="15.75" customHeight="1">
      <c r="A315" s="270"/>
      <c r="B315" s="190"/>
      <c r="C315" s="231"/>
      <c r="D315" s="231"/>
      <c r="E315" s="231"/>
      <c r="F315" s="231"/>
      <c r="G315" s="398"/>
      <c r="H315" s="398"/>
      <c r="J315" s="398"/>
      <c r="K315" s="746" t="s">
        <v>176</v>
      </c>
      <c r="L315" s="323"/>
      <c r="M315" s="746" t="s">
        <v>178</v>
      </c>
    </row>
    <row r="316" spans="1:15" s="466" customFormat="1" ht="18" customHeight="1">
      <c r="A316" s="465"/>
      <c r="B316" s="413"/>
      <c r="C316" s="765" t="s">
        <v>416</v>
      </c>
      <c r="D316" s="329"/>
      <c r="E316" s="329"/>
      <c r="F316" s="330"/>
      <c r="G316" s="467"/>
      <c r="H316" s="467"/>
      <c r="I316" s="766" t="s">
        <v>684</v>
      </c>
      <c r="J316" s="468"/>
      <c r="K316" s="516">
        <f>SUM(K317:K322)</f>
        <v>169432555079</v>
      </c>
      <c r="L316" s="467"/>
      <c r="M316" s="516">
        <f>SUM(M317:M322)</f>
        <v>83718718822</v>
      </c>
      <c r="N316" s="464"/>
      <c r="O316" s="464"/>
    </row>
    <row r="317" spans="1:15" s="466" customFormat="1" ht="18" customHeight="1">
      <c r="A317" s="465"/>
      <c r="B317" s="413"/>
      <c r="D317" s="767" t="s">
        <v>417</v>
      </c>
      <c r="F317" s="330"/>
      <c r="G317" s="467"/>
      <c r="H317" s="467"/>
      <c r="J317" s="529"/>
      <c r="K317" s="463">
        <f>47202008090</f>
        <v>47202008090</v>
      </c>
      <c r="L317" s="467"/>
      <c r="M317" s="463">
        <v>22239622436</v>
      </c>
      <c r="N317" s="464"/>
      <c r="O317" s="464"/>
    </row>
    <row r="318" spans="1:15" s="466" customFormat="1" ht="18" customHeight="1">
      <c r="A318" s="465"/>
      <c r="B318" s="413"/>
      <c r="D318" s="767" t="s">
        <v>418</v>
      </c>
      <c r="F318" s="330"/>
      <c r="G318" s="467"/>
      <c r="H318" s="467"/>
      <c r="J318" s="529"/>
      <c r="K318" s="463">
        <f>59593045639+5339479200+4022367030+5890345000+22654018250</f>
        <v>97499255119</v>
      </c>
      <c r="L318" s="467"/>
      <c r="M318" s="463">
        <v>0</v>
      </c>
      <c r="N318" s="464"/>
      <c r="O318" s="464"/>
    </row>
    <row r="319" spans="1:15" s="466" customFormat="1" ht="18" customHeight="1">
      <c r="A319" s="465"/>
      <c r="B319" s="413"/>
      <c r="D319" s="767" t="s">
        <v>419</v>
      </c>
      <c r="F319" s="330"/>
      <c r="G319" s="467"/>
      <c r="H319" s="467"/>
      <c r="J319" s="529"/>
      <c r="K319" s="463">
        <v>0</v>
      </c>
      <c r="L319" s="467"/>
      <c r="M319" s="463">
        <v>13564108621</v>
      </c>
      <c r="N319" s="464"/>
      <c r="O319" s="464"/>
    </row>
    <row r="320" spans="1:15" s="466" customFormat="1" ht="18" customHeight="1">
      <c r="A320" s="465"/>
      <c r="B320" s="413"/>
      <c r="D320" s="767" t="s">
        <v>420</v>
      </c>
      <c r="F320" s="330"/>
      <c r="G320" s="467"/>
      <c r="H320" s="467"/>
      <c r="J320" s="529"/>
      <c r="K320" s="463">
        <v>24731291870</v>
      </c>
      <c r="L320" s="467"/>
      <c r="M320" s="463">
        <v>22430469950</v>
      </c>
      <c r="N320" s="464"/>
      <c r="O320" s="464"/>
    </row>
    <row r="321" spans="1:15" s="466" customFormat="1" ht="18" customHeight="1">
      <c r="A321" s="465"/>
      <c r="B321" s="413"/>
      <c r="D321" s="767" t="s">
        <v>421</v>
      </c>
      <c r="F321" s="330"/>
      <c r="G321" s="467"/>
      <c r="H321" s="467"/>
      <c r="J321" s="529"/>
      <c r="K321" s="463">
        <v>0</v>
      </c>
      <c r="L321" s="467"/>
      <c r="M321" s="463">
        <v>19084517815</v>
      </c>
      <c r="N321" s="464"/>
      <c r="O321" s="464"/>
    </row>
    <row r="322" spans="1:15" s="466" customFormat="1" ht="18" customHeight="1">
      <c r="A322" s="465"/>
      <c r="B322" s="413"/>
      <c r="D322" s="767" t="s">
        <v>422</v>
      </c>
      <c r="F322" s="330"/>
      <c r="G322" s="467"/>
      <c r="H322" s="467"/>
      <c r="J322" s="529"/>
      <c r="K322" s="463">
        <v>0</v>
      </c>
      <c r="L322" s="467"/>
      <c r="M322" s="463">
        <v>6400000000</v>
      </c>
      <c r="N322" s="464"/>
      <c r="O322" s="464"/>
    </row>
    <row r="323" spans="1:15" s="466" customFormat="1" ht="18" customHeight="1">
      <c r="A323" s="465"/>
      <c r="B323" s="413"/>
      <c r="C323" s="732" t="s">
        <v>423</v>
      </c>
      <c r="D323" s="329"/>
      <c r="E323" s="329"/>
      <c r="F323" s="330"/>
      <c r="G323" s="467"/>
      <c r="H323" s="467"/>
      <c r="J323" s="522"/>
      <c r="K323" s="516">
        <f>SUM(K324:K325)</f>
        <v>50130000000</v>
      </c>
      <c r="L323" s="467"/>
      <c r="M323" s="516">
        <f>SUM(M324:M324)</f>
        <v>9709957287</v>
      </c>
      <c r="N323" s="464"/>
      <c r="O323" s="464"/>
    </row>
    <row r="324" spans="1:15" s="466" customFormat="1" ht="18" customHeight="1">
      <c r="A324" s="465"/>
      <c r="B324" s="413"/>
      <c r="D324" s="767" t="s">
        <v>463</v>
      </c>
      <c r="F324" s="330"/>
      <c r="G324" s="467"/>
      <c r="H324" s="467"/>
      <c r="J324" s="522"/>
      <c r="K324" s="463">
        <v>8130000000</v>
      </c>
      <c r="L324" s="467"/>
      <c r="M324" s="463">
        <v>9709957287</v>
      </c>
      <c r="N324" s="464"/>
      <c r="O324" s="464"/>
    </row>
    <row r="325" spans="1:15" s="466" customFormat="1" ht="18" customHeight="1">
      <c r="A325" s="465"/>
      <c r="B325" s="413"/>
      <c r="D325" s="767" t="s">
        <v>424</v>
      </c>
      <c r="F325" s="330"/>
      <c r="G325" s="467"/>
      <c r="H325" s="467"/>
      <c r="J325" s="468"/>
      <c r="K325" s="463">
        <v>42000000000</v>
      </c>
      <c r="L325" s="467"/>
      <c r="M325" s="463">
        <v>0</v>
      </c>
      <c r="N325" s="464"/>
      <c r="O325" s="464"/>
    </row>
    <row r="326" spans="1:15" s="466" customFormat="1" ht="18" customHeight="1">
      <c r="A326" s="465"/>
      <c r="B326" s="413"/>
      <c r="C326" s="715" t="s">
        <v>425</v>
      </c>
      <c r="K326" s="533">
        <f>SUM(K327:K328)</f>
        <v>0</v>
      </c>
      <c r="L326" s="412"/>
      <c r="M326" s="533">
        <f>SUM(M327:M328)</f>
        <v>125039259537</v>
      </c>
      <c r="N326" s="464"/>
      <c r="O326" s="464"/>
    </row>
    <row r="327" spans="1:15" s="299" customFormat="1" ht="18" customHeight="1">
      <c r="A327" s="327"/>
      <c r="B327" s="328"/>
      <c r="C327" s="262"/>
      <c r="D327" s="767" t="s">
        <v>426</v>
      </c>
      <c r="E327" s="329"/>
      <c r="F327" s="330"/>
      <c r="G327" s="467"/>
      <c r="H327" s="467"/>
      <c r="I327" s="466"/>
      <c r="J327" s="468"/>
      <c r="K327" s="463">
        <v>0</v>
      </c>
      <c r="L327" s="467"/>
      <c r="M327" s="463">
        <v>124950244375</v>
      </c>
      <c r="N327" s="411"/>
      <c r="O327" s="411"/>
    </row>
    <row r="328" spans="1:15" s="299" customFormat="1" ht="18" customHeight="1">
      <c r="A328" s="327"/>
      <c r="B328" s="328"/>
      <c r="C328" s="262"/>
      <c r="D328" s="767" t="s">
        <v>427</v>
      </c>
      <c r="E328" s="329"/>
      <c r="F328" s="330"/>
      <c r="G328" s="467"/>
      <c r="H328" s="467"/>
      <c r="I328" s="466"/>
      <c r="J328" s="468"/>
      <c r="K328" s="463">
        <v>0</v>
      </c>
      <c r="L328" s="467"/>
      <c r="M328" s="463">
        <v>89015162</v>
      </c>
      <c r="N328" s="411"/>
      <c r="O328" s="411"/>
    </row>
    <row r="329" spans="1:15" s="299" customFormat="1" ht="18" customHeight="1">
      <c r="A329" s="327"/>
      <c r="B329" s="328"/>
      <c r="C329" s="352"/>
      <c r="D329" s="356"/>
      <c r="E329" s="262"/>
      <c r="F329" s="262"/>
      <c r="G329" s="425"/>
      <c r="H329" s="425"/>
      <c r="I329" s="515"/>
      <c r="J329" s="515"/>
      <c r="K329" s="392"/>
      <c r="L329" s="392"/>
      <c r="M329" s="392"/>
      <c r="N329" s="411"/>
      <c r="O329" s="411"/>
    </row>
    <row r="330" spans="1:15" s="299" customFormat="1" ht="18" customHeight="1" thickBot="1">
      <c r="A330" s="327"/>
      <c r="B330" s="328"/>
      <c r="C330" s="768" t="s">
        <v>452</v>
      </c>
      <c r="D330" s="489"/>
      <c r="E330" s="262"/>
      <c r="F330" s="262"/>
      <c r="G330" s="425"/>
      <c r="H330" s="425"/>
      <c r="I330" s="428"/>
      <c r="J330" s="428"/>
      <c r="K330" s="410">
        <f>K323+K316+K326</f>
        <v>219562555079</v>
      </c>
      <c r="L330" s="346"/>
      <c r="M330" s="410">
        <f>M323+M316+M326</f>
        <v>218467935646</v>
      </c>
      <c r="N330" s="411">
        <f>K330-BCDKT!H102</f>
        <v>0</v>
      </c>
      <c r="O330" s="411">
        <f>M330-BCDKT!I102</f>
        <v>0</v>
      </c>
    </row>
    <row r="331" spans="1:15" s="299" customFormat="1" ht="22.5" customHeight="1" thickTop="1">
      <c r="A331" s="327"/>
      <c r="B331" s="734" t="s">
        <v>428</v>
      </c>
      <c r="C331" s="735"/>
      <c r="D331" s="735"/>
      <c r="E331" s="735"/>
      <c r="F331" s="735"/>
      <c r="G331" s="735"/>
      <c r="H331" s="735"/>
      <c r="I331" s="735"/>
      <c r="J331" s="735"/>
      <c r="K331" s="735"/>
      <c r="L331" s="735"/>
      <c r="M331" s="735"/>
      <c r="N331" s="411"/>
      <c r="O331" s="411"/>
    </row>
    <row r="332" spans="1:15" s="299" customFormat="1" ht="1.5" customHeight="1">
      <c r="A332" s="327"/>
      <c r="B332" s="328"/>
      <c r="C332" s="649"/>
      <c r="D332" s="733"/>
      <c r="E332" s="733"/>
      <c r="F332" s="733"/>
      <c r="G332" s="733"/>
      <c r="H332" s="733"/>
      <c r="I332" s="733"/>
      <c r="J332" s="733"/>
      <c r="K332" s="733"/>
      <c r="L332" s="733"/>
      <c r="M332" s="733"/>
      <c r="N332" s="411"/>
      <c r="O332" s="411"/>
    </row>
    <row r="333" spans="1:13" ht="11.25" customHeight="1">
      <c r="A333" s="270"/>
      <c r="B333" s="190"/>
      <c r="C333" s="210"/>
      <c r="D333" s="220"/>
      <c r="E333" s="218"/>
      <c r="F333" s="218"/>
      <c r="G333" s="260"/>
      <c r="H333" s="260"/>
      <c r="I333" s="395"/>
      <c r="J333" s="395"/>
      <c r="K333" s="218"/>
      <c r="L333" s="218"/>
      <c r="M333" s="395"/>
    </row>
    <row r="334" spans="1:13" ht="14.25">
      <c r="A334" s="270"/>
      <c r="B334" s="769" t="s">
        <v>218</v>
      </c>
      <c r="C334" s="727" t="s">
        <v>429</v>
      </c>
      <c r="F334" s="186"/>
      <c r="I334" s="321"/>
      <c r="J334" s="321"/>
      <c r="K334" s="321"/>
      <c r="L334" s="321"/>
      <c r="M334" s="322"/>
    </row>
    <row r="335" spans="1:13" ht="3.75" customHeight="1">
      <c r="A335" s="270"/>
      <c r="B335" s="334"/>
      <c r="C335" s="287"/>
      <c r="F335" s="186"/>
      <c r="I335" s="321"/>
      <c r="J335" s="321"/>
      <c r="K335" s="321"/>
      <c r="L335" s="321"/>
      <c r="M335" s="322"/>
    </row>
    <row r="336" spans="1:13" ht="15" customHeight="1">
      <c r="A336" s="270"/>
      <c r="B336" s="334"/>
      <c r="C336" s="555"/>
      <c r="D336" s="564"/>
      <c r="E336" s="564"/>
      <c r="F336" s="564"/>
      <c r="G336" s="564"/>
      <c r="H336" s="564"/>
      <c r="I336" s="564"/>
      <c r="J336" s="564"/>
      <c r="K336" s="746" t="s">
        <v>176</v>
      </c>
      <c r="L336" s="323"/>
      <c r="M336" s="746" t="s">
        <v>178</v>
      </c>
    </row>
    <row r="337" spans="1:15" ht="18" customHeight="1">
      <c r="A337" s="270"/>
      <c r="B337" s="334"/>
      <c r="C337" s="758" t="s">
        <v>430</v>
      </c>
      <c r="F337" s="186"/>
      <c r="I337" s="321"/>
      <c r="J337" s="321"/>
      <c r="K337" s="476">
        <f>SUM(K338:K348)</f>
        <v>81904186611</v>
      </c>
      <c r="L337" s="321"/>
      <c r="M337" s="477">
        <f>SUM(M338:M348)</f>
        <v>21109030344</v>
      </c>
      <c r="N337" s="196">
        <f>M337-BCDKT!I103</f>
        <v>0</v>
      </c>
      <c r="O337" s="196">
        <f>K337-BCDKT!H103</f>
        <v>0</v>
      </c>
    </row>
    <row r="338" spans="1:13" ht="18" customHeight="1">
      <c r="A338" s="270"/>
      <c r="B338" s="334"/>
      <c r="D338" s="770" t="s">
        <v>431</v>
      </c>
      <c r="E338" s="277"/>
      <c r="F338" s="288"/>
      <c r="G338" s="277"/>
      <c r="H338" s="277"/>
      <c r="I338" s="472"/>
      <c r="J338" s="228"/>
      <c r="K338" s="366">
        <v>2992755080</v>
      </c>
      <c r="L338" s="472"/>
      <c r="M338" s="471">
        <v>0</v>
      </c>
    </row>
    <row r="339" spans="1:13" ht="18" customHeight="1">
      <c r="A339" s="270"/>
      <c r="B339" s="334"/>
      <c r="D339" s="770" t="s">
        <v>432</v>
      </c>
      <c r="E339" s="277"/>
      <c r="F339" s="288"/>
      <c r="G339" s="277"/>
      <c r="H339" s="277"/>
      <c r="I339" s="472"/>
      <c r="J339" s="228"/>
      <c r="K339" s="366">
        <v>1198056227</v>
      </c>
      <c r="L339" s="472"/>
      <c r="M339" s="471">
        <f>K339</f>
        <v>1198056227</v>
      </c>
    </row>
    <row r="340" spans="1:13" ht="18" customHeight="1">
      <c r="A340" s="270"/>
      <c r="B340" s="334"/>
      <c r="D340" s="771" t="s">
        <v>235</v>
      </c>
      <c r="E340" s="277"/>
      <c r="F340" s="288"/>
      <c r="G340" s="277"/>
      <c r="H340" s="277"/>
      <c r="I340" s="472"/>
      <c r="J340" s="228"/>
      <c r="K340" s="366">
        <v>1741080334</v>
      </c>
      <c r="L340" s="472"/>
      <c r="M340" s="471">
        <v>0</v>
      </c>
    </row>
    <row r="341" spans="1:15" ht="18" customHeight="1">
      <c r="A341" s="270"/>
      <c r="B341" s="334"/>
      <c r="D341" s="771" t="s">
        <v>236</v>
      </c>
      <c r="E341" s="277"/>
      <c r="F341" s="288"/>
      <c r="G341" s="277"/>
      <c r="H341" s="277"/>
      <c r="I341" s="472"/>
      <c r="J341" s="228"/>
      <c r="K341" s="366">
        <v>6117954210</v>
      </c>
      <c r="L341" s="472"/>
      <c r="M341" s="471">
        <v>0</v>
      </c>
      <c r="O341" s="225"/>
    </row>
    <row r="342" spans="1:15" ht="18" customHeight="1">
      <c r="A342" s="270"/>
      <c r="B342" s="334"/>
      <c r="D342" s="771" t="s">
        <v>237</v>
      </c>
      <c r="E342" s="277"/>
      <c r="F342" s="288"/>
      <c r="G342" s="277"/>
      <c r="H342" s="277"/>
      <c r="I342" s="472"/>
      <c r="J342" s="228"/>
      <c r="K342" s="366">
        <f>82524469865-51460091568</f>
        <v>31064378297</v>
      </c>
      <c r="L342" s="472"/>
      <c r="M342" s="471">
        <v>0</v>
      </c>
      <c r="O342" s="225"/>
    </row>
    <row r="343" spans="1:15" ht="18" customHeight="1">
      <c r="A343" s="270"/>
      <c r="B343" s="334"/>
      <c r="D343" s="772" t="s">
        <v>433</v>
      </c>
      <c r="E343" s="277"/>
      <c r="F343" s="288"/>
      <c r="G343" s="277"/>
      <c r="H343" s="277"/>
      <c r="I343" s="472"/>
      <c r="J343" s="228"/>
      <c r="K343" s="464">
        <v>12703470213</v>
      </c>
      <c r="L343" s="472"/>
      <c r="M343" s="471">
        <v>0</v>
      </c>
      <c r="O343" s="225"/>
    </row>
    <row r="344" spans="1:15" ht="18" customHeight="1">
      <c r="A344" s="270"/>
      <c r="B344" s="334"/>
      <c r="D344" s="772" t="s">
        <v>434</v>
      </c>
      <c r="E344" s="277"/>
      <c r="F344" s="288"/>
      <c r="G344" s="277"/>
      <c r="H344" s="277"/>
      <c r="I344" s="472"/>
      <c r="J344" s="228"/>
      <c r="K344" s="464">
        <f>8388256694-'AE'!H26</f>
        <v>7388256694</v>
      </c>
      <c r="L344" s="472"/>
      <c r="M344" s="471">
        <v>0</v>
      </c>
      <c r="O344" s="225"/>
    </row>
    <row r="345" spans="1:13" ht="18" customHeight="1">
      <c r="A345" s="270"/>
      <c r="B345" s="334"/>
      <c r="D345" s="772" t="s">
        <v>435</v>
      </c>
      <c r="E345" s="277"/>
      <c r="F345" s="288"/>
      <c r="G345" s="277"/>
      <c r="H345" s="277"/>
      <c r="I345" s="472"/>
      <c r="J345" s="228"/>
      <c r="K345" s="366">
        <v>1689684308</v>
      </c>
      <c r="L345" s="472"/>
      <c r="M345" s="471">
        <v>0</v>
      </c>
    </row>
    <row r="346" spans="1:13" ht="18" customHeight="1">
      <c r="A346" s="270"/>
      <c r="B346" s="334"/>
      <c r="D346" s="771" t="s">
        <v>573</v>
      </c>
      <c r="E346" s="277"/>
      <c r="F346" s="288"/>
      <c r="G346" s="277"/>
      <c r="H346" s="277"/>
      <c r="I346" s="472"/>
      <c r="J346" s="228"/>
      <c r="K346" s="366">
        <v>0</v>
      </c>
      <c r="L346" s="472"/>
      <c r="M346" s="471">
        <v>9033289903</v>
      </c>
    </row>
    <row r="347" spans="1:13" ht="18" customHeight="1">
      <c r="A347" s="270"/>
      <c r="B347" s="334"/>
      <c r="D347" s="771" t="s">
        <v>238</v>
      </c>
      <c r="E347" s="277"/>
      <c r="F347" s="288"/>
      <c r="G347" s="277"/>
      <c r="H347" s="277"/>
      <c r="I347" s="472"/>
      <c r="J347" s="472"/>
      <c r="K347" s="366">
        <v>11543105285</v>
      </c>
      <c r="L347" s="472"/>
      <c r="M347" s="471">
        <v>569203996</v>
      </c>
    </row>
    <row r="348" spans="1:13" ht="18" customHeight="1">
      <c r="A348" s="270"/>
      <c r="B348" s="334"/>
      <c r="D348" s="772" t="s">
        <v>436</v>
      </c>
      <c r="E348" s="277"/>
      <c r="F348" s="288"/>
      <c r="G348" s="277"/>
      <c r="H348" s="277"/>
      <c r="I348" s="472"/>
      <c r="J348" s="472"/>
      <c r="K348" s="366">
        <f>5243078908+21512150189-K343-K344-K339</f>
        <v>5465445963</v>
      </c>
      <c r="L348" s="472"/>
      <c r="M348" s="471">
        <f>21109030344-M346-M347-M339</f>
        <v>10308480218</v>
      </c>
    </row>
    <row r="349" spans="1:15" ht="18" customHeight="1">
      <c r="A349" s="270"/>
      <c r="B349" s="190"/>
      <c r="C349" s="694" t="s">
        <v>78</v>
      </c>
      <c r="D349" s="210"/>
      <c r="E349" s="218"/>
      <c r="F349" s="218"/>
      <c r="G349" s="260"/>
      <c r="H349" s="260"/>
      <c r="I349" s="395"/>
      <c r="J349" s="395"/>
      <c r="K349" s="476">
        <f>SUM(K350)</f>
        <v>21539475</v>
      </c>
      <c r="L349" s="321"/>
      <c r="M349" s="477">
        <f>SUM(M350)</f>
        <v>124338309</v>
      </c>
      <c r="N349" s="196">
        <f>K349-BCDKT!H104</f>
        <v>0</v>
      </c>
      <c r="O349" s="196">
        <f>M349-BCDKT!I104</f>
        <v>0</v>
      </c>
    </row>
    <row r="350" spans="1:13" ht="18" customHeight="1">
      <c r="A350" s="270"/>
      <c r="B350" s="190"/>
      <c r="C350" s="220"/>
      <c r="D350" s="724" t="s">
        <v>453</v>
      </c>
      <c r="E350" s="218"/>
      <c r="F350" s="218"/>
      <c r="G350" s="218"/>
      <c r="H350" s="218"/>
      <c r="I350" s="339"/>
      <c r="J350" s="218"/>
      <c r="K350" s="126">
        <f>1291488+1001223+7505618+5613462+3444780+2682904</f>
        <v>21539475</v>
      </c>
      <c r="L350" s="395"/>
      <c r="M350" s="422">
        <v>124338309</v>
      </c>
    </row>
    <row r="351" spans="1:13" ht="18" customHeight="1" thickBot="1">
      <c r="A351" s="270"/>
      <c r="B351" s="190"/>
      <c r="C351" s="773" t="s">
        <v>452</v>
      </c>
      <c r="D351" s="210"/>
      <c r="E351" s="218"/>
      <c r="F351" s="218"/>
      <c r="G351" s="260"/>
      <c r="H351" s="260"/>
      <c r="I351" s="395"/>
      <c r="J351" s="395"/>
      <c r="K351" s="406">
        <f>K349+K337</f>
        <v>81925726086</v>
      </c>
      <c r="L351" s="215"/>
      <c r="M351" s="406">
        <f>M349+M337</f>
        <v>21233368653</v>
      </c>
    </row>
    <row r="352" spans="1:13" ht="6.75" customHeight="1" thickTop="1">
      <c r="A352" s="295"/>
      <c r="B352" s="189"/>
      <c r="C352" s="85"/>
      <c r="D352" s="347"/>
      <c r="E352" s="347"/>
      <c r="F352" s="347"/>
      <c r="G352" s="347"/>
      <c r="H352" s="347"/>
      <c r="I352" s="347"/>
      <c r="J352" s="347"/>
      <c r="K352" s="355"/>
      <c r="L352" s="355"/>
      <c r="M352" s="347"/>
    </row>
    <row r="353" spans="1:13" ht="15.75" customHeight="1">
      <c r="A353" s="270"/>
      <c r="B353" s="769" t="s">
        <v>219</v>
      </c>
      <c r="C353" s="723" t="s">
        <v>437</v>
      </c>
      <c r="D353" s="218"/>
      <c r="E353" s="218"/>
      <c r="F353" s="260"/>
      <c r="G353" s="340"/>
      <c r="H353" s="340"/>
      <c r="I353" s="332"/>
      <c r="J353" s="332"/>
      <c r="K353" s="324"/>
      <c r="L353" s="324"/>
      <c r="M353" s="332"/>
    </row>
    <row r="354" spans="1:13" ht="1.5" customHeight="1">
      <c r="A354" s="270"/>
      <c r="B354" s="335"/>
      <c r="C354" s="231"/>
      <c r="D354" s="218"/>
      <c r="E354" s="218"/>
      <c r="F354" s="260"/>
      <c r="G354" s="340"/>
      <c r="H354" s="340"/>
      <c r="I354" s="332"/>
      <c r="J354" s="332"/>
      <c r="K354" s="324"/>
      <c r="L354" s="324"/>
      <c r="M354" s="332"/>
    </row>
    <row r="355" spans="1:13" ht="15.75" customHeight="1">
      <c r="A355" s="270"/>
      <c r="B355" s="190"/>
      <c r="C355" s="263"/>
      <c r="D355" s="218"/>
      <c r="E355" s="218"/>
      <c r="F355" s="260"/>
      <c r="G355" s="261"/>
      <c r="H355" s="261"/>
      <c r="I355" s="218"/>
      <c r="J355" s="218"/>
      <c r="K355" s="746" t="s">
        <v>176</v>
      </c>
      <c r="L355" s="323"/>
      <c r="M355" s="746" t="s">
        <v>178</v>
      </c>
    </row>
    <row r="356" spans="1:13" ht="4.5" customHeight="1" hidden="1">
      <c r="A356" s="270"/>
      <c r="B356" s="190"/>
      <c r="C356" s="263"/>
      <c r="D356" s="218"/>
      <c r="E356" s="218"/>
      <c r="F356" s="260"/>
      <c r="G356" s="261"/>
      <c r="H356" s="261"/>
      <c r="I356" s="218"/>
      <c r="J356" s="218"/>
      <c r="K356" s="405"/>
      <c r="L356" s="405"/>
      <c r="M356" s="405"/>
    </row>
    <row r="357" spans="1:15" s="187" customFormat="1" ht="15.75" customHeight="1" hidden="1">
      <c r="A357" s="270"/>
      <c r="B357" s="190"/>
      <c r="C357" s="773" t="s">
        <v>438</v>
      </c>
      <c r="D357" s="231"/>
      <c r="E357" s="231"/>
      <c r="F357" s="191"/>
      <c r="G357" s="261"/>
      <c r="H357" s="261"/>
      <c r="I357" s="231"/>
      <c r="J357" s="231"/>
      <c r="K357" s="394"/>
      <c r="L357" s="394"/>
      <c r="M357" s="394"/>
      <c r="N357" s="476"/>
      <c r="O357" s="476"/>
    </row>
    <row r="358" spans="1:13" ht="13.5">
      <c r="A358" s="270"/>
      <c r="B358" s="190"/>
      <c r="C358" s="694" t="s">
        <v>439</v>
      </c>
      <c r="D358" s="218"/>
      <c r="E358" s="218"/>
      <c r="F358" s="260"/>
      <c r="G358" s="261"/>
      <c r="H358" s="261"/>
      <c r="I358" s="774" t="s">
        <v>684</v>
      </c>
      <c r="J358" s="218"/>
      <c r="K358" s="351">
        <v>0</v>
      </c>
      <c r="L358" s="351"/>
      <c r="M358" s="351">
        <v>2129008355</v>
      </c>
    </row>
    <row r="359" spans="1:13" ht="13.5">
      <c r="A359" s="270"/>
      <c r="B359" s="190"/>
      <c r="C359" s="694" t="s">
        <v>440</v>
      </c>
      <c r="D359" s="218"/>
      <c r="E359" s="218"/>
      <c r="F359" s="260"/>
      <c r="G359" s="261"/>
      <c r="H359" s="261"/>
      <c r="I359" s="218"/>
      <c r="J359" s="218"/>
      <c r="K359" s="351">
        <v>0</v>
      </c>
      <c r="L359" s="351"/>
      <c r="M359" s="351">
        <v>1013813502</v>
      </c>
    </row>
    <row r="360" spans="1:13" ht="13.5">
      <c r="A360" s="270"/>
      <c r="B360" s="190"/>
      <c r="C360" s="694" t="s">
        <v>441</v>
      </c>
      <c r="D360" s="218"/>
      <c r="E360" s="218"/>
      <c r="F360" s="260"/>
      <c r="G360" s="261"/>
      <c r="H360" s="261"/>
      <c r="I360" s="218"/>
      <c r="J360" s="218"/>
      <c r="K360" s="324">
        <v>13418979490</v>
      </c>
      <c r="L360" s="351"/>
      <c r="M360" s="324">
        <v>3866001300</v>
      </c>
    </row>
    <row r="361" spans="1:13" ht="13.5">
      <c r="A361" s="270"/>
      <c r="B361" s="190"/>
      <c r="C361" s="720" t="s">
        <v>442</v>
      </c>
      <c r="D361" s="218"/>
      <c r="E361" s="218"/>
      <c r="F361" s="260"/>
      <c r="G361" s="261"/>
      <c r="H361" s="261"/>
      <c r="I361" s="218"/>
      <c r="J361" s="218"/>
      <c r="K361" s="351">
        <v>303379252</v>
      </c>
      <c r="L361" s="351"/>
      <c r="M361" s="351">
        <v>326445327</v>
      </c>
    </row>
    <row r="362" spans="2:13" ht="13.5">
      <c r="B362" s="190"/>
      <c r="C362" s="775" t="s">
        <v>443</v>
      </c>
      <c r="D362" s="218"/>
      <c r="E362" s="218"/>
      <c r="F362" s="260"/>
      <c r="G362" s="261"/>
      <c r="H362" s="261"/>
      <c r="I362" s="218"/>
      <c r="J362" s="218"/>
      <c r="K362" s="351">
        <v>0</v>
      </c>
      <c r="L362" s="351"/>
      <c r="M362" s="351">
        <v>1000000</v>
      </c>
    </row>
    <row r="363" spans="1:15" ht="19.5" customHeight="1" thickBot="1">
      <c r="A363" s="270"/>
      <c r="B363" s="190"/>
      <c r="C363" s="773" t="s">
        <v>452</v>
      </c>
      <c r="D363" s="218"/>
      <c r="E363" s="218"/>
      <c r="F363" s="260"/>
      <c r="G363" s="261"/>
      <c r="H363" s="261"/>
      <c r="I363" s="265"/>
      <c r="J363" s="218"/>
      <c r="K363" s="393">
        <f>SUM(K358:K362)</f>
        <v>13722358742</v>
      </c>
      <c r="L363" s="351"/>
      <c r="M363" s="393">
        <f>SUM(M358:M362)</f>
        <v>7336268484</v>
      </c>
      <c r="N363" s="196">
        <f>K363-BCDKT!H105</f>
        <v>0</v>
      </c>
      <c r="O363" s="196">
        <f>M363-BCDKT!I105</f>
        <v>0</v>
      </c>
    </row>
    <row r="364" spans="1:13" ht="19.5" customHeight="1" thickTop="1">
      <c r="A364" s="270"/>
      <c r="B364" s="190"/>
      <c r="C364" s="694" t="s">
        <v>305</v>
      </c>
      <c r="D364" s="218"/>
      <c r="E364" s="218"/>
      <c r="F364" s="260"/>
      <c r="G364" s="261"/>
      <c r="H364" s="261"/>
      <c r="I364" s="265"/>
      <c r="J364" s="218"/>
      <c r="K364" s="394"/>
      <c r="L364" s="351"/>
      <c r="M364" s="394"/>
    </row>
    <row r="365" spans="1:13" ht="19.5" customHeight="1">
      <c r="A365" s="270"/>
      <c r="B365" s="190"/>
      <c r="C365" s="694" t="s">
        <v>306</v>
      </c>
      <c r="D365" s="218"/>
      <c r="E365" s="218"/>
      <c r="F365" s="260"/>
      <c r="G365" s="261"/>
      <c r="H365" s="261"/>
      <c r="I365" s="605">
        <v>0.1</v>
      </c>
      <c r="J365" s="218"/>
      <c r="K365" s="394"/>
      <c r="L365" s="351"/>
      <c r="M365" s="394"/>
    </row>
    <row r="366" spans="1:13" ht="19.5" customHeight="1">
      <c r="A366" s="270"/>
      <c r="B366" s="190"/>
      <c r="C366" s="694" t="s">
        <v>307</v>
      </c>
      <c r="D366" s="218"/>
      <c r="E366" s="218"/>
      <c r="F366" s="260"/>
      <c r="G366" s="261"/>
      <c r="H366" s="261"/>
      <c r="I366" s="605">
        <v>0.05</v>
      </c>
      <c r="J366" s="218"/>
      <c r="K366" s="394"/>
      <c r="L366" s="351"/>
      <c r="M366" s="394"/>
    </row>
    <row r="367" spans="1:13" ht="19.5" customHeight="1">
      <c r="A367" s="270"/>
      <c r="B367" s="190"/>
      <c r="C367" s="694" t="s">
        <v>308</v>
      </c>
      <c r="D367" s="218"/>
      <c r="E367" s="218"/>
      <c r="F367" s="260"/>
      <c r="G367" s="261"/>
      <c r="H367" s="261"/>
      <c r="I367" s="605">
        <v>0</v>
      </c>
      <c r="J367" s="218"/>
      <c r="K367" s="394"/>
      <c r="L367" s="351"/>
      <c r="M367" s="394"/>
    </row>
    <row r="368" spans="1:13" ht="19.5" customHeight="1">
      <c r="A368" s="270"/>
      <c r="B368" s="190"/>
      <c r="C368" s="694" t="s">
        <v>309</v>
      </c>
      <c r="D368" s="218"/>
      <c r="E368" s="218"/>
      <c r="F368" s="260"/>
      <c r="G368" s="261"/>
      <c r="H368" s="261"/>
      <c r="I368" s="605"/>
      <c r="J368" s="218"/>
      <c r="K368" s="394"/>
      <c r="L368" s="351"/>
      <c r="M368" s="394"/>
    </row>
    <row r="369" spans="1:13" ht="11.25" customHeight="1">
      <c r="A369" s="295"/>
      <c r="B369" s="189"/>
      <c r="C369" s="85"/>
      <c r="D369" s="347"/>
      <c r="E369" s="347"/>
      <c r="F369" s="347"/>
      <c r="G369" s="347"/>
      <c r="H369" s="347"/>
      <c r="I369" s="347"/>
      <c r="J369" s="347"/>
      <c r="K369" s="355"/>
      <c r="L369" s="355"/>
      <c r="M369" s="347"/>
    </row>
    <row r="370" spans="1:10" ht="14.25">
      <c r="A370" s="270"/>
      <c r="B370" s="769" t="s">
        <v>220</v>
      </c>
      <c r="C370" s="776" t="s">
        <v>81</v>
      </c>
      <c r="D370" s="299"/>
      <c r="E370" s="299"/>
      <c r="F370" s="299"/>
      <c r="G370" s="407"/>
      <c r="H370" s="186"/>
      <c r="I370" s="408"/>
      <c r="J370" s="408"/>
    </row>
    <row r="371" spans="1:10" ht="1.5" customHeight="1">
      <c r="A371" s="270"/>
      <c r="B371" s="334"/>
      <c r="C371" s="352"/>
      <c r="G371" s="186"/>
      <c r="H371" s="186"/>
      <c r="I371" s="408"/>
      <c r="J371" s="408"/>
    </row>
    <row r="372" spans="1:13" ht="15.75" customHeight="1">
      <c r="A372" s="270"/>
      <c r="B372" s="190"/>
      <c r="C372" s="263"/>
      <c r="D372" s="210"/>
      <c r="E372" s="218"/>
      <c r="F372" s="218"/>
      <c r="G372" s="260"/>
      <c r="H372" s="260"/>
      <c r="I372" s="357"/>
      <c r="J372" s="357"/>
      <c r="K372" s="746" t="s">
        <v>176</v>
      </c>
      <c r="L372" s="323"/>
      <c r="M372" s="746" t="s">
        <v>178</v>
      </c>
    </row>
    <row r="373" spans="1:13" ht="2.25" customHeight="1">
      <c r="A373" s="270"/>
      <c r="B373" s="190"/>
      <c r="C373" s="263"/>
      <c r="D373" s="210"/>
      <c r="E373" s="218"/>
      <c r="F373" s="218"/>
      <c r="G373" s="260"/>
      <c r="H373" s="260"/>
      <c r="I373" s="357"/>
      <c r="J373" s="357"/>
      <c r="K373" s="125"/>
      <c r="L373" s="125"/>
      <c r="M373" s="125"/>
    </row>
    <row r="374" spans="1:13" ht="15.75" customHeight="1">
      <c r="A374" s="270"/>
      <c r="B374" s="190"/>
      <c r="C374" s="747" t="s">
        <v>310</v>
      </c>
      <c r="E374" s="218"/>
      <c r="F374" s="218"/>
      <c r="G374" s="260"/>
      <c r="H374" s="260"/>
      <c r="I374" s="357"/>
      <c r="J374" s="357"/>
      <c r="K374" s="409">
        <v>18550676978</v>
      </c>
      <c r="L374" s="409"/>
      <c r="M374" s="409">
        <v>19362810708</v>
      </c>
    </row>
    <row r="375" spans="1:13" ht="15.75" customHeight="1">
      <c r="A375" s="270"/>
      <c r="B375" s="190"/>
      <c r="C375" s="747" t="s">
        <v>311</v>
      </c>
      <c r="E375" s="218"/>
      <c r="F375" s="218"/>
      <c r="G375" s="260"/>
      <c r="H375" s="260"/>
      <c r="I375" s="357"/>
      <c r="J375" s="357"/>
      <c r="K375" s="470">
        <v>14162349770</v>
      </c>
      <c r="L375" s="409"/>
      <c r="M375" s="409">
        <v>4610884095</v>
      </c>
    </row>
    <row r="376" spans="1:13" ht="15.75" customHeight="1">
      <c r="A376" s="270"/>
      <c r="B376" s="190"/>
      <c r="C376" s="747" t="s">
        <v>312</v>
      </c>
      <c r="E376" s="218"/>
      <c r="F376" s="218"/>
      <c r="G376" s="260"/>
      <c r="H376" s="260"/>
      <c r="I376" s="357"/>
      <c r="J376" s="357"/>
      <c r="K376" s="470">
        <f>240000000+464200000</f>
        <v>704200000</v>
      </c>
      <c r="L376" s="409"/>
      <c r="M376" s="409">
        <v>0</v>
      </c>
    </row>
    <row r="377" spans="1:15" ht="14.25" thickBot="1">
      <c r="A377" s="270"/>
      <c r="B377" s="190"/>
      <c r="C377" s="754" t="s">
        <v>452</v>
      </c>
      <c r="D377" s="220"/>
      <c r="E377" s="218"/>
      <c r="F377" s="218"/>
      <c r="G377" s="260"/>
      <c r="H377" s="260"/>
      <c r="I377" s="395"/>
      <c r="J377" s="395"/>
      <c r="K377" s="410">
        <f>SUM(K374:K376)</f>
        <v>33417226748</v>
      </c>
      <c r="L377" s="346"/>
      <c r="M377" s="410">
        <f>SUM(M374:M376)</f>
        <v>23973694803</v>
      </c>
      <c r="N377" s="196">
        <f>M377-BCDKT!I107</f>
        <v>0</v>
      </c>
      <c r="O377" s="196">
        <f>K377-BCDKT!H107</f>
        <v>0</v>
      </c>
    </row>
    <row r="378" spans="1:13" ht="12.75" customHeight="1" thickTop="1">
      <c r="A378" s="270"/>
      <c r="B378" s="190"/>
      <c r="C378" s="210"/>
      <c r="D378" s="220"/>
      <c r="E378" s="218"/>
      <c r="F378" s="218"/>
      <c r="G378" s="260"/>
      <c r="H378" s="260"/>
      <c r="I378" s="395"/>
      <c r="J378" s="395"/>
      <c r="K378" s="346"/>
      <c r="L378" s="346"/>
      <c r="M378" s="346"/>
    </row>
    <row r="379" spans="1:10" ht="18" customHeight="1">
      <c r="A379" s="270"/>
      <c r="B379" s="769" t="s">
        <v>222</v>
      </c>
      <c r="C379" s="776" t="s">
        <v>313</v>
      </c>
      <c r="D379" s="299"/>
      <c r="E379" s="299"/>
      <c r="F379" s="299"/>
      <c r="G379" s="407"/>
      <c r="H379" s="186"/>
      <c r="I379" s="408"/>
      <c r="J379" s="408"/>
    </row>
    <row r="380" spans="1:10" ht="1.5" customHeight="1">
      <c r="A380" s="270"/>
      <c r="B380" s="334"/>
      <c r="C380" s="352"/>
      <c r="G380" s="186"/>
      <c r="H380" s="186"/>
      <c r="I380" s="408"/>
      <c r="J380" s="408"/>
    </row>
    <row r="381" spans="1:13" ht="20.25" customHeight="1">
      <c r="A381" s="270"/>
      <c r="B381" s="190"/>
      <c r="C381" s="263"/>
      <c r="D381" s="210"/>
      <c r="E381" s="218"/>
      <c r="F381" s="218"/>
      <c r="G381" s="260"/>
      <c r="H381" s="260"/>
      <c r="I381" s="357"/>
      <c r="J381" s="357"/>
      <c r="K381" s="746" t="s">
        <v>176</v>
      </c>
      <c r="L381" s="323"/>
      <c r="M381" s="746" t="s">
        <v>178</v>
      </c>
    </row>
    <row r="382" spans="1:13" ht="2.25" customHeight="1">
      <c r="A382" s="270"/>
      <c r="B382" s="190"/>
      <c r="C382" s="263"/>
      <c r="D382" s="210"/>
      <c r="E382" s="218"/>
      <c r="F382" s="218"/>
      <c r="G382" s="260"/>
      <c r="H382" s="260"/>
      <c r="I382" s="357"/>
      <c r="J382" s="357"/>
      <c r="K382" s="125"/>
      <c r="L382" s="125"/>
      <c r="M382" s="125"/>
    </row>
    <row r="383" spans="1:15" s="187" customFormat="1" ht="21" customHeight="1">
      <c r="A383" s="270"/>
      <c r="B383" s="190"/>
      <c r="C383" s="750" t="s">
        <v>314</v>
      </c>
      <c r="D383" s="210"/>
      <c r="E383" s="231"/>
      <c r="F383" s="231"/>
      <c r="G383" s="191"/>
      <c r="H383" s="191"/>
      <c r="I383" s="361"/>
      <c r="J383" s="357"/>
      <c r="K383" s="459">
        <f>SUM(K384:K387)</f>
        <v>1145755849829</v>
      </c>
      <c r="L383" s="336"/>
      <c r="M383" s="459">
        <f>SUM(M384:M387)</f>
        <v>2845873330</v>
      </c>
      <c r="N383" s="476">
        <f>K383-BCDKT!H110</f>
        <v>0</v>
      </c>
      <c r="O383" s="476"/>
    </row>
    <row r="384" spans="1:13" ht="5.25" customHeight="1">
      <c r="A384" s="270"/>
      <c r="B384" s="190"/>
      <c r="C384" s="218"/>
      <c r="E384" s="218"/>
      <c r="F384" s="218"/>
      <c r="G384" s="260"/>
      <c r="H384" s="260"/>
      <c r="I384" s="357"/>
      <c r="J384" s="357"/>
      <c r="K384" s="409"/>
      <c r="L384" s="409"/>
      <c r="M384" s="409"/>
    </row>
    <row r="385" spans="1:13" ht="18.75" customHeight="1">
      <c r="A385" s="270"/>
      <c r="B385" s="190"/>
      <c r="C385" s="778" t="s">
        <v>315</v>
      </c>
      <c r="E385" s="218"/>
      <c r="F385" s="218"/>
      <c r="G385" s="260"/>
      <c r="H385" s="260"/>
      <c r="I385" s="357"/>
      <c r="J385" s="357"/>
      <c r="K385" s="409">
        <f>325878099+511730</f>
        <v>326389829</v>
      </c>
      <c r="L385" s="409"/>
      <c r="M385" s="409">
        <v>246601385</v>
      </c>
    </row>
    <row r="386" spans="1:13" ht="18.75" customHeight="1">
      <c r="A386" s="270"/>
      <c r="B386" s="190"/>
      <c r="C386" s="778" t="s">
        <v>316</v>
      </c>
      <c r="E386" s="218"/>
      <c r="F386" s="218"/>
      <c r="G386" s="260"/>
      <c r="H386" s="260"/>
      <c r="I386" s="357"/>
      <c r="J386" s="357"/>
      <c r="K386" s="470">
        <v>1143568624000</v>
      </c>
      <c r="L386" s="409"/>
      <c r="M386" s="409">
        <v>0</v>
      </c>
    </row>
    <row r="387" spans="1:13" ht="18.75" customHeight="1">
      <c r="A387" s="270"/>
      <c r="B387" s="190"/>
      <c r="C387" s="778" t="s">
        <v>314</v>
      </c>
      <c r="E387" s="218"/>
      <c r="F387" s="218"/>
      <c r="G387" s="260"/>
      <c r="H387" s="260"/>
      <c r="I387" s="357"/>
      <c r="J387" s="357"/>
      <c r="K387" s="470">
        <f>1861347730-511730</f>
        <v>1860836000</v>
      </c>
      <c r="L387" s="409"/>
      <c r="M387" s="409">
        <v>2599271945</v>
      </c>
    </row>
    <row r="388" spans="1:15" s="187" customFormat="1" ht="18.75" customHeight="1">
      <c r="A388" s="270"/>
      <c r="B388" s="190"/>
      <c r="C388" s="779" t="s">
        <v>89</v>
      </c>
      <c r="D388" s="231"/>
      <c r="E388" s="231"/>
      <c r="F388" s="231"/>
      <c r="G388" s="191"/>
      <c r="H388" s="191"/>
      <c r="I388" s="458"/>
      <c r="J388" s="458"/>
      <c r="K388" s="215">
        <f>K389+K390</f>
        <v>46396465000</v>
      </c>
      <c r="L388" s="215"/>
      <c r="M388" s="215">
        <f>SUM(M389:M390)</f>
        <v>30000000000</v>
      </c>
      <c r="N388" s="476"/>
      <c r="O388" s="476"/>
    </row>
    <row r="389" spans="1:13" ht="18.75" customHeight="1">
      <c r="A389" s="270"/>
      <c r="B389" s="190"/>
      <c r="C389" s="778" t="s">
        <v>317</v>
      </c>
      <c r="E389" s="218"/>
      <c r="F389" s="218"/>
      <c r="G389" s="260"/>
      <c r="H389" s="260"/>
      <c r="I389" s="777" t="s">
        <v>684</v>
      </c>
      <c r="J389" s="350"/>
      <c r="K389" s="126">
        <v>30000000000</v>
      </c>
      <c r="L389" s="126"/>
      <c r="M389" s="126">
        <v>30000000000</v>
      </c>
    </row>
    <row r="390" spans="1:13" ht="18.75" customHeight="1">
      <c r="A390" s="270"/>
      <c r="B390" s="190"/>
      <c r="C390" s="778" t="s">
        <v>318</v>
      </c>
      <c r="E390" s="218"/>
      <c r="F390" s="218"/>
      <c r="G390" s="260"/>
      <c r="H390" s="260"/>
      <c r="I390" s="777" t="s">
        <v>197</v>
      </c>
      <c r="J390" s="350"/>
      <c r="K390" s="337">
        <f>11540705000+4855760000</f>
        <v>16396465000</v>
      </c>
      <c r="L390" s="337"/>
      <c r="M390" s="337">
        <v>0</v>
      </c>
    </row>
    <row r="391" spans="1:13" ht="18.75" customHeight="1" thickBot="1">
      <c r="A391" s="270"/>
      <c r="B391" s="190"/>
      <c r="C391" s="780" t="s">
        <v>452</v>
      </c>
      <c r="D391" s="220"/>
      <c r="E391" s="218"/>
      <c r="F391" s="218"/>
      <c r="G391" s="260"/>
      <c r="H391" s="260"/>
      <c r="I391" s="395"/>
      <c r="J391" s="395"/>
      <c r="K391" s="410">
        <f>+K388+K383</f>
        <v>1192152314829</v>
      </c>
      <c r="L391" s="346"/>
      <c r="M391" s="410">
        <f>+M388+M383</f>
        <v>32845873330</v>
      </c>
    </row>
    <row r="392" spans="1:13" ht="51.75" customHeight="1" thickTop="1">
      <c r="A392" s="270"/>
      <c r="B392" s="736" t="s">
        <v>141</v>
      </c>
      <c r="C392" s="679"/>
      <c r="D392" s="679"/>
      <c r="E392" s="679"/>
      <c r="F392" s="679"/>
      <c r="G392" s="679"/>
      <c r="H392" s="679"/>
      <c r="I392" s="679"/>
      <c r="J392" s="679"/>
      <c r="K392" s="679"/>
      <c r="L392" s="679"/>
      <c r="M392" s="679"/>
    </row>
    <row r="393" spans="1:13" ht="23.25" customHeight="1">
      <c r="A393" s="270"/>
      <c r="B393" s="868" t="s">
        <v>319</v>
      </c>
      <c r="C393" s="679"/>
      <c r="D393" s="679"/>
      <c r="E393" s="679"/>
      <c r="F393" s="679"/>
      <c r="G393" s="679"/>
      <c r="H393" s="679"/>
      <c r="I393" s="679"/>
      <c r="J393" s="679"/>
      <c r="K393" s="679"/>
      <c r="L393" s="679"/>
      <c r="M393" s="679"/>
    </row>
    <row r="394" spans="1:13" ht="13.5">
      <c r="A394" s="270"/>
      <c r="B394" s="190"/>
      <c r="C394" s="210"/>
      <c r="D394" s="220"/>
      <c r="E394" s="218"/>
      <c r="F394" s="218"/>
      <c r="G394" s="260"/>
      <c r="H394" s="260"/>
      <c r="I394" s="395"/>
      <c r="J394" s="395"/>
      <c r="K394" s="215"/>
      <c r="L394" s="215"/>
      <c r="M394" s="395"/>
    </row>
    <row r="395" spans="1:15" s="299" customFormat="1" ht="14.25">
      <c r="A395" s="327"/>
      <c r="B395" s="781" t="s">
        <v>223</v>
      </c>
      <c r="C395" s="776" t="s">
        <v>90</v>
      </c>
      <c r="G395" s="407"/>
      <c r="H395" s="407"/>
      <c r="I395" s="517"/>
      <c r="J395" s="517"/>
      <c r="K395" s="746" t="s">
        <v>176</v>
      </c>
      <c r="L395" s="323"/>
      <c r="M395" s="746" t="s">
        <v>178</v>
      </c>
      <c r="N395" s="411"/>
      <c r="O395" s="411"/>
    </row>
    <row r="396" spans="1:15" s="299" customFormat="1" ht="5.25" customHeight="1">
      <c r="A396" s="327"/>
      <c r="B396" s="415"/>
      <c r="C396" s="352"/>
      <c r="G396" s="407"/>
      <c r="H396" s="407"/>
      <c r="I396" s="517"/>
      <c r="J396" s="517"/>
      <c r="N396" s="411"/>
      <c r="O396" s="411"/>
    </row>
    <row r="397" spans="1:15" s="466" customFormat="1" ht="18" customHeight="1">
      <c r="A397" s="465"/>
      <c r="B397" s="413"/>
      <c r="C397" s="765" t="s">
        <v>416</v>
      </c>
      <c r="D397" s="329"/>
      <c r="E397" s="329"/>
      <c r="F397" s="330"/>
      <c r="G397" s="467"/>
      <c r="H397" s="467"/>
      <c r="I397" s="766" t="s">
        <v>684</v>
      </c>
      <c r="J397" s="468"/>
      <c r="K397" s="516">
        <f>SUM(K398:K401)</f>
        <v>175661689926</v>
      </c>
      <c r="L397" s="467"/>
      <c r="M397" s="516">
        <f>SUM(M398:M401)</f>
        <v>16371500000</v>
      </c>
      <c r="N397" s="464"/>
      <c r="O397" s="464"/>
    </row>
    <row r="398" spans="1:15" s="466" customFormat="1" ht="18" customHeight="1">
      <c r="A398" s="465"/>
      <c r="B398" s="413"/>
      <c r="D398" s="767" t="s">
        <v>417</v>
      </c>
      <c r="F398" s="330"/>
      <c r="G398" s="467"/>
      <c r="H398" s="467"/>
      <c r="J398" s="529"/>
      <c r="K398" s="463">
        <f>2394800000+2298236000+322500000+336617190+153140536736</f>
        <v>158492689926</v>
      </c>
      <c r="L398" s="467"/>
      <c r="M398" s="463">
        <v>322500000</v>
      </c>
      <c r="N398" s="464"/>
      <c r="O398" s="464"/>
    </row>
    <row r="399" spans="1:15" s="466" customFormat="1" ht="18" customHeight="1">
      <c r="A399" s="465"/>
      <c r="B399" s="413"/>
      <c r="D399" s="767" t="s">
        <v>418</v>
      </c>
      <c r="F399" s="330"/>
      <c r="G399" s="467"/>
      <c r="H399" s="467"/>
      <c r="J399" s="529"/>
      <c r="K399" s="463">
        <v>1120000000</v>
      </c>
      <c r="L399" s="467"/>
      <c r="M399" s="463">
        <v>0</v>
      </c>
      <c r="N399" s="464"/>
      <c r="O399" s="464"/>
    </row>
    <row r="400" spans="1:15" s="466" customFormat="1" ht="18" customHeight="1">
      <c r="A400" s="465"/>
      <c r="B400" s="413"/>
      <c r="D400" s="767" t="s">
        <v>419</v>
      </c>
      <c r="F400" s="330"/>
      <c r="G400" s="467"/>
      <c r="H400" s="467"/>
      <c r="J400" s="529"/>
      <c r="K400" s="463">
        <v>11549000000</v>
      </c>
      <c r="L400" s="467"/>
      <c r="M400" s="463">
        <v>11549000000</v>
      </c>
      <c r="N400" s="464"/>
      <c r="O400" s="464"/>
    </row>
    <row r="401" spans="1:15" s="466" customFormat="1" ht="18" customHeight="1">
      <c r="A401" s="465"/>
      <c r="B401" s="413"/>
      <c r="D401" s="767" t="s">
        <v>422</v>
      </c>
      <c r="F401" s="330"/>
      <c r="G401" s="467"/>
      <c r="H401" s="467"/>
      <c r="J401" s="529"/>
      <c r="K401" s="463">
        <v>4500000000</v>
      </c>
      <c r="L401" s="467"/>
      <c r="M401" s="463">
        <v>4500000000</v>
      </c>
      <c r="N401" s="464"/>
      <c r="O401" s="464"/>
    </row>
    <row r="402" spans="1:15" s="466" customFormat="1" ht="21.75" customHeight="1">
      <c r="A402" s="465"/>
      <c r="B402" s="413"/>
      <c r="C402" s="732" t="s">
        <v>423</v>
      </c>
      <c r="D402" s="329"/>
      <c r="E402" s="329"/>
      <c r="F402" s="330"/>
      <c r="G402" s="467"/>
      <c r="H402" s="467"/>
      <c r="I402" s="766" t="s">
        <v>197</v>
      </c>
      <c r="J402" s="522"/>
      <c r="K402" s="516">
        <f>SUM(K403:K405)</f>
        <v>668163463779</v>
      </c>
      <c r="L402" s="467"/>
      <c r="M402" s="516">
        <f>SUM(M403:M405)</f>
        <v>350352385943</v>
      </c>
      <c r="N402" s="464"/>
      <c r="O402" s="464"/>
    </row>
    <row r="403" spans="1:15" s="466" customFormat="1" ht="18" customHeight="1">
      <c r="A403" s="465"/>
      <c r="B403" s="413"/>
      <c r="D403" s="767" t="s">
        <v>463</v>
      </c>
      <c r="F403" s="330"/>
      <c r="G403" s="467"/>
      <c r="H403" s="467"/>
      <c r="J403" s="522"/>
      <c r="K403" s="463">
        <v>208324557329</v>
      </c>
      <c r="L403" s="467"/>
      <c r="M403" s="463">
        <v>342187656917</v>
      </c>
      <c r="N403" s="464"/>
      <c r="O403" s="464"/>
    </row>
    <row r="404" spans="1:15" s="466" customFormat="1" ht="21.75" customHeight="1">
      <c r="A404" s="465"/>
      <c r="B404" s="413"/>
      <c r="C404" s="732" t="s">
        <v>86</v>
      </c>
      <c r="N404" s="464"/>
      <c r="O404" s="464"/>
    </row>
    <row r="405" spans="1:15" s="466" customFormat="1" ht="18" customHeight="1">
      <c r="A405" s="465"/>
      <c r="B405" s="413"/>
      <c r="D405" s="767" t="s">
        <v>320</v>
      </c>
      <c r="F405" s="330"/>
      <c r="G405" s="467"/>
      <c r="H405" s="467"/>
      <c r="J405" s="468"/>
      <c r="K405" s="463">
        <f>1153080000+34068261080+119362325370+53105740000+252149500000</f>
        <v>459838906450</v>
      </c>
      <c r="L405" s="467"/>
      <c r="M405" s="463">
        <v>8164729026</v>
      </c>
      <c r="N405" s="464"/>
      <c r="O405" s="464"/>
    </row>
    <row r="406" spans="1:15" s="299" customFormat="1" ht="2.25" customHeight="1">
      <c r="A406" s="327"/>
      <c r="B406" s="328"/>
      <c r="C406" s="352"/>
      <c r="D406" s="356"/>
      <c r="E406" s="262"/>
      <c r="F406" s="262"/>
      <c r="G406" s="425"/>
      <c r="H406" s="425"/>
      <c r="I406" s="515"/>
      <c r="J406" s="515"/>
      <c r="K406" s="392"/>
      <c r="L406" s="392"/>
      <c r="M406" s="392"/>
      <c r="N406" s="411"/>
      <c r="O406" s="411"/>
    </row>
    <row r="407" spans="1:15" s="299" customFormat="1" ht="22.5" customHeight="1" thickBot="1">
      <c r="A407" s="327"/>
      <c r="B407" s="328"/>
      <c r="C407" s="768" t="s">
        <v>452</v>
      </c>
      <c r="D407" s="489"/>
      <c r="E407" s="262"/>
      <c r="F407" s="262"/>
      <c r="G407" s="425"/>
      <c r="H407" s="425"/>
      <c r="I407" s="428"/>
      <c r="J407" s="428"/>
      <c r="K407" s="410">
        <f>K402+K397</f>
        <v>843825153705</v>
      </c>
      <c r="L407" s="346"/>
      <c r="M407" s="410">
        <f>M402+M397</f>
        <v>366723885943</v>
      </c>
      <c r="N407" s="411">
        <f>M407-BCDKT!I117</f>
        <v>0</v>
      </c>
      <c r="O407" s="411">
        <f>K407-BCDKT!H117</f>
        <v>0</v>
      </c>
    </row>
    <row r="408" spans="1:15" s="299" customFormat="1" ht="36.75" customHeight="1" thickTop="1">
      <c r="A408" s="327"/>
      <c r="B408" s="734" t="s">
        <v>321</v>
      </c>
      <c r="C408" s="735"/>
      <c r="D408" s="735"/>
      <c r="E408" s="735"/>
      <c r="F408" s="735"/>
      <c r="G408" s="735"/>
      <c r="H408" s="735"/>
      <c r="I408" s="735"/>
      <c r="J408" s="735"/>
      <c r="K408" s="735"/>
      <c r="L408" s="735"/>
      <c r="M408" s="735"/>
      <c r="N408" s="411"/>
      <c r="O408" s="411"/>
    </row>
    <row r="409" spans="1:15" s="299" customFormat="1" ht="33.75" customHeight="1">
      <c r="A409" s="327"/>
      <c r="B409" s="734" t="s">
        <v>322</v>
      </c>
      <c r="C409" s="735"/>
      <c r="D409" s="735"/>
      <c r="E409" s="735"/>
      <c r="F409" s="735"/>
      <c r="G409" s="735"/>
      <c r="H409" s="735"/>
      <c r="I409" s="735"/>
      <c r="J409" s="735"/>
      <c r="K409" s="735"/>
      <c r="L409" s="735"/>
      <c r="M409" s="735"/>
      <c r="N409" s="411"/>
      <c r="O409" s="411"/>
    </row>
    <row r="410" spans="1:13" ht="16.5" customHeight="1">
      <c r="A410" s="270"/>
      <c r="B410" s="190"/>
      <c r="C410" s="210"/>
      <c r="D410" s="220"/>
      <c r="E410" s="218"/>
      <c r="F410" s="218"/>
      <c r="G410" s="260"/>
      <c r="H410" s="260"/>
      <c r="I410" s="395"/>
      <c r="J410" s="395"/>
      <c r="K410" s="346"/>
      <c r="L410" s="346"/>
      <c r="M410" s="346"/>
    </row>
    <row r="411" spans="1:8" ht="15.75" customHeight="1">
      <c r="A411" s="270"/>
      <c r="B411" s="782" t="s">
        <v>588</v>
      </c>
      <c r="C411" s="783" t="s">
        <v>95</v>
      </c>
      <c r="G411" s="186"/>
      <c r="H411" s="186"/>
    </row>
    <row r="412" spans="1:13" ht="4.5" customHeight="1">
      <c r="A412" s="270"/>
      <c r="B412" s="414"/>
      <c r="C412" s="328"/>
      <c r="G412" s="186"/>
      <c r="H412" s="186"/>
      <c r="M412" s="286"/>
    </row>
    <row r="413" spans="1:13" ht="15.75" customHeight="1">
      <c r="A413" s="270"/>
      <c r="B413" s="414"/>
      <c r="C413" s="781" t="s">
        <v>13</v>
      </c>
      <c r="D413" s="651" t="s">
        <v>323</v>
      </c>
      <c r="G413" s="186"/>
      <c r="H413" s="186"/>
      <c r="M413" s="286"/>
    </row>
    <row r="414" spans="2:15" s="72" customFormat="1" ht="54" customHeight="1">
      <c r="B414" s="681" t="s">
        <v>95</v>
      </c>
      <c r="D414" s="68"/>
      <c r="E414" s="68"/>
      <c r="F414" s="68"/>
      <c r="G414" s="784" t="s">
        <v>324</v>
      </c>
      <c r="H414" s="462"/>
      <c r="I414" s="784" t="s">
        <v>102</v>
      </c>
      <c r="J414" s="462"/>
      <c r="K414" s="784" t="s">
        <v>103</v>
      </c>
      <c r="L414" s="461"/>
      <c r="M414" s="785" t="s">
        <v>325</v>
      </c>
      <c r="N414" s="481"/>
      <c r="O414" s="481"/>
    </row>
    <row r="415" spans="2:15" s="65" customFormat="1" ht="18" customHeight="1">
      <c r="B415" s="681" t="s">
        <v>326</v>
      </c>
      <c r="D415" s="68"/>
      <c r="E415" s="68"/>
      <c r="F415" s="68"/>
      <c r="G415" s="111">
        <v>40000000000</v>
      </c>
      <c r="H415" s="111"/>
      <c r="I415" s="111">
        <v>277015447</v>
      </c>
      <c r="J415" s="111"/>
      <c r="K415" s="111">
        <v>138507723</v>
      </c>
      <c r="L415" s="111"/>
      <c r="M415" s="111">
        <v>6825595306</v>
      </c>
      <c r="N415" s="482"/>
      <c r="O415" s="482"/>
    </row>
    <row r="416" spans="2:15" s="66" customFormat="1" ht="18" customHeight="1">
      <c r="B416" s="786" t="s">
        <v>327</v>
      </c>
      <c r="D416" s="69"/>
      <c r="E416" s="69"/>
      <c r="F416" s="69"/>
      <c r="G416" s="78">
        <v>0</v>
      </c>
      <c r="H416" s="78"/>
      <c r="I416" s="78">
        <v>0</v>
      </c>
      <c r="J416" s="78"/>
      <c r="K416" s="78">
        <v>0</v>
      </c>
      <c r="L416" s="78"/>
      <c r="M416" s="78">
        <v>0</v>
      </c>
      <c r="N416" s="71"/>
      <c r="O416" s="71"/>
    </row>
    <row r="417" spans="2:15" s="66" customFormat="1" ht="18" customHeight="1">
      <c r="B417" s="786" t="s">
        <v>328</v>
      </c>
      <c r="D417" s="69"/>
      <c r="E417" s="69"/>
      <c r="F417" s="69"/>
      <c r="G417" s="78">
        <v>0</v>
      </c>
      <c r="H417" s="78"/>
      <c r="I417" s="78">
        <v>0</v>
      </c>
      <c r="J417" s="78"/>
      <c r="K417" s="78">
        <v>0</v>
      </c>
      <c r="L417" s="78"/>
      <c r="M417" s="78">
        <f>KQKD1!H45</f>
        <v>17450223425</v>
      </c>
      <c r="N417" s="71"/>
      <c r="O417" s="71"/>
    </row>
    <row r="418" spans="2:15" s="66" customFormat="1" ht="18" customHeight="1">
      <c r="B418" s="786" t="s">
        <v>329</v>
      </c>
      <c r="D418" s="69"/>
      <c r="E418" s="69"/>
      <c r="F418" s="69"/>
      <c r="G418" s="78">
        <v>0</v>
      </c>
      <c r="H418" s="78"/>
      <c r="I418" s="78">
        <v>1969463891</v>
      </c>
      <c r="J418" s="78"/>
      <c r="K418" s="78">
        <v>1084132059</v>
      </c>
      <c r="L418" s="78"/>
      <c r="M418" s="78">
        <v>-5749745072</v>
      </c>
      <c r="N418" s="71"/>
      <c r="O418" s="71"/>
    </row>
    <row r="419" spans="2:15" s="66" customFormat="1" ht="18" customHeight="1">
      <c r="B419" s="786" t="s">
        <v>330</v>
      </c>
      <c r="D419" s="69"/>
      <c r="E419" s="69"/>
      <c r="F419" s="69"/>
      <c r="G419" s="78">
        <v>0</v>
      </c>
      <c r="H419" s="78"/>
      <c r="I419" s="78">
        <v>0</v>
      </c>
      <c r="J419" s="78"/>
      <c r="K419" s="78">
        <v>0</v>
      </c>
      <c r="L419" s="78"/>
      <c r="M419" s="78">
        <v>-858077829</v>
      </c>
      <c r="N419" s="71"/>
      <c r="O419" s="71"/>
    </row>
    <row r="420" spans="2:15" s="65" customFormat="1" ht="18" customHeight="1">
      <c r="B420" s="681" t="s">
        <v>331</v>
      </c>
      <c r="D420" s="68"/>
      <c r="E420" s="68"/>
      <c r="F420" s="68"/>
      <c r="G420" s="111">
        <f>G415+G416+G417-G419</f>
        <v>40000000000</v>
      </c>
      <c r="H420" s="111"/>
      <c r="I420" s="111">
        <f>SUM(I415:I419)</f>
        <v>2246479338</v>
      </c>
      <c r="J420" s="111"/>
      <c r="K420" s="111">
        <f>SUM(K415:K419)</f>
        <v>1222639782</v>
      </c>
      <c r="L420" s="111"/>
      <c r="M420" s="111">
        <f>SUM(M415:M419)</f>
        <v>17667995830</v>
      </c>
      <c r="N420" s="482"/>
      <c r="O420" s="482"/>
    </row>
    <row r="421" spans="2:15" s="65" customFormat="1" ht="18" customHeight="1">
      <c r="B421" s="681" t="s">
        <v>332</v>
      </c>
      <c r="D421" s="68"/>
      <c r="E421" s="68"/>
      <c r="F421" s="68"/>
      <c r="G421" s="111">
        <f>G420</f>
        <v>40000000000</v>
      </c>
      <c r="H421" s="111"/>
      <c r="I421" s="111">
        <f>I420</f>
        <v>2246479338</v>
      </c>
      <c r="J421" s="111"/>
      <c r="K421" s="111">
        <f>K420</f>
        <v>1222639782</v>
      </c>
      <c r="L421" s="111"/>
      <c r="M421" s="111">
        <f>M420</f>
        <v>17667995830</v>
      </c>
      <c r="N421" s="482"/>
      <c r="O421" s="482"/>
    </row>
    <row r="422" spans="2:15" s="66" customFormat="1" ht="18" customHeight="1">
      <c r="B422" s="786" t="s">
        <v>333</v>
      </c>
      <c r="D422" s="69"/>
      <c r="E422" s="69"/>
      <c r="F422" s="69"/>
      <c r="G422" s="78">
        <v>0</v>
      </c>
      <c r="H422" s="78"/>
      <c r="I422" s="78">
        <v>0</v>
      </c>
      <c r="J422" s="78"/>
      <c r="K422" s="78">
        <v>0</v>
      </c>
      <c r="L422" s="78"/>
      <c r="M422" s="78">
        <v>0</v>
      </c>
      <c r="N422" s="71"/>
      <c r="O422" s="71"/>
    </row>
    <row r="423" spans="2:15" s="66" customFormat="1" ht="18" customHeight="1">
      <c r="B423" s="786" t="s">
        <v>334</v>
      </c>
      <c r="D423" s="69"/>
      <c r="E423" s="69"/>
      <c r="F423" s="69"/>
      <c r="G423" s="78">
        <v>0</v>
      </c>
      <c r="H423" s="78"/>
      <c r="I423" s="78">
        <v>0</v>
      </c>
      <c r="J423" s="78"/>
      <c r="K423" s="78">
        <v>0</v>
      </c>
      <c r="L423" s="78"/>
      <c r="M423" s="78">
        <f>KQKD1!G45</f>
        <v>72351788242</v>
      </c>
      <c r="N423" s="71"/>
      <c r="O423" s="71"/>
    </row>
    <row r="424" spans="2:15" s="66" customFormat="1" ht="18" customHeight="1">
      <c r="B424" s="786" t="s">
        <v>329</v>
      </c>
      <c r="D424" s="69"/>
      <c r="E424" s="69"/>
      <c r="F424" s="69"/>
      <c r="G424" s="78">
        <v>0</v>
      </c>
      <c r="H424" s="78"/>
      <c r="I424" s="78">
        <f>K424</f>
        <v>7244497420</v>
      </c>
      <c r="J424" s="78"/>
      <c r="K424" s="78">
        <v>7244497420</v>
      </c>
      <c r="L424" s="78"/>
      <c r="M424" s="78">
        <v>-25355740969</v>
      </c>
      <c r="N424" s="71"/>
      <c r="O424" s="71"/>
    </row>
    <row r="425" spans="2:15" s="66" customFormat="1" ht="18" customHeight="1">
      <c r="B425" s="786" t="s">
        <v>335</v>
      </c>
      <c r="D425" s="69"/>
      <c r="E425" s="69"/>
      <c r="F425" s="69"/>
      <c r="G425" s="78">
        <v>0</v>
      </c>
      <c r="H425" s="78"/>
      <c r="I425" s="78">
        <v>0</v>
      </c>
      <c r="J425" s="78"/>
      <c r="K425" s="78">
        <v>0</v>
      </c>
      <c r="L425" s="78"/>
      <c r="M425" s="78">
        <v>-12000000000</v>
      </c>
      <c r="N425" s="71"/>
      <c r="O425" s="71"/>
    </row>
    <row r="426" spans="2:15" s="65" customFormat="1" ht="18" customHeight="1" thickBot="1">
      <c r="B426" s="681" t="s">
        <v>336</v>
      </c>
      <c r="D426" s="68"/>
      <c r="E426" s="68"/>
      <c r="F426" s="68"/>
      <c r="G426" s="333">
        <f>SUM(G421:G425)</f>
        <v>40000000000</v>
      </c>
      <c r="H426" s="111"/>
      <c r="I426" s="333">
        <f>SUM(I421:I425)</f>
        <v>9490976758</v>
      </c>
      <c r="J426" s="111"/>
      <c r="K426" s="333">
        <f>SUM(K421:K425)</f>
        <v>8467137202</v>
      </c>
      <c r="L426" s="111"/>
      <c r="M426" s="333">
        <f>SUM(M421:M425)</f>
        <v>52664043103</v>
      </c>
      <c r="N426" s="482">
        <f>M426-BCDKT!H134</f>
        <v>0</v>
      </c>
      <c r="O426" s="482"/>
    </row>
    <row r="427" spans="1:13" ht="16.5" customHeight="1" thickTop="1">
      <c r="A427" s="270"/>
      <c r="B427" s="414"/>
      <c r="C427" s="415"/>
      <c r="D427" s="85"/>
      <c r="G427" s="186"/>
      <c r="H427" s="186"/>
      <c r="M427" s="286"/>
    </row>
    <row r="428" spans="1:15" s="299" customFormat="1" ht="23.25" customHeight="1">
      <c r="A428" s="327"/>
      <c r="B428" s="414"/>
      <c r="C428" s="781" t="s">
        <v>14</v>
      </c>
      <c r="D428" s="787" t="s">
        <v>337</v>
      </c>
      <c r="G428" s="407"/>
      <c r="H428" s="407"/>
      <c r="N428" s="411"/>
      <c r="O428" s="411"/>
    </row>
    <row r="429" spans="1:15" s="299" customFormat="1" ht="4.5" customHeight="1">
      <c r="A429" s="327"/>
      <c r="B429" s="414"/>
      <c r="C429" s="413"/>
      <c r="D429" s="520"/>
      <c r="G429" s="407"/>
      <c r="H429" s="407"/>
      <c r="K429" s="405"/>
      <c r="L429" s="405"/>
      <c r="M429" s="405"/>
      <c r="N429" s="411"/>
      <c r="O429" s="411"/>
    </row>
    <row r="430" spans="1:15" s="299" customFormat="1" ht="13.5">
      <c r="A430" s="327"/>
      <c r="B430" s="414"/>
      <c r="C430" s="511"/>
      <c r="D430" s="297"/>
      <c r="E430" s="297"/>
      <c r="F430" s="297"/>
      <c r="G430" s="297"/>
      <c r="H430" s="297"/>
      <c r="I430" s="297"/>
      <c r="J430" s="297"/>
      <c r="K430" s="788" t="s">
        <v>338</v>
      </c>
      <c r="L430" s="524"/>
      <c r="M430" s="788" t="s">
        <v>339</v>
      </c>
      <c r="N430" s="411"/>
      <c r="O430" s="411"/>
    </row>
    <row r="431" spans="1:15" s="299" customFormat="1" ht="16.5" customHeight="1">
      <c r="A431" s="327"/>
      <c r="B431" s="414"/>
      <c r="C431" s="673" t="s">
        <v>320</v>
      </c>
      <c r="D431" s="297"/>
      <c r="E431" s="297"/>
      <c r="F431" s="297"/>
      <c r="G431" s="297"/>
      <c r="H431" s="297"/>
      <c r="I431" s="297"/>
      <c r="J431" s="297"/>
      <c r="K431" s="523">
        <v>23500000000</v>
      </c>
      <c r="L431" s="297"/>
      <c r="M431" s="525">
        <f>K431/K433</f>
        <v>0.5875</v>
      </c>
      <c r="N431" s="411"/>
      <c r="O431" s="411"/>
    </row>
    <row r="432" spans="1:15" s="299" customFormat="1" ht="18" customHeight="1">
      <c r="A432" s="327"/>
      <c r="B432" s="414"/>
      <c r="C432" s="789" t="s">
        <v>340</v>
      </c>
      <c r="D432" s="521"/>
      <c r="G432" s="407"/>
      <c r="H432" s="407"/>
      <c r="K432" s="337">
        <v>16500000000</v>
      </c>
      <c r="L432" s="337"/>
      <c r="M432" s="526">
        <f>K432/K433</f>
        <v>0.4125</v>
      </c>
      <c r="N432" s="411"/>
      <c r="O432" s="411"/>
    </row>
    <row r="433" spans="1:15" s="299" customFormat="1" ht="14.25" thickBot="1">
      <c r="A433" s="327"/>
      <c r="B433" s="328"/>
      <c r="C433" s="768" t="s">
        <v>452</v>
      </c>
      <c r="D433" s="489"/>
      <c r="E433" s="262"/>
      <c r="F433" s="262"/>
      <c r="G433" s="425"/>
      <c r="H433" s="425"/>
      <c r="I433" s="428"/>
      <c r="J433" s="428"/>
      <c r="K433" s="410">
        <f>SUM(K431:K432)</f>
        <v>40000000000</v>
      </c>
      <c r="L433" s="346"/>
      <c r="M433" s="527">
        <v>1</v>
      </c>
      <c r="N433" s="411"/>
      <c r="O433" s="411"/>
    </row>
    <row r="434" spans="1:15" s="299" customFormat="1" ht="23.25" customHeight="1" thickTop="1">
      <c r="A434" s="327"/>
      <c r="B434" s="328"/>
      <c r="C434" s="650" t="s">
        <v>341</v>
      </c>
      <c r="D434" s="863"/>
      <c r="E434" s="863"/>
      <c r="F434" s="863"/>
      <c r="G434" s="863"/>
      <c r="H434" s="863"/>
      <c r="I434" s="863"/>
      <c r="J434" s="863"/>
      <c r="K434" s="863"/>
      <c r="L434" s="863"/>
      <c r="M434" s="863"/>
      <c r="N434" s="411"/>
      <c r="O434" s="411"/>
    </row>
    <row r="435" spans="1:15" s="299" customFormat="1" ht="13.5">
      <c r="A435" s="327"/>
      <c r="B435" s="328"/>
      <c r="C435" s="356"/>
      <c r="D435" s="489"/>
      <c r="E435" s="262"/>
      <c r="F435" s="262"/>
      <c r="G435" s="425"/>
      <c r="H435" s="425"/>
      <c r="I435" s="428"/>
      <c r="J435" s="428"/>
      <c r="K435" s="346"/>
      <c r="L435" s="346"/>
      <c r="M435" s="530"/>
      <c r="N435" s="411"/>
      <c r="O435" s="411"/>
    </row>
    <row r="436" spans="1:15" s="299" customFormat="1" ht="18" customHeight="1">
      <c r="A436" s="327"/>
      <c r="B436" s="328"/>
      <c r="C436" s="790" t="s">
        <v>15</v>
      </c>
      <c r="D436" s="791" t="s">
        <v>342</v>
      </c>
      <c r="E436" s="262"/>
      <c r="F436" s="262"/>
      <c r="G436" s="425"/>
      <c r="H436" s="425"/>
      <c r="I436" s="428"/>
      <c r="J436" s="428"/>
      <c r="K436" s="346"/>
      <c r="L436" s="346"/>
      <c r="M436" s="530"/>
      <c r="N436" s="411"/>
      <c r="O436" s="411"/>
    </row>
    <row r="437" spans="1:15" s="299" customFormat="1" ht="18" customHeight="1">
      <c r="A437" s="327"/>
      <c r="B437" s="328"/>
      <c r="C437" s="356"/>
      <c r="D437" s="489"/>
      <c r="E437" s="262"/>
      <c r="F437" s="262"/>
      <c r="G437" s="425"/>
      <c r="H437" s="425"/>
      <c r="I437" s="428"/>
      <c r="J437" s="428"/>
      <c r="K437" s="746" t="s">
        <v>176</v>
      </c>
      <c r="L437" s="323"/>
      <c r="M437" s="746" t="s">
        <v>178</v>
      </c>
      <c r="N437" s="411"/>
      <c r="O437" s="411"/>
    </row>
    <row r="438" spans="1:15" s="299" customFormat="1" ht="18" customHeight="1">
      <c r="A438" s="327"/>
      <c r="B438" s="328"/>
      <c r="C438" s="792" t="s">
        <v>343</v>
      </c>
      <c r="D438" s="489"/>
      <c r="E438" s="262"/>
      <c r="F438" s="262"/>
      <c r="G438" s="425"/>
      <c r="H438" s="425"/>
      <c r="J438" s="428"/>
      <c r="K438" s="337">
        <f>4000000+9800000</f>
        <v>13800000</v>
      </c>
      <c r="L438" s="337"/>
      <c r="M438" s="337">
        <v>4000000</v>
      </c>
      <c r="N438" s="411"/>
      <c r="O438" s="411"/>
    </row>
    <row r="439" spans="1:15" s="299" customFormat="1" ht="18" customHeight="1">
      <c r="A439" s="327"/>
      <c r="B439" s="328"/>
      <c r="C439" s="792" t="s">
        <v>344</v>
      </c>
      <c r="D439" s="489"/>
      <c r="E439" s="262"/>
      <c r="F439" s="262"/>
      <c r="G439" s="425"/>
      <c r="H439" s="425"/>
      <c r="I439" s="428"/>
      <c r="J439" s="428"/>
      <c r="K439" s="337">
        <f>K440</f>
        <v>13800000</v>
      </c>
      <c r="L439" s="337"/>
      <c r="M439" s="337">
        <v>4000000</v>
      </c>
      <c r="N439" s="411"/>
      <c r="O439" s="411"/>
    </row>
    <row r="440" spans="1:15" s="299" customFormat="1" ht="18" customHeight="1">
      <c r="A440" s="327"/>
      <c r="B440" s="328"/>
      <c r="C440" s="356"/>
      <c r="D440" s="793" t="s">
        <v>345</v>
      </c>
      <c r="E440" s="262"/>
      <c r="F440" s="262"/>
      <c r="G440" s="425"/>
      <c r="H440" s="425"/>
      <c r="I440" s="428"/>
      <c r="J440" s="428"/>
      <c r="K440" s="343">
        <f>K438</f>
        <v>13800000</v>
      </c>
      <c r="L440" s="343"/>
      <c r="M440" s="343">
        <f>M439</f>
        <v>4000000</v>
      </c>
      <c r="N440" s="411"/>
      <c r="O440" s="411"/>
    </row>
    <row r="441" spans="1:15" s="299" customFormat="1" ht="18" customHeight="1">
      <c r="A441" s="327"/>
      <c r="B441" s="328"/>
      <c r="C441" s="356"/>
      <c r="D441" s="793" t="s">
        <v>346</v>
      </c>
      <c r="E441" s="262"/>
      <c r="F441" s="262"/>
      <c r="G441" s="425"/>
      <c r="H441" s="425"/>
      <c r="I441" s="428"/>
      <c r="J441" s="428"/>
      <c r="K441" s="337">
        <v>0</v>
      </c>
      <c r="L441" s="337"/>
      <c r="M441" s="337">
        <v>0</v>
      </c>
      <c r="N441" s="411"/>
      <c r="O441" s="411"/>
    </row>
    <row r="442" spans="1:15" s="299" customFormat="1" ht="18" customHeight="1">
      <c r="A442" s="327"/>
      <c r="B442" s="328"/>
      <c r="C442" s="792" t="s">
        <v>347</v>
      </c>
      <c r="D442" s="489"/>
      <c r="E442" s="262"/>
      <c r="F442" s="262"/>
      <c r="G442" s="425"/>
      <c r="H442" s="425"/>
      <c r="I442" s="428"/>
      <c r="J442" s="428"/>
      <c r="K442" s="337">
        <v>0</v>
      </c>
      <c r="L442" s="337"/>
      <c r="M442" s="337">
        <v>0</v>
      </c>
      <c r="N442" s="411"/>
      <c r="O442" s="411"/>
    </row>
    <row r="443" spans="1:15" s="299" customFormat="1" ht="18" customHeight="1">
      <c r="A443" s="327"/>
      <c r="B443" s="328"/>
      <c r="C443" s="356"/>
      <c r="D443" s="793" t="s">
        <v>345</v>
      </c>
      <c r="E443" s="262"/>
      <c r="F443" s="262"/>
      <c r="G443" s="425"/>
      <c r="H443" s="425"/>
      <c r="I443" s="428"/>
      <c r="J443" s="428"/>
      <c r="K443" s="337">
        <v>0</v>
      </c>
      <c r="L443" s="337"/>
      <c r="M443" s="337">
        <v>0</v>
      </c>
      <c r="N443" s="411"/>
      <c r="O443" s="411"/>
    </row>
    <row r="444" spans="1:15" s="299" customFormat="1" ht="18" customHeight="1">
      <c r="A444" s="327"/>
      <c r="B444" s="328"/>
      <c r="C444" s="356"/>
      <c r="D444" s="793" t="s">
        <v>346</v>
      </c>
      <c r="E444" s="262"/>
      <c r="F444" s="262"/>
      <c r="G444" s="425"/>
      <c r="H444" s="425"/>
      <c r="I444" s="428"/>
      <c r="J444" s="428"/>
      <c r="K444" s="337">
        <v>0</v>
      </c>
      <c r="L444" s="337"/>
      <c r="M444" s="337">
        <v>0</v>
      </c>
      <c r="N444" s="411"/>
      <c r="O444" s="411"/>
    </row>
    <row r="445" spans="1:15" s="299" customFormat="1" ht="18" customHeight="1">
      <c r="A445" s="327"/>
      <c r="B445" s="328"/>
      <c r="C445" s="792" t="s">
        <v>348</v>
      </c>
      <c r="D445" s="489"/>
      <c r="E445" s="262"/>
      <c r="F445" s="262"/>
      <c r="G445" s="425"/>
      <c r="H445" s="425"/>
      <c r="I445" s="531"/>
      <c r="J445" s="428"/>
      <c r="K445" s="337">
        <f>M445</f>
        <v>4000000</v>
      </c>
      <c r="L445" s="337"/>
      <c r="M445" s="337">
        <f>M440</f>
        <v>4000000</v>
      </c>
      <c r="N445" s="411"/>
      <c r="O445" s="411"/>
    </row>
    <row r="446" spans="1:15" s="299" customFormat="1" ht="18" customHeight="1">
      <c r="A446" s="327"/>
      <c r="B446" s="328"/>
      <c r="C446" s="356"/>
      <c r="D446" s="793" t="s">
        <v>345</v>
      </c>
      <c r="E446" s="262"/>
      <c r="F446" s="262"/>
      <c r="G446" s="425"/>
      <c r="H446" s="425"/>
      <c r="I446" s="428"/>
      <c r="J446" s="428"/>
      <c r="K446" s="343">
        <f>M446</f>
        <v>4000000</v>
      </c>
      <c r="L446" s="343"/>
      <c r="M446" s="343">
        <f>M445</f>
        <v>4000000</v>
      </c>
      <c r="N446" s="411"/>
      <c r="O446" s="411"/>
    </row>
    <row r="447" spans="1:15" s="299" customFormat="1" ht="18" customHeight="1">
      <c r="A447" s="327"/>
      <c r="B447" s="328"/>
      <c r="C447" s="356"/>
      <c r="D447" s="793" t="s">
        <v>346</v>
      </c>
      <c r="E447" s="262"/>
      <c r="F447" s="262"/>
      <c r="G447" s="425"/>
      <c r="H447" s="425"/>
      <c r="I447" s="428"/>
      <c r="J447" s="428"/>
      <c r="K447" s="337">
        <v>0</v>
      </c>
      <c r="L447" s="337"/>
      <c r="M447" s="603">
        <v>0</v>
      </c>
      <c r="N447" s="411"/>
      <c r="O447" s="411"/>
    </row>
    <row r="448" spans="1:15" s="299" customFormat="1" ht="18" customHeight="1">
      <c r="A448" s="327"/>
      <c r="B448" s="328"/>
      <c r="C448" s="792" t="s">
        <v>349</v>
      </c>
      <c r="D448" s="489"/>
      <c r="E448" s="262"/>
      <c r="F448" s="262"/>
      <c r="G448" s="425"/>
      <c r="H448" s="425"/>
      <c r="J448" s="794" t="s">
        <v>684</v>
      </c>
      <c r="K448" s="337">
        <f>K449</f>
        <v>9800000</v>
      </c>
      <c r="L448" s="337"/>
      <c r="M448" s="337">
        <f>M443</f>
        <v>0</v>
      </c>
      <c r="N448" s="411"/>
      <c r="O448" s="411"/>
    </row>
    <row r="449" spans="1:15" s="299" customFormat="1" ht="18" customHeight="1">
      <c r="A449" s="327"/>
      <c r="B449" s="328"/>
      <c r="C449" s="356"/>
      <c r="D449" s="795" t="s">
        <v>345</v>
      </c>
      <c r="E449" s="262"/>
      <c r="F449" s="262"/>
      <c r="G449" s="425"/>
      <c r="H449" s="425"/>
      <c r="I449" s="428"/>
      <c r="J449" s="428"/>
      <c r="K449" s="343">
        <v>9800000</v>
      </c>
      <c r="L449" s="343"/>
      <c r="M449" s="343">
        <f>M448</f>
        <v>0</v>
      </c>
      <c r="N449" s="411"/>
      <c r="O449" s="411"/>
    </row>
    <row r="450" spans="1:15" s="299" customFormat="1" ht="18" customHeight="1">
      <c r="A450" s="327"/>
      <c r="B450" s="328"/>
      <c r="C450" s="356"/>
      <c r="D450" s="795" t="s">
        <v>346</v>
      </c>
      <c r="E450" s="262"/>
      <c r="F450" s="262"/>
      <c r="G450" s="425"/>
      <c r="H450" s="425"/>
      <c r="I450" s="428"/>
      <c r="J450" s="428"/>
      <c r="K450" s="337">
        <v>0</v>
      </c>
      <c r="L450" s="337"/>
      <c r="M450" s="603">
        <v>0</v>
      </c>
      <c r="N450" s="411"/>
      <c r="O450" s="411"/>
    </row>
    <row r="451" spans="1:15" s="299" customFormat="1" ht="9" customHeight="1">
      <c r="A451" s="327"/>
      <c r="B451" s="328"/>
      <c r="C451" s="356"/>
      <c r="D451" s="489"/>
      <c r="E451" s="262"/>
      <c r="F451" s="262"/>
      <c r="G451" s="425"/>
      <c r="H451" s="425"/>
      <c r="I451" s="428"/>
      <c r="J451" s="428"/>
      <c r="K451" s="346"/>
      <c r="L451" s="346"/>
      <c r="M451" s="530"/>
      <c r="N451" s="411"/>
      <c r="O451" s="411"/>
    </row>
    <row r="452" spans="1:15" s="299" customFormat="1" ht="13.5">
      <c r="A452" s="327"/>
      <c r="B452" s="328"/>
      <c r="C452" s="796" t="s">
        <v>350</v>
      </c>
      <c r="D452" s="489"/>
      <c r="E452" s="262"/>
      <c r="F452" s="262"/>
      <c r="G452" s="425"/>
      <c r="H452" s="425"/>
      <c r="I452" s="428"/>
      <c r="J452" s="428"/>
      <c r="K452" s="346"/>
      <c r="L452" s="346"/>
      <c r="M452" s="530"/>
      <c r="N452" s="411"/>
      <c r="O452" s="411"/>
    </row>
    <row r="453" spans="1:15" s="299" customFormat="1" ht="6.75" customHeight="1">
      <c r="A453" s="327"/>
      <c r="B453" s="328"/>
      <c r="C453" s="489"/>
      <c r="D453" s="489"/>
      <c r="E453" s="262"/>
      <c r="F453" s="262"/>
      <c r="G453" s="425"/>
      <c r="H453" s="425"/>
      <c r="I453" s="428"/>
      <c r="J453" s="428"/>
      <c r="K453" s="346"/>
      <c r="L453" s="346"/>
      <c r="M453" s="530"/>
      <c r="N453" s="411"/>
      <c r="O453" s="411"/>
    </row>
    <row r="454" spans="1:15" s="299" customFormat="1" ht="48" customHeight="1">
      <c r="A454" s="327"/>
      <c r="B454" s="328"/>
      <c r="C454" s="873" t="s">
        <v>5</v>
      </c>
      <c r="D454" s="863"/>
      <c r="E454" s="863"/>
      <c r="F454" s="863"/>
      <c r="G454" s="863"/>
      <c r="H454" s="863"/>
      <c r="I454" s="863"/>
      <c r="J454" s="863"/>
      <c r="K454" s="863"/>
      <c r="L454" s="863"/>
      <c r="M454" s="863"/>
      <c r="N454" s="411"/>
      <c r="O454" s="411"/>
    </row>
    <row r="455" spans="1:15" s="299" customFormat="1" ht="18.75" customHeight="1">
      <c r="A455" s="327"/>
      <c r="B455" s="328"/>
      <c r="C455" s="510"/>
      <c r="D455" s="715" t="s">
        <v>351</v>
      </c>
      <c r="E455" s="532"/>
      <c r="F455" s="510"/>
      <c r="G455" s="510"/>
      <c r="H455" s="510"/>
      <c r="I455" s="510"/>
      <c r="J455" s="510"/>
      <c r="K455" s="532">
        <v>1200000</v>
      </c>
      <c r="L455" s="532"/>
      <c r="M455" s="510"/>
      <c r="N455" s="411"/>
      <c r="O455" s="411"/>
    </row>
    <row r="456" spans="1:15" s="299" customFormat="1" ht="18.75" customHeight="1">
      <c r="A456" s="327"/>
      <c r="B456" s="328"/>
      <c r="C456" s="510"/>
      <c r="D456" s="715" t="s">
        <v>352</v>
      </c>
      <c r="E456" s="532"/>
      <c r="F456" s="510"/>
      <c r="G456" s="510"/>
      <c r="H456" s="510"/>
      <c r="I456" s="510"/>
      <c r="J456" s="510"/>
      <c r="K456" s="532">
        <v>2000000</v>
      </c>
      <c r="L456" s="532"/>
      <c r="M456" s="510"/>
      <c r="N456" s="411"/>
      <c r="O456" s="411"/>
    </row>
    <row r="457" spans="1:15" s="299" customFormat="1" ht="18.75" customHeight="1">
      <c r="A457" s="327"/>
      <c r="B457" s="328"/>
      <c r="C457" s="510"/>
      <c r="D457" s="715" t="s">
        <v>353</v>
      </c>
      <c r="E457" s="532"/>
      <c r="F457" s="510"/>
      <c r="G457" s="510"/>
      <c r="H457" s="510"/>
      <c r="I457" s="510"/>
      <c r="J457" s="510"/>
      <c r="K457" s="532">
        <v>200000</v>
      </c>
      <c r="L457" s="532"/>
      <c r="M457" s="510"/>
      <c r="N457" s="411"/>
      <c r="O457" s="411"/>
    </row>
    <row r="458" spans="1:15" s="299" customFormat="1" ht="18.75" customHeight="1">
      <c r="A458" s="327"/>
      <c r="B458" s="328"/>
      <c r="C458" s="510"/>
      <c r="D458" s="715" t="s">
        <v>354</v>
      </c>
      <c r="E458" s="532"/>
      <c r="F458" s="510"/>
      <c r="G458" s="510"/>
      <c r="H458" s="510"/>
      <c r="I458" s="510"/>
      <c r="J458" s="510"/>
      <c r="K458" s="532">
        <v>6400000</v>
      </c>
      <c r="L458" s="532"/>
      <c r="M458" s="510"/>
      <c r="N458" s="411"/>
      <c r="O458" s="411"/>
    </row>
    <row r="459" spans="1:15" s="299" customFormat="1" ht="18.75" customHeight="1" thickBot="1">
      <c r="A459" s="327"/>
      <c r="B459" s="328"/>
      <c r="C459" s="510"/>
      <c r="D459" s="797" t="s">
        <v>452</v>
      </c>
      <c r="E459" s="510"/>
      <c r="F459" s="510"/>
      <c r="G459" s="510"/>
      <c r="H459" s="510"/>
      <c r="I459" s="510"/>
      <c r="J459" s="510"/>
      <c r="K459" s="391">
        <f>SUM(K455:K458)</f>
        <v>9800000</v>
      </c>
      <c r="L459" s="510"/>
      <c r="M459" s="510"/>
      <c r="N459" s="411"/>
      <c r="O459" s="411"/>
    </row>
    <row r="460" spans="1:15" s="299" customFormat="1" ht="39" customHeight="1" thickTop="1">
      <c r="A460" s="327"/>
      <c r="B460" s="328"/>
      <c r="C460" s="650" t="s">
        <v>355</v>
      </c>
      <c r="D460" s="863"/>
      <c r="E460" s="863"/>
      <c r="F460" s="863"/>
      <c r="G460" s="863"/>
      <c r="H460" s="863"/>
      <c r="I460" s="863"/>
      <c r="J460" s="863"/>
      <c r="K460" s="863"/>
      <c r="L460" s="863"/>
      <c r="M460" s="863"/>
      <c r="N460" s="411"/>
      <c r="O460" s="411"/>
    </row>
    <row r="461" spans="1:15" s="299" customFormat="1" ht="22.5" customHeight="1">
      <c r="A461" s="327"/>
      <c r="B461" s="414"/>
      <c r="C461" s="413"/>
      <c r="D461" s="521"/>
      <c r="G461" s="407"/>
      <c r="H461" s="407"/>
      <c r="M461" s="522"/>
      <c r="N461" s="411"/>
      <c r="O461" s="411"/>
    </row>
    <row r="462" spans="1:15" s="299" customFormat="1" ht="11.25" customHeight="1">
      <c r="A462" s="327"/>
      <c r="B462" s="414"/>
      <c r="C462" s="413"/>
      <c r="D462" s="521"/>
      <c r="G462" s="407"/>
      <c r="H462" s="407"/>
      <c r="M462" s="522"/>
      <c r="N462" s="411"/>
      <c r="O462" s="411"/>
    </row>
    <row r="463" spans="1:13" ht="41.25" customHeight="1">
      <c r="A463" s="798" t="s">
        <v>162</v>
      </c>
      <c r="B463" s="869" t="s">
        <v>356</v>
      </c>
      <c r="C463" s="870"/>
      <c r="D463" s="870"/>
      <c r="E463" s="870"/>
      <c r="F463" s="870"/>
      <c r="G463" s="870"/>
      <c r="H463" s="870"/>
      <c r="I463" s="870"/>
      <c r="J463" s="870"/>
      <c r="K463" s="870"/>
      <c r="L463" s="870"/>
      <c r="M463" s="870"/>
    </row>
    <row r="464" spans="1:8" ht="19.5" customHeight="1">
      <c r="A464" s="270"/>
      <c r="B464" s="764" t="s">
        <v>147</v>
      </c>
      <c r="C464" s="769" t="s">
        <v>674</v>
      </c>
      <c r="G464" s="186"/>
      <c r="H464" s="186"/>
    </row>
    <row r="465" spans="1:8" ht="2.25" customHeight="1" hidden="1">
      <c r="A465" s="270"/>
      <c r="B465" s="416"/>
      <c r="C465" s="268"/>
      <c r="G465" s="186"/>
      <c r="H465" s="186"/>
    </row>
    <row r="466" spans="1:13" ht="14.25" customHeight="1">
      <c r="A466" s="270"/>
      <c r="B466" s="190"/>
      <c r="C466" s="263"/>
      <c r="D466" s="210"/>
      <c r="E466" s="218"/>
      <c r="F466" s="218"/>
      <c r="G466" s="260"/>
      <c r="H466" s="260"/>
      <c r="I466" s="218"/>
      <c r="J466" s="218"/>
      <c r="K466" s="799" t="s">
        <v>130</v>
      </c>
      <c r="L466" s="389"/>
      <c r="M466" s="799" t="s">
        <v>131</v>
      </c>
    </row>
    <row r="467" spans="1:13" ht="4.5" customHeight="1">
      <c r="A467" s="270"/>
      <c r="B467" s="190"/>
      <c r="C467" s="263"/>
      <c r="D467" s="210"/>
      <c r="E467" s="218"/>
      <c r="F467" s="218"/>
      <c r="G467" s="260"/>
      <c r="H467" s="260"/>
      <c r="I467" s="218"/>
      <c r="J467" s="218"/>
      <c r="K467" s="389"/>
      <c r="L467" s="389"/>
      <c r="M467" s="389"/>
    </row>
    <row r="468" spans="1:15" s="299" customFormat="1" ht="18.75" customHeight="1">
      <c r="A468" s="327"/>
      <c r="B468" s="328"/>
      <c r="C468" s="715" t="s">
        <v>357</v>
      </c>
      <c r="D468" s="489"/>
      <c r="E468" s="262"/>
      <c r="F468" s="262"/>
      <c r="G468" s="425"/>
      <c r="H468" s="425"/>
      <c r="I468" s="262"/>
      <c r="J468" s="262"/>
      <c r="K468" s="337">
        <f>204822989368+16564050677</f>
        <v>221387040045</v>
      </c>
      <c r="L468" s="337"/>
      <c r="M468" s="337">
        <v>360612563754</v>
      </c>
      <c r="N468" s="411"/>
      <c r="O468" s="411"/>
    </row>
    <row r="469" spans="1:13" ht="18.75" customHeight="1">
      <c r="A469" s="270"/>
      <c r="B469" s="190"/>
      <c r="C469" s="699" t="s">
        <v>358</v>
      </c>
      <c r="D469" s="220"/>
      <c r="E469" s="218"/>
      <c r="F469" s="218"/>
      <c r="G469" s="260"/>
      <c r="H469" s="260"/>
      <c r="I469" s="218"/>
      <c r="J469" s="218"/>
      <c r="K469" s="126">
        <f>398072361617+4171698782-25362133</f>
        <v>402218698266</v>
      </c>
      <c r="L469" s="126"/>
      <c r="M469" s="126">
        <v>138798078047</v>
      </c>
    </row>
    <row r="470" spans="1:13" ht="18.75" customHeight="1">
      <c r="A470" s="270"/>
      <c r="B470" s="190"/>
      <c r="C470" s="699" t="s">
        <v>359</v>
      </c>
      <c r="D470" s="220"/>
      <c r="E470" s="218"/>
      <c r="F470" s="218"/>
      <c r="G470" s="260"/>
      <c r="H470" s="260"/>
      <c r="I470" s="218"/>
      <c r="J470" s="218"/>
      <c r="K470" s="126">
        <v>166077200000</v>
      </c>
      <c r="L470" s="126"/>
      <c r="M470" s="126">
        <v>152864500000</v>
      </c>
    </row>
    <row r="471" spans="1:13" ht="18.75" customHeight="1" thickBot="1">
      <c r="A471" s="270"/>
      <c r="B471" s="190"/>
      <c r="C471" s="698" t="s">
        <v>360</v>
      </c>
      <c r="D471" s="341"/>
      <c r="E471" s="263"/>
      <c r="F471" s="263"/>
      <c r="G471" s="417"/>
      <c r="H471" s="417"/>
      <c r="I471" s="263"/>
      <c r="J471" s="263"/>
      <c r="K471" s="391">
        <f>SUM(K468:K470)</f>
        <v>789682938311</v>
      </c>
      <c r="L471" s="126"/>
      <c r="M471" s="391">
        <f>SUM(M468:M470)</f>
        <v>652275141801</v>
      </c>
    </row>
    <row r="472" spans="1:13" ht="18.75" customHeight="1" thickTop="1">
      <c r="A472" s="270"/>
      <c r="B472" s="190"/>
      <c r="C472" s="698" t="s">
        <v>361</v>
      </c>
      <c r="D472" s="341"/>
      <c r="E472" s="263"/>
      <c r="F472" s="263"/>
      <c r="G472" s="417"/>
      <c r="H472" s="417"/>
      <c r="I472" s="263"/>
      <c r="J472" s="263"/>
      <c r="K472" s="215">
        <v>0</v>
      </c>
      <c r="L472" s="126"/>
      <c r="M472" s="215">
        <v>0</v>
      </c>
    </row>
    <row r="473" spans="1:13" ht="18.75" customHeight="1" thickBot="1">
      <c r="A473" s="270"/>
      <c r="B473" s="190"/>
      <c r="C473" s="698" t="s">
        <v>741</v>
      </c>
      <c r="D473" s="341"/>
      <c r="E473" s="263"/>
      <c r="F473" s="263"/>
      <c r="G473" s="417"/>
      <c r="H473" s="417"/>
      <c r="I473" s="263"/>
      <c r="J473" s="263"/>
      <c r="K473" s="391">
        <f>+K471-K472</f>
        <v>789682938311</v>
      </c>
      <c r="L473" s="126"/>
      <c r="M473" s="391">
        <f>+M471-M472</f>
        <v>652275141801</v>
      </c>
    </row>
    <row r="474" spans="1:13" ht="12.75" customHeight="1" thickTop="1">
      <c r="A474" s="270"/>
      <c r="B474" s="190"/>
      <c r="C474" s="210"/>
      <c r="D474" s="220"/>
      <c r="E474" s="218"/>
      <c r="F474" s="218"/>
      <c r="G474" s="260"/>
      <c r="H474" s="260"/>
      <c r="I474" s="395"/>
      <c r="J474" s="395"/>
      <c r="K474" s="218"/>
      <c r="L474" s="218"/>
      <c r="M474" s="395"/>
    </row>
    <row r="475" spans="1:13" ht="17.25" customHeight="1">
      <c r="A475" s="270"/>
      <c r="B475" s="764" t="s">
        <v>148</v>
      </c>
      <c r="C475" s="726" t="s">
        <v>744</v>
      </c>
      <c r="G475" s="186"/>
      <c r="H475" s="186"/>
      <c r="M475" s="418"/>
    </row>
    <row r="476" spans="1:13" ht="3.75" customHeight="1">
      <c r="A476" s="270"/>
      <c r="B476" s="388"/>
      <c r="C476" s="190"/>
      <c r="G476" s="186"/>
      <c r="H476" s="186"/>
      <c r="M476" s="419"/>
    </row>
    <row r="477" spans="1:13" ht="15.75" customHeight="1">
      <c r="A477" s="270"/>
      <c r="B477" s="210"/>
      <c r="C477" s="263"/>
      <c r="D477" s="210"/>
      <c r="E477" s="218"/>
      <c r="F477" s="218"/>
      <c r="G477" s="260"/>
      <c r="H477" s="260"/>
      <c r="I477" s="218"/>
      <c r="J477" s="218"/>
      <c r="K477" s="799" t="s">
        <v>130</v>
      </c>
      <c r="L477" s="389"/>
      <c r="M477" s="799" t="s">
        <v>131</v>
      </c>
    </row>
    <row r="478" spans="1:13" ht="5.25" customHeight="1">
      <c r="A478" s="270"/>
      <c r="B478" s="210"/>
      <c r="C478" s="263"/>
      <c r="D478" s="210"/>
      <c r="E478" s="218"/>
      <c r="F478" s="218"/>
      <c r="G478" s="260"/>
      <c r="H478" s="260"/>
      <c r="I478" s="218"/>
      <c r="J478" s="218"/>
      <c r="K478" s="389"/>
      <c r="L478" s="389"/>
      <c r="M478" s="389"/>
    </row>
    <row r="479" spans="1:13" ht="18.75" customHeight="1">
      <c r="A479" s="270"/>
      <c r="B479" s="210"/>
      <c r="C479" s="694" t="s">
        <v>362</v>
      </c>
      <c r="D479" s="218"/>
      <c r="E479" s="218"/>
      <c r="F479" s="218"/>
      <c r="G479" s="260"/>
      <c r="H479" s="260"/>
      <c r="I479" s="218"/>
      <c r="J479" s="218"/>
      <c r="K479" s="337">
        <f>1110733135+145156947+675890406+23716344</f>
        <v>1955496832</v>
      </c>
      <c r="L479" s="126"/>
      <c r="M479" s="126">
        <v>287422962</v>
      </c>
    </row>
    <row r="480" spans="1:13" ht="18.75" customHeight="1">
      <c r="A480" s="270"/>
      <c r="B480" s="210"/>
      <c r="C480" s="694" t="s">
        <v>363</v>
      </c>
      <c r="D480" s="218"/>
      <c r="E480" s="218"/>
      <c r="F480" s="218"/>
      <c r="G480" s="260"/>
      <c r="H480" s="260"/>
      <c r="I480" s="218"/>
      <c r="J480" s="218"/>
      <c r="K480" s="337">
        <f>612141269+1546852920</f>
        <v>2158994189</v>
      </c>
      <c r="L480" s="337"/>
      <c r="M480" s="337">
        <v>599126778</v>
      </c>
    </row>
    <row r="481" spans="1:13" ht="18.75" customHeight="1">
      <c r="A481" s="270"/>
      <c r="B481" s="210"/>
      <c r="C481" s="694" t="s">
        <v>364</v>
      </c>
      <c r="D481" s="218"/>
      <c r="E481" s="218"/>
      <c r="F481" s="218"/>
      <c r="G481" s="260"/>
      <c r="H481" s="260"/>
      <c r="I481" s="218"/>
      <c r="J481" s="218"/>
      <c r="K481" s="337"/>
      <c r="L481" s="126"/>
      <c r="M481" s="126">
        <v>0</v>
      </c>
    </row>
    <row r="482" spans="1:14" ht="18.75" customHeight="1" thickBot="1">
      <c r="A482" s="270"/>
      <c r="B482" s="210"/>
      <c r="C482" s="773" t="s">
        <v>452</v>
      </c>
      <c r="D482" s="210"/>
      <c r="E482" s="218"/>
      <c r="F482" s="218"/>
      <c r="G482" s="260"/>
      <c r="H482" s="260"/>
      <c r="I482" s="218"/>
      <c r="J482" s="218"/>
      <c r="K482" s="391">
        <f>SUM(K479:K481)</f>
        <v>4114491021</v>
      </c>
      <c r="L482" s="215"/>
      <c r="M482" s="391">
        <f>SUM(M479:M481)</f>
        <v>886549740</v>
      </c>
      <c r="N482" s="196">
        <f>K482-KQKD1!G22</f>
        <v>0</v>
      </c>
    </row>
    <row r="483" spans="1:13" ht="13.5" customHeight="1" thickTop="1">
      <c r="A483" s="270"/>
      <c r="B483" s="190"/>
      <c r="C483" s="210"/>
      <c r="D483" s="210"/>
      <c r="E483" s="218"/>
      <c r="F483" s="218"/>
      <c r="G483" s="260"/>
      <c r="H483" s="260"/>
      <c r="I483" s="218"/>
      <c r="J483" s="218"/>
      <c r="K483" s="218"/>
      <c r="L483" s="218"/>
      <c r="M483" s="395"/>
    </row>
    <row r="484" spans="1:13" ht="18" customHeight="1">
      <c r="A484" s="270"/>
      <c r="B484" s="764" t="s">
        <v>152</v>
      </c>
      <c r="C484" s="726" t="s">
        <v>742</v>
      </c>
      <c r="G484" s="186"/>
      <c r="H484" s="186"/>
      <c r="M484" s="418"/>
    </row>
    <row r="485" spans="1:13" ht="3" customHeight="1" hidden="1">
      <c r="A485" s="270"/>
      <c r="B485" s="388"/>
      <c r="C485" s="190"/>
      <c r="G485" s="186"/>
      <c r="H485" s="186"/>
      <c r="K485" s="420"/>
      <c r="M485" s="419"/>
    </row>
    <row r="486" spans="1:13" ht="15.75" customHeight="1">
      <c r="A486" s="270"/>
      <c r="B486" s="190"/>
      <c r="C486" s="263"/>
      <c r="D486" s="210"/>
      <c r="E486" s="218"/>
      <c r="F486" s="218"/>
      <c r="G486" s="260"/>
      <c r="H486" s="260"/>
      <c r="I486" s="218"/>
      <c r="J486" s="218"/>
      <c r="K486" s="799" t="s">
        <v>130</v>
      </c>
      <c r="L486" s="389"/>
      <c r="M486" s="799" t="s">
        <v>131</v>
      </c>
    </row>
    <row r="487" spans="1:13" ht="3.75" customHeight="1">
      <c r="A487" s="270"/>
      <c r="B487" s="190"/>
      <c r="C487" s="263"/>
      <c r="D487" s="210"/>
      <c r="E487" s="218"/>
      <c r="F487" s="218"/>
      <c r="G487" s="260"/>
      <c r="H487" s="260"/>
      <c r="I487" s="218"/>
      <c r="J487" s="218"/>
      <c r="K487" s="389"/>
      <c r="L487" s="389"/>
      <c r="M487" s="389"/>
    </row>
    <row r="488" spans="1:13" ht="18.75" customHeight="1">
      <c r="A488" s="270"/>
      <c r="B488" s="190"/>
      <c r="C488" s="694" t="s">
        <v>365</v>
      </c>
      <c r="D488" s="218"/>
      <c r="E488" s="218"/>
      <c r="F488" s="218"/>
      <c r="G488" s="260"/>
      <c r="H488" s="260"/>
      <c r="I488" s="218"/>
      <c r="J488" s="218"/>
      <c r="K488" s="324">
        <f>167255149849+28711071465+12273524153</f>
        <v>208239745467</v>
      </c>
      <c r="L488" s="126"/>
      <c r="M488" s="324">
        <v>347128217615</v>
      </c>
    </row>
    <row r="489" spans="1:13" ht="18.75" customHeight="1">
      <c r="A489" s="270"/>
      <c r="B489" s="190"/>
      <c r="C489" s="694" t="s">
        <v>366</v>
      </c>
      <c r="D489" s="218"/>
      <c r="E489" s="218"/>
      <c r="F489" s="218"/>
      <c r="G489" s="260"/>
      <c r="H489" s="260"/>
      <c r="I489" s="218"/>
      <c r="J489" s="218"/>
      <c r="K489" s="324">
        <f>391052077242-K490</f>
        <v>270578328211</v>
      </c>
      <c r="L489" s="126"/>
      <c r="M489" s="324">
        <v>101125289976</v>
      </c>
    </row>
    <row r="490" spans="1:13" ht="18.75" customHeight="1">
      <c r="A490" s="270"/>
      <c r="B490" s="190"/>
      <c r="C490" s="694" t="s">
        <v>367</v>
      </c>
      <c r="D490" s="218"/>
      <c r="E490" s="218"/>
      <c r="F490" s="218"/>
      <c r="G490" s="260"/>
      <c r="H490" s="260"/>
      <c r="I490" s="218"/>
      <c r="J490" s="218"/>
      <c r="K490" s="324">
        <f>K470-45603450969</f>
        <v>120473749031</v>
      </c>
      <c r="L490" s="126"/>
      <c r="M490" s="324">
        <v>122973405551</v>
      </c>
    </row>
    <row r="491" spans="1:14" ht="18.75" customHeight="1" thickBot="1">
      <c r="A491" s="270"/>
      <c r="B491" s="190"/>
      <c r="C491" s="773" t="s">
        <v>452</v>
      </c>
      <c r="D491" s="210"/>
      <c r="E491" s="218"/>
      <c r="F491" s="218"/>
      <c r="G491" s="260"/>
      <c r="H491" s="260"/>
      <c r="I491" s="218"/>
      <c r="J491" s="218"/>
      <c r="K491" s="333">
        <f>SUM(K488:K490)</f>
        <v>599291822709</v>
      </c>
      <c r="L491" s="215"/>
      <c r="M491" s="333">
        <f>SUM(M488:M490)</f>
        <v>571226913142</v>
      </c>
      <c r="N491" s="196">
        <f>K491-KQKD1!G18</f>
        <v>0</v>
      </c>
    </row>
    <row r="492" spans="1:12" ht="9" customHeight="1" thickTop="1">
      <c r="A492" s="270"/>
      <c r="B492" s="190"/>
      <c r="C492" s="210"/>
      <c r="D492" s="210"/>
      <c r="E492" s="218"/>
      <c r="F492" s="218"/>
      <c r="G492" s="260"/>
      <c r="H492" s="260"/>
      <c r="I492" s="218"/>
      <c r="J492" s="218"/>
      <c r="K492" s="215"/>
      <c r="L492" s="215"/>
    </row>
    <row r="493" spans="1:15" s="287" customFormat="1" ht="21" customHeight="1">
      <c r="A493" s="267"/>
      <c r="B493" s="764" t="s">
        <v>155</v>
      </c>
      <c r="C493" s="800" t="s">
        <v>368</v>
      </c>
      <c r="D493" s="263"/>
      <c r="E493" s="263"/>
      <c r="F493" s="263"/>
      <c r="G493" s="417"/>
      <c r="H493" s="417"/>
      <c r="I493" s="263"/>
      <c r="J493" s="263"/>
      <c r="K493" s="263"/>
      <c r="L493" s="263"/>
      <c r="M493" s="421"/>
      <c r="N493" s="483"/>
      <c r="O493" s="483"/>
    </row>
    <row r="494" spans="1:13" ht="5.25" customHeight="1">
      <c r="A494" s="270"/>
      <c r="B494" s="388"/>
      <c r="C494" s="210"/>
      <c r="D494" s="218"/>
      <c r="E494" s="218"/>
      <c r="F494" s="218"/>
      <c r="G494" s="260"/>
      <c r="H494" s="260"/>
      <c r="I494" s="218"/>
      <c r="J494" s="218"/>
      <c r="K494" s="218"/>
      <c r="L494" s="218"/>
      <c r="M494" s="422"/>
    </row>
    <row r="495" spans="1:13" ht="15.75" customHeight="1">
      <c r="A495" s="270"/>
      <c r="B495" s="388"/>
      <c r="C495" s="263"/>
      <c r="D495" s="210"/>
      <c r="E495" s="218"/>
      <c r="F495" s="218"/>
      <c r="G495" s="260"/>
      <c r="H495" s="260"/>
      <c r="I495" s="218"/>
      <c r="J495" s="218"/>
      <c r="K495" s="799" t="s">
        <v>130</v>
      </c>
      <c r="L495" s="389"/>
      <c r="M495" s="799" t="s">
        <v>131</v>
      </c>
    </row>
    <row r="496" spans="1:13" ht="3" customHeight="1">
      <c r="A496" s="270"/>
      <c r="B496" s="388"/>
      <c r="C496" s="263"/>
      <c r="D496" s="210"/>
      <c r="E496" s="218"/>
      <c r="F496" s="218"/>
      <c r="G496" s="260"/>
      <c r="H496" s="260"/>
      <c r="I496" s="218"/>
      <c r="J496" s="218"/>
      <c r="K496" s="389"/>
      <c r="L496" s="389"/>
      <c r="M496" s="389"/>
    </row>
    <row r="497" spans="1:14" ht="18.75" customHeight="1">
      <c r="A497" s="270"/>
      <c r="B497" s="388"/>
      <c r="C497" s="694" t="s">
        <v>369</v>
      </c>
      <c r="D497" s="218"/>
      <c r="E497" s="218"/>
      <c r="F497" s="218"/>
      <c r="G497" s="260"/>
      <c r="H497" s="260"/>
      <c r="I497" s="218"/>
      <c r="J497" s="218"/>
      <c r="K497" s="351">
        <f>KQKD1!G25</f>
        <v>67013941421</v>
      </c>
      <c r="L497" s="126"/>
      <c r="M497" s="324">
        <v>32746618013</v>
      </c>
      <c r="N497" s="196">
        <f>K497-KQKD1!G25</f>
        <v>0</v>
      </c>
    </row>
    <row r="498" spans="1:13" ht="18.75" customHeight="1">
      <c r="A498" s="270"/>
      <c r="B498" s="388"/>
      <c r="C498" s="694" t="s">
        <v>370</v>
      </c>
      <c r="D498" s="218"/>
      <c r="E498" s="218"/>
      <c r="F498" s="218"/>
      <c r="G498" s="260"/>
      <c r="H498" s="260"/>
      <c r="I498" s="218"/>
      <c r="J498" s="218"/>
      <c r="K498" s="351">
        <v>3650366</v>
      </c>
      <c r="L498" s="126"/>
      <c r="M498" s="324">
        <v>22129203</v>
      </c>
    </row>
    <row r="499" spans="1:13" ht="18.75" customHeight="1">
      <c r="A499" s="270"/>
      <c r="B499" s="388"/>
      <c r="C499" s="694" t="s">
        <v>371</v>
      </c>
      <c r="D499" s="218"/>
      <c r="E499" s="218"/>
      <c r="F499" s="218"/>
      <c r="G499" s="260"/>
      <c r="H499" s="260"/>
      <c r="I499" s="218"/>
      <c r="J499" s="218"/>
      <c r="K499" s="351">
        <f>6462898405+171957274</f>
        <v>6634855679</v>
      </c>
      <c r="L499" s="126"/>
      <c r="M499" s="324">
        <v>6593526389</v>
      </c>
    </row>
    <row r="500" spans="1:15" ht="18.75" customHeight="1" thickBot="1">
      <c r="A500" s="270"/>
      <c r="B500" s="388"/>
      <c r="C500" s="773" t="s">
        <v>452</v>
      </c>
      <c r="D500" s="210"/>
      <c r="E500" s="218"/>
      <c r="F500" s="218"/>
      <c r="G500" s="260"/>
      <c r="H500" s="260"/>
      <c r="I500" s="338"/>
      <c r="J500" s="218"/>
      <c r="K500" s="333">
        <f>SUM(K497:K499)</f>
        <v>73652447466</v>
      </c>
      <c r="L500" s="390"/>
      <c r="M500" s="333">
        <f>SUM(M497:M499)</f>
        <v>39362273605</v>
      </c>
      <c r="N500" s="196">
        <f>M500-KQKD1!H24</f>
        <v>0</v>
      </c>
      <c r="O500" s="196">
        <f>K500-KQKD1!G24</f>
        <v>0</v>
      </c>
    </row>
    <row r="501" spans="1:13" ht="43.5" customHeight="1" thickTop="1">
      <c r="A501" s="270"/>
      <c r="B501" s="388"/>
      <c r="C501" s="210"/>
      <c r="D501" s="210"/>
      <c r="E501" s="218"/>
      <c r="F501" s="218"/>
      <c r="G501" s="260"/>
      <c r="H501" s="260"/>
      <c r="I501" s="218"/>
      <c r="J501" s="218"/>
      <c r="K501" s="218"/>
      <c r="L501" s="218"/>
      <c r="M501" s="395"/>
    </row>
    <row r="502" spans="1:15" s="287" customFormat="1" ht="21" customHeight="1">
      <c r="A502" s="267"/>
      <c r="B502" s="764" t="s">
        <v>156</v>
      </c>
      <c r="C502" s="800" t="s">
        <v>759</v>
      </c>
      <c r="D502" s="263"/>
      <c r="E502" s="263"/>
      <c r="F502" s="263"/>
      <c r="G502" s="417"/>
      <c r="H502" s="417"/>
      <c r="I502" s="263"/>
      <c r="J502" s="263"/>
      <c r="K502" s="263"/>
      <c r="L502" s="263"/>
      <c r="M502" s="421"/>
      <c r="N502" s="483"/>
      <c r="O502" s="483"/>
    </row>
    <row r="503" spans="1:15" s="287" customFormat="1" ht="12" customHeight="1">
      <c r="A503" s="267"/>
      <c r="C503" s="341"/>
      <c r="D503" s="263"/>
      <c r="E503" s="263"/>
      <c r="F503" s="263"/>
      <c r="G503" s="417"/>
      <c r="H503" s="417"/>
      <c r="I503" s="263"/>
      <c r="J503" s="263"/>
      <c r="K503" s="263"/>
      <c r="L503" s="263"/>
      <c r="M503" s="421"/>
      <c r="N503" s="483"/>
      <c r="O503" s="483"/>
    </row>
    <row r="504" spans="1:13" ht="54" customHeight="1">
      <c r="A504" s="270"/>
      <c r="B504" s="871" t="s">
        <v>149</v>
      </c>
      <c r="C504" s="872"/>
      <c r="D504" s="872"/>
      <c r="E504" s="872"/>
      <c r="F504" s="872"/>
      <c r="G504" s="872"/>
      <c r="H504" s="872"/>
      <c r="I504" s="872"/>
      <c r="J504" s="872"/>
      <c r="K504" s="872"/>
      <c r="L504" s="872"/>
      <c r="M504" s="872"/>
    </row>
    <row r="505" spans="1:13" ht="15.75" customHeight="1">
      <c r="A505" s="270"/>
      <c r="B505" s="388"/>
      <c r="C505" s="263"/>
      <c r="D505" s="210"/>
      <c r="E505" s="218"/>
      <c r="F505" s="218"/>
      <c r="G505" s="260"/>
      <c r="H505" s="260"/>
      <c r="I505" s="218"/>
      <c r="J505" s="218"/>
      <c r="K505" s="799" t="s">
        <v>130</v>
      </c>
      <c r="L505" s="389"/>
      <c r="M505" s="799" t="s">
        <v>131</v>
      </c>
    </row>
    <row r="506" spans="1:13" ht="3" customHeight="1">
      <c r="A506" s="270"/>
      <c r="B506" s="388"/>
      <c r="C506" s="263"/>
      <c r="D506" s="210"/>
      <c r="E506" s="218"/>
      <c r="F506" s="218"/>
      <c r="G506" s="260"/>
      <c r="H506" s="260"/>
      <c r="I506" s="218"/>
      <c r="J506" s="218"/>
      <c r="K506" s="389"/>
      <c r="L506" s="389"/>
      <c r="M506" s="389"/>
    </row>
    <row r="507" spans="1:13" ht="19.5" customHeight="1">
      <c r="A507" s="270"/>
      <c r="B507" s="388"/>
      <c r="C507" s="694" t="s">
        <v>372</v>
      </c>
      <c r="D507" s="218"/>
      <c r="E507" s="218"/>
      <c r="F507" s="218"/>
      <c r="G507" s="260"/>
      <c r="H507" s="260"/>
      <c r="I507" s="218"/>
      <c r="J507" s="218"/>
      <c r="K507" s="324">
        <f>KQKD1!G45</f>
        <v>72351788242</v>
      </c>
      <c r="L507" s="126"/>
      <c r="M507" s="324">
        <v>17450223425</v>
      </c>
    </row>
    <row r="508" spans="1:13" ht="19.5" customHeight="1">
      <c r="A508" s="270"/>
      <c r="B508" s="388"/>
      <c r="C508" s="694" t="s">
        <v>373</v>
      </c>
      <c r="D508" s="218"/>
      <c r="E508" s="218"/>
      <c r="F508" s="218"/>
      <c r="G508" s="260"/>
      <c r="H508" s="260"/>
      <c r="I508" s="218"/>
      <c r="J508" s="218"/>
      <c r="K508" s="324">
        <f>(13800000*2+4000000*10)/12</f>
        <v>5633333.333333333</v>
      </c>
      <c r="L508" s="126"/>
      <c r="M508" s="324">
        <v>4000000</v>
      </c>
    </row>
    <row r="509" spans="1:13" ht="19.5" customHeight="1" thickBot="1">
      <c r="A509" s="270"/>
      <c r="B509" s="388"/>
      <c r="C509" s="773" t="s">
        <v>452</v>
      </c>
      <c r="D509" s="210"/>
      <c r="E509" s="218"/>
      <c r="F509" s="218"/>
      <c r="G509" s="260"/>
      <c r="H509" s="260"/>
      <c r="I509" s="338"/>
      <c r="J509" s="218"/>
      <c r="K509" s="333">
        <f>K507/K508</f>
        <v>12843.512705680474</v>
      </c>
      <c r="L509" s="390"/>
      <c r="M509" s="333">
        <f>M507/M508</f>
        <v>4362.55585625</v>
      </c>
    </row>
    <row r="510" spans="1:13" ht="13.5" customHeight="1" thickTop="1">
      <c r="A510" s="270"/>
      <c r="B510" s="388"/>
      <c r="C510" s="210"/>
      <c r="D510" s="210"/>
      <c r="E510" s="218"/>
      <c r="F510" s="218"/>
      <c r="G510" s="260"/>
      <c r="H510" s="260"/>
      <c r="I510" s="218"/>
      <c r="J510" s="218"/>
      <c r="K510" s="218"/>
      <c r="L510" s="218"/>
      <c r="M510" s="395"/>
    </row>
    <row r="511" spans="1:8" ht="23.25" customHeight="1">
      <c r="A511" s="270"/>
      <c r="B511" s="764" t="s">
        <v>157</v>
      </c>
      <c r="C511" s="726" t="s">
        <v>374</v>
      </c>
      <c r="G511" s="186"/>
      <c r="H511" s="186"/>
    </row>
    <row r="512" spans="1:13" ht="4.5" customHeight="1">
      <c r="A512" s="270"/>
      <c r="B512" s="388"/>
      <c r="C512" s="289"/>
      <c r="D512" s="289"/>
      <c r="E512" s="289"/>
      <c r="F512" s="289"/>
      <c r="G512" s="289"/>
      <c r="H512" s="289"/>
      <c r="I512" s="289"/>
      <c r="J512" s="289"/>
      <c r="K512" s="289"/>
      <c r="L512" s="289"/>
      <c r="M512" s="289"/>
    </row>
    <row r="513" spans="1:13" ht="15.75" customHeight="1">
      <c r="A513" s="270"/>
      <c r="B513" s="190"/>
      <c r="C513" s="263"/>
      <c r="D513" s="210"/>
      <c r="E513" s="218"/>
      <c r="F513" s="218"/>
      <c r="G513" s="260"/>
      <c r="H513" s="260"/>
      <c r="I513" s="218"/>
      <c r="J513" s="218"/>
      <c r="K513" s="799" t="s">
        <v>130</v>
      </c>
      <c r="L513" s="389"/>
      <c r="M513" s="799" t="s">
        <v>131</v>
      </c>
    </row>
    <row r="514" spans="1:13" ht="2.25" customHeight="1">
      <c r="A514" s="270"/>
      <c r="B514" s="190"/>
      <c r="C514" s="263"/>
      <c r="D514" s="210"/>
      <c r="E514" s="218"/>
      <c r="F514" s="218"/>
      <c r="G514" s="260"/>
      <c r="H514" s="260"/>
      <c r="I514" s="218"/>
      <c r="J514" s="218"/>
      <c r="K514" s="389"/>
      <c r="L514" s="389"/>
      <c r="M514" s="389"/>
    </row>
    <row r="515" spans="1:13" ht="19.5" customHeight="1">
      <c r="A515" s="270"/>
      <c r="B515" s="190"/>
      <c r="C515" s="699" t="s">
        <v>375</v>
      </c>
      <c r="D515" s="210"/>
      <c r="E515" s="218"/>
      <c r="F515" s="218"/>
      <c r="G515" s="260"/>
      <c r="H515" s="260"/>
      <c r="I515" s="218"/>
      <c r="J515" s="218"/>
      <c r="K515" s="126">
        <v>30536364338</v>
      </c>
      <c r="L515" s="126"/>
      <c r="M515" s="196">
        <v>20994546768</v>
      </c>
    </row>
    <row r="516" spans="1:13" ht="19.5" customHeight="1">
      <c r="A516" s="270"/>
      <c r="B516" s="190"/>
      <c r="C516" s="699" t="s">
        <v>376</v>
      </c>
      <c r="D516" s="210"/>
      <c r="E516" s="218"/>
      <c r="F516" s="218"/>
      <c r="G516" s="260"/>
      <c r="H516" s="260"/>
      <c r="I516" s="218"/>
      <c r="J516" s="218"/>
      <c r="K516" s="126">
        <v>37256075680</v>
      </c>
      <c r="L516" s="126"/>
      <c r="M516" s="196">
        <f>16613761264</f>
        <v>16613761264</v>
      </c>
    </row>
    <row r="517" spans="1:13" ht="19.5" customHeight="1">
      <c r="A517" s="270"/>
      <c r="B517" s="190"/>
      <c r="C517" s="699" t="s">
        <v>377</v>
      </c>
      <c r="D517" s="210"/>
      <c r="E517" s="218"/>
      <c r="F517" s="218"/>
      <c r="G517" s="260"/>
      <c r="H517" s="260"/>
      <c r="I517" s="218"/>
      <c r="J517" s="218"/>
      <c r="K517" s="126">
        <f>19590132606-6713755103</f>
        <v>12876377503</v>
      </c>
      <c r="L517" s="126"/>
      <c r="M517" s="196">
        <v>2027014732</v>
      </c>
    </row>
    <row r="518" spans="1:13" ht="19.5" customHeight="1">
      <c r="A518" s="270"/>
      <c r="B518" s="190"/>
      <c r="C518" s="699" t="s">
        <v>378</v>
      </c>
      <c r="D518" s="210"/>
      <c r="E518" s="218"/>
      <c r="F518" s="218"/>
      <c r="G518" s="260"/>
      <c r="H518" s="260"/>
      <c r="I518" s="218"/>
      <c r="J518" s="218"/>
      <c r="K518" s="126">
        <v>73562774014</v>
      </c>
      <c r="L518" s="126"/>
      <c r="M518" s="196">
        <v>28492860481</v>
      </c>
    </row>
    <row r="519" spans="1:13" ht="19.5" customHeight="1">
      <c r="A519" s="270"/>
      <c r="B519" s="190"/>
      <c r="C519" s="699" t="s">
        <v>379</v>
      </c>
      <c r="D519" s="210"/>
      <c r="E519" s="218"/>
      <c r="F519" s="218"/>
      <c r="G519" s="260"/>
      <c r="H519" s="260"/>
      <c r="I519" s="218"/>
      <c r="J519" s="218"/>
      <c r="K519" s="337">
        <v>128286526875</v>
      </c>
      <c r="L519" s="337"/>
      <c r="M519" s="196">
        <v>52893704136</v>
      </c>
    </row>
    <row r="520" spans="1:13" ht="19.5" customHeight="1">
      <c r="A520" s="270"/>
      <c r="B520" s="190"/>
      <c r="C520" s="699" t="s">
        <v>380</v>
      </c>
      <c r="D520" s="210"/>
      <c r="E520" s="218"/>
      <c r="F520" s="218"/>
      <c r="G520" s="260"/>
      <c r="H520" s="260"/>
      <c r="I520" s="218"/>
      <c r="J520" s="218"/>
      <c r="K520" s="126">
        <f>19590132606+32924000-K517-6000000000</f>
        <v>746679103</v>
      </c>
      <c r="L520" s="126"/>
      <c r="M520" s="196">
        <v>833232047</v>
      </c>
    </row>
    <row r="521" spans="1:13" ht="19.5" customHeight="1" thickBot="1">
      <c r="A521" s="270"/>
      <c r="B521" s="190"/>
      <c r="C521" s="773" t="s">
        <v>452</v>
      </c>
      <c r="D521" s="210"/>
      <c r="E521" s="218"/>
      <c r="F521" s="218"/>
      <c r="G521" s="260"/>
      <c r="H521" s="260"/>
      <c r="I521" s="218"/>
      <c r="J521" s="218"/>
      <c r="K521" s="391">
        <f>SUM(K515:K520)</f>
        <v>283264797513</v>
      </c>
      <c r="L521" s="215"/>
      <c r="M521" s="391">
        <f>SUM(M515:M520)</f>
        <v>121855119428</v>
      </c>
    </row>
    <row r="522" spans="1:13" ht="16.5" customHeight="1" thickTop="1">
      <c r="A522" s="270"/>
      <c r="B522" s="190"/>
      <c r="C522" s="210"/>
      <c r="D522" s="210"/>
      <c r="E522" s="218"/>
      <c r="F522" s="218"/>
      <c r="G522" s="260"/>
      <c r="H522" s="260"/>
      <c r="I522" s="218"/>
      <c r="J522" s="218"/>
      <c r="K522" s="215"/>
      <c r="L522" s="215"/>
      <c r="M522" s="395"/>
    </row>
    <row r="523" spans="1:13" ht="18" customHeight="1">
      <c r="A523" s="423"/>
      <c r="B523" s="801" t="s">
        <v>159</v>
      </c>
      <c r="C523" s="791" t="s">
        <v>381</v>
      </c>
      <c r="D523" s="356"/>
      <c r="E523" s="262"/>
      <c r="F523" s="262"/>
      <c r="G523" s="425"/>
      <c r="H523" s="425"/>
      <c r="I523" s="262"/>
      <c r="J523" s="262"/>
      <c r="K523" s="262"/>
      <c r="L523" s="262"/>
      <c r="M523" s="426"/>
    </row>
    <row r="524" spans="1:13" ht="16.5" customHeight="1" hidden="1">
      <c r="A524" s="423"/>
      <c r="B524" s="802" t="s">
        <v>679</v>
      </c>
      <c r="C524" s="791" t="s">
        <v>240</v>
      </c>
      <c r="D524" s="356"/>
      <c r="E524" s="262"/>
      <c r="F524" s="262"/>
      <c r="G524" s="425"/>
      <c r="H524" s="425"/>
      <c r="I524" s="262"/>
      <c r="J524" s="262"/>
      <c r="K524" s="262"/>
      <c r="L524" s="262"/>
      <c r="M524" s="426"/>
    </row>
    <row r="525" spans="1:13" ht="13.5">
      <c r="A525" s="270"/>
      <c r="B525" s="190"/>
      <c r="C525" s="734" t="s">
        <v>241</v>
      </c>
      <c r="D525" s="735"/>
      <c r="E525" s="735"/>
      <c r="F525" s="735"/>
      <c r="G525" s="735"/>
      <c r="H525" s="735"/>
      <c r="I525" s="735"/>
      <c r="J525" s="735"/>
      <c r="K525" s="735"/>
      <c r="L525" s="735"/>
      <c r="M525" s="735"/>
    </row>
    <row r="526" spans="1:15" s="299" customFormat="1" ht="14.25">
      <c r="A526" s="423"/>
      <c r="B526" s="356"/>
      <c r="C526" s="352"/>
      <c r="D526" s="356"/>
      <c r="E526" s="262"/>
      <c r="F526" s="262"/>
      <c r="G526" s="425"/>
      <c r="H526" s="425"/>
      <c r="I526" s="337"/>
      <c r="J526" s="337"/>
      <c r="K526" s="534"/>
      <c r="L526" s="534"/>
      <c r="M526" s="803" t="s">
        <v>130</v>
      </c>
      <c r="N526" s="411"/>
      <c r="O526" s="411"/>
    </row>
    <row r="527" spans="1:15" s="299" customFormat="1" ht="3" customHeight="1">
      <c r="A527" s="423"/>
      <c r="B527" s="356"/>
      <c r="C527" s="352"/>
      <c r="D527" s="356"/>
      <c r="E527" s="262"/>
      <c r="F527" s="262"/>
      <c r="G527" s="425"/>
      <c r="H527" s="425"/>
      <c r="I527" s="337"/>
      <c r="J527" s="337"/>
      <c r="K527" s="534"/>
      <c r="L527" s="534"/>
      <c r="M527" s="534"/>
      <c r="N527" s="411"/>
      <c r="O527" s="411"/>
    </row>
    <row r="528" spans="1:15" s="412" customFormat="1" ht="14.25">
      <c r="A528" s="392"/>
      <c r="B528" s="424"/>
      <c r="C528" s="791" t="s">
        <v>242</v>
      </c>
      <c r="D528" s="424"/>
      <c r="E528" s="352"/>
      <c r="F528" s="352"/>
      <c r="G528" s="535"/>
      <c r="H528" s="535"/>
      <c r="I528" s="536"/>
      <c r="J528" s="536"/>
      <c r="K528" s="537"/>
      <c r="L528" s="537"/>
      <c r="M528" s="536">
        <f>KQKD1!G38</f>
        <v>82238903006</v>
      </c>
      <c r="N528" s="538"/>
      <c r="O528" s="538"/>
    </row>
    <row r="529" spans="1:15" s="412" customFormat="1" ht="13.5">
      <c r="A529" s="392"/>
      <c r="B529" s="424"/>
      <c r="C529" s="424"/>
      <c r="D529" s="424"/>
      <c r="E529" s="352"/>
      <c r="F529" s="352"/>
      <c r="G529" s="535"/>
      <c r="H529" s="535"/>
      <c r="I529" s="536"/>
      <c r="J529" s="536"/>
      <c r="K529" s="537"/>
      <c r="L529" s="537"/>
      <c r="M529" s="536"/>
      <c r="N529" s="538"/>
      <c r="O529" s="538"/>
    </row>
    <row r="530" spans="1:15" s="412" customFormat="1" ht="14.25">
      <c r="A530" s="392"/>
      <c r="B530" s="424"/>
      <c r="C530" s="791" t="s">
        <v>243</v>
      </c>
      <c r="D530" s="424"/>
      <c r="E530" s="352"/>
      <c r="F530" s="352"/>
      <c r="G530" s="535"/>
      <c r="H530" s="535"/>
      <c r="I530" s="536"/>
      <c r="J530" s="536"/>
      <c r="K530" s="537"/>
      <c r="L530" s="537"/>
      <c r="M530" s="536">
        <f>M532-M533</f>
        <v>21933983711</v>
      </c>
      <c r="N530" s="538"/>
      <c r="O530" s="538"/>
    </row>
    <row r="531" spans="1:15" s="412" customFormat="1" ht="13.5">
      <c r="A531" s="392"/>
      <c r="B531" s="424"/>
      <c r="C531" s="424"/>
      <c r="D531" s="424"/>
      <c r="E531" s="352"/>
      <c r="F531" s="352"/>
      <c r="G531" s="535"/>
      <c r="H531" s="535"/>
      <c r="I531" s="536"/>
      <c r="J531" s="536"/>
      <c r="K531" s="537"/>
      <c r="L531" s="537"/>
      <c r="M531" s="536"/>
      <c r="N531" s="538"/>
      <c r="O531" s="538"/>
    </row>
    <row r="532" spans="1:15" s="299" customFormat="1" ht="13.5">
      <c r="A532" s="423"/>
      <c r="B532" s="356"/>
      <c r="C532" s="720" t="s">
        <v>244</v>
      </c>
      <c r="D532" s="539"/>
      <c r="E532" s="262"/>
      <c r="F532" s="262"/>
      <c r="G532" s="425"/>
      <c r="H532" s="425"/>
      <c r="I532" s="262"/>
      <c r="J532" s="262"/>
      <c r="K532" s="337"/>
      <c r="L532" s="337"/>
      <c r="M532" s="426">
        <f>27031223512+93186027</f>
        <v>27124409539</v>
      </c>
      <c r="N532" s="411"/>
      <c r="O532" s="411"/>
    </row>
    <row r="533" spans="1:15" s="299" customFormat="1" ht="13.5">
      <c r="A533" s="423"/>
      <c r="B533" s="356"/>
      <c r="C533" s="720" t="s">
        <v>245</v>
      </c>
      <c r="D533" s="356"/>
      <c r="E533" s="262"/>
      <c r="F533" s="262"/>
      <c r="G533" s="425"/>
      <c r="H533" s="425"/>
      <c r="I533" s="262"/>
      <c r="J533" s="262"/>
      <c r="K533" s="337"/>
      <c r="L533" s="337"/>
      <c r="M533" s="426">
        <v>5190425828</v>
      </c>
      <c r="N533" s="411"/>
      <c r="O533" s="411"/>
    </row>
    <row r="534" spans="1:15" s="466" customFormat="1" ht="13.5">
      <c r="A534" s="392"/>
      <c r="B534" s="424"/>
      <c r="C534" s="488"/>
      <c r="D534" s="488"/>
      <c r="E534" s="329"/>
      <c r="F534" s="329"/>
      <c r="G534" s="330"/>
      <c r="H534" s="330"/>
      <c r="I534" s="329"/>
      <c r="J534" s="329"/>
      <c r="K534" s="343"/>
      <c r="L534" s="343"/>
      <c r="M534" s="540"/>
      <c r="N534" s="464"/>
      <c r="O534" s="464"/>
    </row>
    <row r="535" spans="1:15" s="412" customFormat="1" ht="14.25">
      <c r="A535" s="392"/>
      <c r="B535" s="424"/>
      <c r="C535" s="791" t="s">
        <v>246</v>
      </c>
      <c r="D535" s="424"/>
      <c r="E535" s="352"/>
      <c r="F535" s="352"/>
      <c r="G535" s="535"/>
      <c r="H535" s="535"/>
      <c r="I535" s="352"/>
      <c r="J535" s="352"/>
      <c r="K535" s="537"/>
      <c r="L535" s="537"/>
      <c r="M535" s="536">
        <f>M528+M532-M533</f>
        <v>104172886717</v>
      </c>
      <c r="N535" s="538"/>
      <c r="O535" s="538"/>
    </row>
    <row r="536" spans="1:15" s="412" customFormat="1" ht="13.5">
      <c r="A536" s="392"/>
      <c r="B536" s="424"/>
      <c r="C536" s="424"/>
      <c r="D536" s="804" t="s">
        <v>247</v>
      </c>
      <c r="E536" s="352"/>
      <c r="F536" s="352"/>
      <c r="G536" s="535"/>
      <c r="H536" s="535"/>
      <c r="I536" s="352"/>
      <c r="J536" s="352"/>
      <c r="K536" s="537"/>
      <c r="L536" s="537"/>
      <c r="M536" s="540">
        <v>61575245880</v>
      </c>
      <c r="N536" s="538"/>
      <c r="O536" s="538"/>
    </row>
    <row r="537" spans="1:15" s="412" customFormat="1" ht="13.5">
      <c r="A537" s="392"/>
      <c r="B537" s="424"/>
      <c r="C537" s="424"/>
      <c r="D537" s="804" t="s">
        <v>248</v>
      </c>
      <c r="E537" s="352"/>
      <c r="F537" s="352"/>
      <c r="G537" s="535"/>
      <c r="H537" s="535"/>
      <c r="I537" s="352"/>
      <c r="J537" s="352"/>
      <c r="K537" s="537"/>
      <c r="L537" s="537"/>
      <c r="M537" s="540">
        <f>M535-M536</f>
        <v>42597640837</v>
      </c>
      <c r="N537" s="538"/>
      <c r="O537" s="538"/>
    </row>
    <row r="538" spans="1:15" s="412" customFormat="1" ht="13.5">
      <c r="A538" s="392"/>
      <c r="B538" s="424"/>
      <c r="C538" s="424"/>
      <c r="D538" s="488"/>
      <c r="E538" s="352"/>
      <c r="F538" s="352"/>
      <c r="G538" s="535"/>
      <c r="H538" s="535"/>
      <c r="I538" s="352"/>
      <c r="J538" s="352"/>
      <c r="K538" s="537"/>
      <c r="L538" s="537"/>
      <c r="M538" s="540"/>
      <c r="N538" s="538"/>
      <c r="O538" s="538"/>
    </row>
    <row r="539" spans="1:15" s="412" customFormat="1" ht="14.25">
      <c r="A539" s="392"/>
      <c r="B539" s="424"/>
      <c r="C539" s="791" t="s">
        <v>249</v>
      </c>
      <c r="D539" s="424"/>
      <c r="E539" s="352"/>
      <c r="F539" s="352"/>
      <c r="G539" s="535"/>
      <c r="H539" s="535"/>
      <c r="I539" s="541"/>
      <c r="J539" s="541"/>
      <c r="K539" s="537"/>
      <c r="L539" s="537"/>
      <c r="M539" s="536">
        <f>M536*0.1+(M537*0.14)</f>
        <v>12121194305.18</v>
      </c>
      <c r="N539" s="538"/>
      <c r="O539" s="538"/>
    </row>
    <row r="540" spans="1:15" s="412" customFormat="1" ht="13.5">
      <c r="A540" s="392"/>
      <c r="B540" s="424"/>
      <c r="C540" s="424"/>
      <c r="D540" s="424"/>
      <c r="E540" s="352"/>
      <c r="F540" s="352"/>
      <c r="G540" s="535"/>
      <c r="H540" s="535"/>
      <c r="I540" s="541"/>
      <c r="J540" s="541"/>
      <c r="K540" s="537"/>
      <c r="L540" s="537"/>
      <c r="M540" s="536"/>
      <c r="N540" s="538"/>
      <c r="O540" s="538"/>
    </row>
    <row r="541" spans="1:15" s="412" customFormat="1" ht="15" thickBot="1">
      <c r="A541" s="392"/>
      <c r="B541" s="424"/>
      <c r="C541" s="791" t="s">
        <v>250</v>
      </c>
      <c r="D541" s="352"/>
      <c r="E541" s="352"/>
      <c r="F541" s="352"/>
      <c r="G541" s="535"/>
      <c r="H541" s="535"/>
      <c r="I541" s="352"/>
      <c r="J541" s="352"/>
      <c r="K541" s="537"/>
      <c r="L541" s="537"/>
      <c r="M541" s="542">
        <f>+M528-M539</f>
        <v>70117708700.82</v>
      </c>
      <c r="N541" s="538"/>
      <c r="O541" s="538"/>
    </row>
    <row r="542" spans="1:15" s="299" customFormat="1" ht="8.25" customHeight="1" thickTop="1">
      <c r="A542" s="423"/>
      <c r="B542" s="356"/>
      <c r="C542" s="488"/>
      <c r="D542" s="489"/>
      <c r="E542" s="262"/>
      <c r="F542" s="262"/>
      <c r="G542" s="425"/>
      <c r="H542" s="425"/>
      <c r="I542" s="262"/>
      <c r="J542" s="262"/>
      <c r="K542" s="262"/>
      <c r="L542" s="262"/>
      <c r="M542" s="540"/>
      <c r="N542" s="411"/>
      <c r="O542" s="411"/>
    </row>
    <row r="543" spans="1:8" ht="18.75" customHeight="1">
      <c r="A543" s="270"/>
      <c r="B543" s="764" t="s">
        <v>160</v>
      </c>
      <c r="C543" s="726" t="s">
        <v>251</v>
      </c>
      <c r="G543" s="186"/>
      <c r="H543" s="186"/>
    </row>
    <row r="544" spans="1:13" ht="4.5" customHeight="1">
      <c r="A544" s="270"/>
      <c r="B544" s="388"/>
      <c r="C544" s="289"/>
      <c r="D544" s="289"/>
      <c r="E544" s="289"/>
      <c r="F544" s="289"/>
      <c r="G544" s="289"/>
      <c r="H544" s="289"/>
      <c r="I544" s="289"/>
      <c r="J544" s="289"/>
      <c r="K544" s="289"/>
      <c r="L544" s="289"/>
      <c r="M544" s="289"/>
    </row>
    <row r="545" spans="1:13" ht="15.75" customHeight="1">
      <c r="A545" s="270"/>
      <c r="B545" s="190"/>
      <c r="C545" s="263"/>
      <c r="D545" s="210"/>
      <c r="E545" s="218"/>
      <c r="F545" s="218"/>
      <c r="G545" s="260"/>
      <c r="H545" s="260"/>
      <c r="I545" s="218"/>
      <c r="J545" s="218"/>
      <c r="K545" s="389"/>
      <c r="L545" s="389"/>
      <c r="M545" s="799" t="s">
        <v>130</v>
      </c>
    </row>
    <row r="546" spans="1:13" ht="2.25" customHeight="1">
      <c r="A546" s="270"/>
      <c r="B546" s="190"/>
      <c r="C546" s="263"/>
      <c r="D546" s="210"/>
      <c r="E546" s="218"/>
      <c r="F546" s="218"/>
      <c r="G546" s="260"/>
      <c r="H546" s="260"/>
      <c r="I546" s="218"/>
      <c r="J546" s="218"/>
      <c r="K546" s="389"/>
      <c r="L546" s="389"/>
      <c r="M546" s="389"/>
    </row>
    <row r="547" spans="1:13" ht="19.5" customHeight="1">
      <c r="A547" s="270"/>
      <c r="B547" s="190"/>
      <c r="C547" s="699" t="s">
        <v>252</v>
      </c>
      <c r="D547" s="210"/>
      <c r="E547" s="218"/>
      <c r="F547" s="218"/>
      <c r="G547" s="260"/>
      <c r="H547" s="260"/>
      <c r="I547" s="218"/>
      <c r="J547" s="218"/>
      <c r="K547" s="126"/>
      <c r="L547" s="126"/>
      <c r="M547" s="196">
        <v>27031223512</v>
      </c>
    </row>
    <row r="548" spans="1:13" ht="19.5" customHeight="1">
      <c r="A548" s="270"/>
      <c r="B548" s="190"/>
      <c r="C548" s="699" t="s">
        <v>253</v>
      </c>
      <c r="D548" s="210"/>
      <c r="E548" s="218"/>
      <c r="F548" s="218"/>
      <c r="G548" s="260"/>
      <c r="H548" s="260"/>
      <c r="I548" s="218"/>
      <c r="J548" s="218"/>
      <c r="K548" s="126"/>
      <c r="L548" s="126"/>
      <c r="M548" s="196">
        <f>M547*0.1</f>
        <v>2703122351.2000003</v>
      </c>
    </row>
    <row r="549" spans="1:13" ht="19.5" customHeight="1">
      <c r="A549" s="270"/>
      <c r="B549" s="190"/>
      <c r="C549" s="699" t="s">
        <v>254</v>
      </c>
      <c r="D549" s="210"/>
      <c r="E549" s="218"/>
      <c r="F549" s="218"/>
      <c r="G549" s="260"/>
      <c r="H549" s="260"/>
      <c r="I549" s="218"/>
      <c r="J549" s="218"/>
      <c r="K549" s="126"/>
      <c r="L549" s="126"/>
      <c r="M549" s="196">
        <v>469042882</v>
      </c>
    </row>
    <row r="550" spans="1:13" ht="19.5" customHeight="1">
      <c r="A550" s="270"/>
      <c r="B550" s="190"/>
      <c r="C550" s="699" t="s">
        <v>255</v>
      </c>
      <c r="D550" s="210"/>
      <c r="E550" s="218"/>
      <c r="F550" s="218"/>
      <c r="G550" s="260"/>
      <c r="H550" s="260"/>
      <c r="I550" s="218"/>
      <c r="J550" s="218"/>
      <c r="K550" s="126"/>
      <c r="L550" s="126"/>
      <c r="M550" s="196">
        <f>M548-M549</f>
        <v>2234079469.2000003</v>
      </c>
    </row>
    <row r="551" spans="1:13" ht="19.5" customHeight="1">
      <c r="A551" s="270"/>
      <c r="B551" s="190"/>
      <c r="C551" s="218"/>
      <c r="D551" s="210"/>
      <c r="E551" s="218"/>
      <c r="F551" s="218"/>
      <c r="G551" s="260"/>
      <c r="H551" s="260"/>
      <c r="I551" s="218"/>
      <c r="J551" s="218"/>
      <c r="K551" s="126"/>
      <c r="L551" s="126"/>
      <c r="M551" s="196"/>
    </row>
    <row r="552" spans="1:13" ht="13.5">
      <c r="A552" s="798" t="s">
        <v>775</v>
      </c>
      <c r="C552" s="879" t="s">
        <v>256</v>
      </c>
      <c r="D552" s="880"/>
      <c r="E552" s="880"/>
      <c r="F552" s="880"/>
      <c r="G552" s="880"/>
      <c r="H552" s="880"/>
      <c r="I552" s="880"/>
      <c r="J552" s="880"/>
      <c r="K552" s="880"/>
      <c r="L552" s="880"/>
      <c r="M552" s="880"/>
    </row>
    <row r="553" spans="1:13" ht="6.75" customHeight="1">
      <c r="A553" s="423"/>
      <c r="B553" s="356"/>
      <c r="C553" s="356"/>
      <c r="D553" s="356"/>
      <c r="E553" s="262"/>
      <c r="F553" s="262"/>
      <c r="G553" s="425"/>
      <c r="H553" s="425"/>
      <c r="I553" s="262"/>
      <c r="J553" s="262"/>
      <c r="K553" s="262"/>
      <c r="L553" s="262"/>
      <c r="M553" s="428"/>
    </row>
    <row r="554" spans="1:13" ht="41.25" customHeight="1">
      <c r="A554" s="423"/>
      <c r="B554" s="650" t="s">
        <v>257</v>
      </c>
      <c r="C554" s="863"/>
      <c r="D554" s="863"/>
      <c r="E554" s="863"/>
      <c r="F554" s="863"/>
      <c r="G554" s="863"/>
      <c r="H554" s="863"/>
      <c r="I554" s="863"/>
      <c r="J554" s="863"/>
      <c r="K554" s="863"/>
      <c r="L554" s="863"/>
      <c r="M554" s="863"/>
    </row>
    <row r="555" spans="1:13" ht="6" customHeight="1">
      <c r="A555" s="423"/>
      <c r="B555" s="356"/>
      <c r="C555" s="356"/>
      <c r="D555" s="356"/>
      <c r="E555" s="262"/>
      <c r="F555" s="262"/>
      <c r="G555" s="425"/>
      <c r="H555" s="425"/>
      <c r="I555" s="262"/>
      <c r="J555" s="262"/>
      <c r="K555" s="262"/>
      <c r="L555" s="262"/>
      <c r="M555" s="428"/>
    </row>
    <row r="556" spans="1:13" ht="23.25" customHeight="1">
      <c r="A556" s="805" t="s">
        <v>774</v>
      </c>
      <c r="C556" s="674" t="s">
        <v>258</v>
      </c>
      <c r="D556" s="210"/>
      <c r="E556" s="218"/>
      <c r="F556" s="218"/>
      <c r="G556" s="260"/>
      <c r="H556" s="260"/>
      <c r="I556" s="218"/>
      <c r="J556" s="218"/>
      <c r="K556" s="218"/>
      <c r="L556" s="218"/>
      <c r="M556" s="395"/>
    </row>
    <row r="557" spans="1:13" ht="10.5" customHeight="1">
      <c r="A557" s="270"/>
      <c r="B557" s="190"/>
      <c r="C557" s="210"/>
      <c r="D557" s="210"/>
      <c r="E557" s="218"/>
      <c r="F557" s="218"/>
      <c r="G557" s="260"/>
      <c r="H557" s="260"/>
      <c r="I557" s="218"/>
      <c r="J557" s="218"/>
      <c r="K557" s="218"/>
      <c r="L557" s="218"/>
      <c r="M557" s="395"/>
    </row>
    <row r="558" spans="1:15" s="544" customFormat="1" ht="18" customHeight="1">
      <c r="A558" s="543"/>
      <c r="B558" s="745" t="s">
        <v>147</v>
      </c>
      <c r="C558" s="806" t="s">
        <v>259</v>
      </c>
      <c r="D558" s="386"/>
      <c r="E558" s="386"/>
      <c r="F558" s="386"/>
      <c r="G558" s="386"/>
      <c r="H558" s="480"/>
      <c r="I558" s="480"/>
      <c r="J558" s="480"/>
      <c r="K558" s="480"/>
      <c r="L558" s="480"/>
      <c r="M558" s="386"/>
      <c r="O558" s="545"/>
    </row>
    <row r="559" spans="1:15" s="544" customFormat="1" ht="62.25" customHeight="1">
      <c r="A559" s="546"/>
      <c r="B559" s="881" t="s">
        <v>142</v>
      </c>
      <c r="C559" s="877"/>
      <c r="D559" s="877"/>
      <c r="E559" s="877"/>
      <c r="F559" s="877"/>
      <c r="G559" s="877"/>
      <c r="H559" s="877"/>
      <c r="I559" s="877"/>
      <c r="J559" s="877"/>
      <c r="K559" s="877"/>
      <c r="L559" s="877"/>
      <c r="M559" s="878"/>
      <c r="O559" s="545"/>
    </row>
    <row r="560" spans="1:15" s="544" customFormat="1" ht="65.25" customHeight="1">
      <c r="A560" s="546"/>
      <c r="B560" s="881" t="s">
        <v>143</v>
      </c>
      <c r="C560" s="877"/>
      <c r="D560" s="877"/>
      <c r="E560" s="877"/>
      <c r="F560" s="877"/>
      <c r="G560" s="877"/>
      <c r="H560" s="877"/>
      <c r="I560" s="877"/>
      <c r="J560" s="877"/>
      <c r="K560" s="877"/>
      <c r="L560" s="877"/>
      <c r="M560" s="878"/>
      <c r="O560" s="545"/>
    </row>
    <row r="561" spans="2:15" s="544" customFormat="1" ht="9.75" customHeight="1">
      <c r="B561" s="559"/>
      <c r="C561" s="559"/>
      <c r="D561" s="386"/>
      <c r="E561" s="386"/>
      <c r="F561" s="386"/>
      <c r="G561" s="386"/>
      <c r="H561" s="480"/>
      <c r="I561" s="480"/>
      <c r="J561" s="480"/>
      <c r="K561" s="480"/>
      <c r="L561" s="480"/>
      <c r="M561" s="386"/>
      <c r="O561" s="545"/>
    </row>
    <row r="562" spans="1:15" s="544" customFormat="1" ht="20.25" customHeight="1">
      <c r="A562" s="543"/>
      <c r="B562" s="745" t="s">
        <v>148</v>
      </c>
      <c r="C562" s="806" t="s">
        <v>260</v>
      </c>
      <c r="D562" s="386"/>
      <c r="E562" s="386"/>
      <c r="F562" s="386"/>
      <c r="G562" s="386"/>
      <c r="H562" s="480"/>
      <c r="I562" s="480"/>
      <c r="J562" s="480"/>
      <c r="K562" s="480"/>
      <c r="L562" s="480"/>
      <c r="M562" s="386"/>
      <c r="O562" s="545"/>
    </row>
    <row r="563" spans="1:15" s="544" customFormat="1" ht="6.75" customHeight="1">
      <c r="A563" s="543"/>
      <c r="B563" s="312"/>
      <c r="C563" s="558"/>
      <c r="D563" s="386"/>
      <c r="E563" s="386"/>
      <c r="F563" s="386"/>
      <c r="G563" s="386"/>
      <c r="H563" s="480"/>
      <c r="I563" s="480"/>
      <c r="J563" s="480"/>
      <c r="K563" s="480"/>
      <c r="L563" s="480"/>
      <c r="M563" s="386"/>
      <c r="O563" s="545"/>
    </row>
    <row r="564" spans="1:15" s="544" customFormat="1" ht="36" customHeight="1">
      <c r="A564" s="546"/>
      <c r="B564" s="876" t="s">
        <v>261</v>
      </c>
      <c r="C564" s="877"/>
      <c r="D564" s="877"/>
      <c r="E564" s="877"/>
      <c r="F564" s="877"/>
      <c r="G564" s="877"/>
      <c r="H564" s="877"/>
      <c r="I564" s="877"/>
      <c r="J564" s="877"/>
      <c r="K564" s="877"/>
      <c r="L564" s="877"/>
      <c r="M564" s="878"/>
      <c r="O564" s="545"/>
    </row>
    <row r="565" spans="2:15" s="546" customFormat="1" ht="9" customHeight="1">
      <c r="B565" s="552"/>
      <c r="C565" s="552"/>
      <c r="D565" s="249"/>
      <c r="E565" s="249"/>
      <c r="F565" s="249"/>
      <c r="G565" s="249"/>
      <c r="H565" s="553"/>
      <c r="I565" s="553"/>
      <c r="J565" s="553"/>
      <c r="K565" s="553"/>
      <c r="L565" s="553"/>
      <c r="M565" s="249"/>
      <c r="O565" s="547"/>
    </row>
    <row r="566" spans="1:15" s="546" customFormat="1" ht="18" customHeight="1">
      <c r="A566" s="543"/>
      <c r="B566" s="807" t="s">
        <v>152</v>
      </c>
      <c r="C566" s="808" t="s">
        <v>262</v>
      </c>
      <c r="D566" s="249"/>
      <c r="E566" s="249"/>
      <c r="F566" s="249"/>
      <c r="G566" s="249"/>
      <c r="H566" s="553"/>
      <c r="I566" s="553"/>
      <c r="J566" s="553"/>
      <c r="K566" s="553"/>
      <c r="L566" s="553"/>
      <c r="M566" s="249"/>
      <c r="O566" s="547"/>
    </row>
    <row r="567" spans="1:15" s="546" customFormat="1" ht="7.5" customHeight="1">
      <c r="A567" s="543"/>
      <c r="B567" s="357"/>
      <c r="C567" s="552"/>
      <c r="D567" s="249"/>
      <c r="E567" s="249"/>
      <c r="F567" s="249"/>
      <c r="G567" s="249"/>
      <c r="H567" s="553"/>
      <c r="I567" s="553"/>
      <c r="J567" s="553"/>
      <c r="K567" s="553"/>
      <c r="L567" s="553"/>
      <c r="M567" s="249"/>
      <c r="O567" s="547"/>
    </row>
    <row r="568" spans="1:11" s="386" customFormat="1" ht="20.25" customHeight="1">
      <c r="A568" s="548"/>
      <c r="B568" s="809" t="s">
        <v>263</v>
      </c>
      <c r="C568" s="549"/>
      <c r="H568" s="480"/>
      <c r="I568" s="480"/>
      <c r="J568" s="480"/>
      <c r="K568" s="480"/>
    </row>
    <row r="569" spans="1:11" s="386" customFormat="1" ht="6" customHeight="1">
      <c r="A569" s="548"/>
      <c r="C569" s="549"/>
      <c r="H569" s="480"/>
      <c r="I569" s="480"/>
      <c r="J569" s="480"/>
      <c r="K569" s="480"/>
    </row>
    <row r="570" spans="1:13" s="386" customFormat="1" ht="21.75" customHeight="1">
      <c r="A570" s="548"/>
      <c r="B570" s="810" t="s">
        <v>498</v>
      </c>
      <c r="C570" s="549"/>
      <c r="F570" s="812" t="s">
        <v>266</v>
      </c>
      <c r="H570" s="814" t="s">
        <v>268</v>
      </c>
      <c r="J570" s="554"/>
      <c r="K570" s="810" t="s">
        <v>264</v>
      </c>
      <c r="L570" s="550"/>
      <c r="M570" s="811" t="s">
        <v>265</v>
      </c>
    </row>
    <row r="571" spans="1:15" s="546" customFormat="1" ht="18" customHeight="1">
      <c r="A571" s="543"/>
      <c r="B571" s="874" t="s">
        <v>320</v>
      </c>
      <c r="C571" s="875"/>
      <c r="D571" s="875"/>
      <c r="E571" s="562"/>
      <c r="F571" s="813" t="s">
        <v>267</v>
      </c>
      <c r="H571" s="815" t="s">
        <v>269</v>
      </c>
      <c r="J571" s="553"/>
      <c r="K571" s="565">
        <f>M571</f>
        <v>42000000000</v>
      </c>
      <c r="L571" s="553"/>
      <c r="M571" s="553">
        <f>K325</f>
        <v>42000000000</v>
      </c>
      <c r="O571" s="547"/>
    </row>
    <row r="572" spans="1:15" s="546" customFormat="1" ht="18" customHeight="1">
      <c r="A572" s="543"/>
      <c r="B572" s="875"/>
      <c r="C572" s="875"/>
      <c r="D572" s="875"/>
      <c r="E572" s="562"/>
      <c r="F572" s="249"/>
      <c r="G572" s="249"/>
      <c r="H572" s="815" t="s">
        <v>270</v>
      </c>
      <c r="J572" s="553"/>
      <c r="K572" s="553">
        <v>509639356828</v>
      </c>
      <c r="L572" s="553"/>
      <c r="M572" s="553">
        <f>K405</f>
        <v>459838906450</v>
      </c>
      <c r="O572" s="547"/>
    </row>
    <row r="573" spans="1:15" s="546" customFormat="1" ht="18" customHeight="1">
      <c r="A573" s="543"/>
      <c r="B573" s="875"/>
      <c r="C573" s="875"/>
      <c r="D573" s="875"/>
      <c r="E573" s="562"/>
      <c r="F573" s="249"/>
      <c r="G573" s="249"/>
      <c r="H573" s="815" t="s">
        <v>271</v>
      </c>
      <c r="J573" s="553"/>
      <c r="K573" s="553">
        <v>103553186378</v>
      </c>
      <c r="L573" s="553"/>
      <c r="M573" s="553"/>
      <c r="O573" s="547"/>
    </row>
    <row r="574" spans="1:15" s="546" customFormat="1" ht="20.25" customHeight="1">
      <c r="A574" s="543"/>
      <c r="B574" s="249"/>
      <c r="C574" s="249"/>
      <c r="D574" s="249"/>
      <c r="E574" s="249"/>
      <c r="F574" s="249"/>
      <c r="G574" s="249"/>
      <c r="H574" s="815" t="s">
        <v>310</v>
      </c>
      <c r="J574" s="553"/>
      <c r="K574" s="609">
        <v>5488771623</v>
      </c>
      <c r="L574" s="553"/>
      <c r="M574" s="553"/>
      <c r="O574" s="547"/>
    </row>
    <row r="575" spans="1:15" s="546" customFormat="1" ht="18" customHeight="1">
      <c r="A575" s="543"/>
      <c r="B575" s="249"/>
      <c r="C575" s="249"/>
      <c r="D575" s="249"/>
      <c r="E575" s="249"/>
      <c r="F575" s="249"/>
      <c r="G575" s="556"/>
      <c r="H575" s="815" t="s">
        <v>272</v>
      </c>
      <c r="J575" s="561"/>
      <c r="K575" s="561">
        <v>319000000000</v>
      </c>
      <c r="L575" s="553"/>
      <c r="M575" s="553">
        <f>-K575</f>
        <v>-319000000000</v>
      </c>
      <c r="O575" s="547"/>
    </row>
    <row r="576" spans="1:15" s="546" customFormat="1" ht="5.25" customHeight="1">
      <c r="A576" s="543"/>
      <c r="B576" s="249"/>
      <c r="C576" s="249"/>
      <c r="D576" s="249"/>
      <c r="E576" s="249"/>
      <c r="F576" s="249"/>
      <c r="G576" s="249"/>
      <c r="H576" s="553"/>
      <c r="I576" s="553"/>
      <c r="J576" s="553"/>
      <c r="K576" s="553"/>
      <c r="L576" s="553"/>
      <c r="M576" s="553"/>
      <c r="O576" s="547"/>
    </row>
    <row r="577" spans="1:13" s="386" customFormat="1" ht="21.75" customHeight="1">
      <c r="A577" s="548"/>
      <c r="B577" s="812" t="s">
        <v>498</v>
      </c>
      <c r="C577" s="549"/>
      <c r="F577" s="812" t="s">
        <v>266</v>
      </c>
      <c r="H577" s="814" t="s">
        <v>268</v>
      </c>
      <c r="J577" s="554"/>
      <c r="K577" s="812" t="s">
        <v>264</v>
      </c>
      <c r="L577" s="550"/>
      <c r="M577" s="811" t="s">
        <v>265</v>
      </c>
    </row>
    <row r="578" spans="1:15" s="546" customFormat="1" ht="7.5" customHeight="1">
      <c r="A578" s="543"/>
      <c r="B578" s="249"/>
      <c r="C578" s="249"/>
      <c r="D578" s="249"/>
      <c r="E578" s="249"/>
      <c r="F578" s="249"/>
      <c r="G578" s="249"/>
      <c r="H578" s="553"/>
      <c r="I578" s="553"/>
      <c r="J578" s="553"/>
      <c r="K578" s="553"/>
      <c r="L578" s="553"/>
      <c r="M578" s="553"/>
      <c r="O578" s="547"/>
    </row>
    <row r="579" spans="1:15" s="546" customFormat="1" ht="18" customHeight="1">
      <c r="A579" s="543"/>
      <c r="B579" s="885" t="s">
        <v>317</v>
      </c>
      <c r="C579" s="886"/>
      <c r="D579" s="886"/>
      <c r="E579" s="563"/>
      <c r="F579" s="885" t="s">
        <v>273</v>
      </c>
      <c r="G579" s="886"/>
      <c r="H579" s="815" t="s">
        <v>269</v>
      </c>
      <c r="I579" s="553"/>
      <c r="J579" s="553"/>
      <c r="K579" s="553">
        <v>8130000000</v>
      </c>
      <c r="L579" s="553"/>
      <c r="M579" s="553">
        <f>K324</f>
        <v>8130000000</v>
      </c>
      <c r="O579" s="547"/>
    </row>
    <row r="580" spans="1:15" s="546" customFormat="1" ht="18" customHeight="1">
      <c r="A580" s="543"/>
      <c r="B580" s="886"/>
      <c r="C580" s="886"/>
      <c r="D580" s="886"/>
      <c r="E580" s="563"/>
      <c r="F580" s="886"/>
      <c r="G580" s="886"/>
      <c r="H580" s="815" t="s">
        <v>270</v>
      </c>
      <c r="I580" s="553"/>
      <c r="J580" s="553"/>
      <c r="K580" s="553">
        <v>8154395829</v>
      </c>
      <c r="L580" s="553"/>
      <c r="M580" s="553">
        <f>K403</f>
        <v>208324557329</v>
      </c>
      <c r="O580" s="547"/>
    </row>
    <row r="581" spans="1:15" s="546" customFormat="1" ht="18" customHeight="1">
      <c r="A581" s="543"/>
      <c r="B581" s="886"/>
      <c r="C581" s="886"/>
      <c r="D581" s="886"/>
      <c r="E581" s="563"/>
      <c r="F581" s="886"/>
      <c r="G581" s="886"/>
      <c r="H581" s="815" t="s">
        <v>271</v>
      </c>
      <c r="I581" s="553"/>
      <c r="J581" s="553"/>
      <c r="K581" s="553">
        <v>262254010286</v>
      </c>
      <c r="L581" s="553"/>
      <c r="M581" s="553"/>
      <c r="O581" s="547"/>
    </row>
    <row r="582" spans="1:15" s="546" customFormat="1" ht="20.25" customHeight="1">
      <c r="A582" s="543"/>
      <c r="B582" s="249"/>
      <c r="C582" s="249"/>
      <c r="D582" s="249"/>
      <c r="E582" s="249"/>
      <c r="F582" s="249"/>
      <c r="G582" s="557"/>
      <c r="H582" s="815" t="s">
        <v>310</v>
      </c>
      <c r="I582" s="553"/>
      <c r="J582" s="553"/>
      <c r="K582" s="609">
        <v>59630363999</v>
      </c>
      <c r="L582" s="553"/>
      <c r="M582" s="553"/>
      <c r="O582" s="547"/>
    </row>
    <row r="583" spans="1:15" s="546" customFormat="1" ht="20.25" customHeight="1">
      <c r="A583" s="543"/>
      <c r="B583" s="249"/>
      <c r="C583" s="249"/>
      <c r="D583" s="249"/>
      <c r="E583" s="249"/>
      <c r="F583" s="249"/>
      <c r="G583" s="557"/>
      <c r="H583" s="553"/>
      <c r="I583" s="553"/>
      <c r="J583" s="553"/>
      <c r="K583" s="553"/>
      <c r="L583" s="553"/>
      <c r="M583" s="553"/>
      <c r="O583" s="547"/>
    </row>
    <row r="584" spans="1:15" s="546" customFormat="1" ht="18" customHeight="1">
      <c r="A584" s="543"/>
      <c r="B584" s="885" t="s">
        <v>274</v>
      </c>
      <c r="C584" s="886"/>
      <c r="D584" s="886"/>
      <c r="E584" s="249"/>
      <c r="F584" s="813" t="s">
        <v>275</v>
      </c>
      <c r="G584" s="562"/>
      <c r="H584" s="815" t="s">
        <v>276</v>
      </c>
      <c r="I584" s="553"/>
      <c r="J584" s="553"/>
      <c r="K584" s="553">
        <f>'AE'!H26</f>
        <v>1000000000</v>
      </c>
      <c r="L584" s="553"/>
      <c r="M584" s="553"/>
      <c r="O584" s="547"/>
    </row>
    <row r="585" spans="1:15" s="546" customFormat="1" ht="18" customHeight="1">
      <c r="A585" s="543"/>
      <c r="B585" s="886"/>
      <c r="C585" s="886"/>
      <c r="D585" s="886"/>
      <c r="E585" s="249"/>
      <c r="F585" s="562"/>
      <c r="G585" s="562"/>
      <c r="H585" s="815" t="s">
        <v>277</v>
      </c>
      <c r="I585" s="553"/>
      <c r="J585" s="553"/>
      <c r="K585" s="553">
        <f>'AE'!H30</f>
        <v>569387508</v>
      </c>
      <c r="L585" s="553"/>
      <c r="M585" s="553">
        <f>K585</f>
        <v>569387508</v>
      </c>
      <c r="O585" s="547"/>
    </row>
    <row r="586" spans="1:15" s="546" customFormat="1" ht="5.25" customHeight="1">
      <c r="A586" s="543"/>
      <c r="B586" s="560"/>
      <c r="C586" s="560"/>
      <c r="D586" s="560"/>
      <c r="E586" s="249"/>
      <c r="F586" s="562"/>
      <c r="G586" s="562"/>
      <c r="H586" s="553"/>
      <c r="I586" s="553"/>
      <c r="J586" s="553"/>
      <c r="K586" s="553"/>
      <c r="L586" s="553"/>
      <c r="M586" s="553"/>
      <c r="O586" s="547"/>
    </row>
    <row r="587" spans="1:15" s="546" customFormat="1" ht="18" customHeight="1">
      <c r="A587" s="543"/>
      <c r="B587" s="562"/>
      <c r="C587" s="562"/>
      <c r="D587" s="562"/>
      <c r="E587" s="249"/>
      <c r="F587" s="562"/>
      <c r="G587" s="562"/>
      <c r="H587" s="887" t="s">
        <v>278</v>
      </c>
      <c r="I587" s="888"/>
      <c r="J587" s="888"/>
      <c r="K587" s="889">
        <f>K185</f>
        <v>5595123284</v>
      </c>
      <c r="L587" s="604"/>
      <c r="M587" s="889">
        <f>K587</f>
        <v>5595123284</v>
      </c>
      <c r="O587" s="547"/>
    </row>
    <row r="588" spans="1:15" s="546" customFormat="1" ht="17.25" customHeight="1">
      <c r="A588" s="543"/>
      <c r="B588" s="249"/>
      <c r="C588" s="249"/>
      <c r="D588" s="249"/>
      <c r="E588" s="249"/>
      <c r="F588" s="249"/>
      <c r="G588" s="249"/>
      <c r="H588" s="888"/>
      <c r="I588" s="888"/>
      <c r="J588" s="888"/>
      <c r="K588" s="889"/>
      <c r="L588" s="604"/>
      <c r="M588" s="889"/>
      <c r="O588" s="547"/>
    </row>
    <row r="589" spans="2:15" s="546" customFormat="1" ht="10.5" customHeight="1">
      <c r="B589" s="249"/>
      <c r="C589" s="249"/>
      <c r="D589" s="249"/>
      <c r="E589" s="249"/>
      <c r="F589" s="249"/>
      <c r="G589" s="249"/>
      <c r="H589" s="553"/>
      <c r="I589" s="553"/>
      <c r="J589" s="553"/>
      <c r="K589" s="553"/>
      <c r="L589" s="553"/>
      <c r="M589" s="249"/>
      <c r="O589" s="547"/>
    </row>
    <row r="590" spans="1:15" s="546" customFormat="1" ht="33" customHeight="1">
      <c r="A590" s="551"/>
      <c r="B590" s="816" t="s">
        <v>155</v>
      </c>
      <c r="C590" s="883" t="s">
        <v>279</v>
      </c>
      <c r="D590" s="884"/>
      <c r="E590" s="884"/>
      <c r="F590" s="884"/>
      <c r="G590" s="884"/>
      <c r="H590" s="884"/>
      <c r="I590" s="884"/>
      <c r="J590" s="884"/>
      <c r="K590" s="884"/>
      <c r="L590" s="884"/>
      <c r="M590" s="884"/>
      <c r="O590" s="547"/>
    </row>
    <row r="591" spans="1:15" s="546" customFormat="1" ht="3.75" customHeight="1">
      <c r="A591" s="543"/>
      <c r="B591" s="249"/>
      <c r="C591" s="249"/>
      <c r="D591" s="249"/>
      <c r="E591" s="249"/>
      <c r="F591" s="249"/>
      <c r="G591" s="249"/>
      <c r="H591" s="553"/>
      <c r="I591" s="553"/>
      <c r="J591" s="553"/>
      <c r="K591" s="553"/>
      <c r="L591" s="553"/>
      <c r="M591" s="249"/>
      <c r="O591" s="547"/>
    </row>
    <row r="592" spans="1:15" s="546" customFormat="1" ht="20.25" customHeight="1">
      <c r="A592" s="543"/>
      <c r="B592" s="817" t="s">
        <v>156</v>
      </c>
      <c r="C592" s="808" t="s">
        <v>280</v>
      </c>
      <c r="D592" s="552"/>
      <c r="E592" s="249"/>
      <c r="F592" s="249"/>
      <c r="G592" s="249"/>
      <c r="H592" s="553"/>
      <c r="I592" s="553"/>
      <c r="J592" s="553"/>
      <c r="K592" s="553"/>
      <c r="L592" s="553"/>
      <c r="M592" s="249"/>
      <c r="O592" s="547"/>
    </row>
    <row r="593" spans="1:8" ht="23.25" customHeight="1">
      <c r="A593" s="312"/>
      <c r="B593" s="764" t="s">
        <v>157</v>
      </c>
      <c r="C593" s="726" t="s">
        <v>281</v>
      </c>
      <c r="G593" s="186"/>
      <c r="H593" s="186"/>
    </row>
    <row r="594" spans="1:8" ht="9" customHeight="1" thickBot="1">
      <c r="A594" s="388"/>
      <c r="B594" s="190"/>
      <c r="G594" s="186"/>
      <c r="H594" s="186"/>
    </row>
    <row r="595" spans="2:13" ht="18.75" customHeight="1" thickTop="1">
      <c r="B595" s="190"/>
      <c r="C595" s="818" t="s">
        <v>128</v>
      </c>
      <c r="D595" s="615"/>
      <c r="E595" s="615"/>
      <c r="F595" s="615"/>
      <c r="G595" s="616"/>
      <c r="H595" s="616"/>
      <c r="I595" s="819" t="s">
        <v>282</v>
      </c>
      <c r="J595" s="617"/>
      <c r="K595" s="820" t="s">
        <v>130</v>
      </c>
      <c r="L595" s="618"/>
      <c r="M595" s="821" t="s">
        <v>131</v>
      </c>
    </row>
    <row r="596" spans="2:13" ht="9" customHeight="1">
      <c r="B596" s="190"/>
      <c r="C596" s="619"/>
      <c r="D596" s="228"/>
      <c r="E596" s="228"/>
      <c r="F596" s="228"/>
      <c r="G596" s="326"/>
      <c r="H596" s="326"/>
      <c r="I596" s="621"/>
      <c r="J596" s="429"/>
      <c r="K596" s="626"/>
      <c r="L596" s="430"/>
      <c r="M596" s="620"/>
    </row>
    <row r="597" spans="1:13" ht="21.75" customHeight="1">
      <c r="A597" s="388"/>
      <c r="C597" s="822" t="s">
        <v>283</v>
      </c>
      <c r="D597" s="218"/>
      <c r="E597" s="218"/>
      <c r="F597" s="218"/>
      <c r="G597" s="260"/>
      <c r="H597" s="260"/>
      <c r="I597" s="622"/>
      <c r="J597" s="218"/>
      <c r="K597" s="627"/>
      <c r="L597" s="431"/>
      <c r="M597" s="614"/>
    </row>
    <row r="598" spans="1:13" ht="18" customHeight="1">
      <c r="A598" s="388"/>
      <c r="C598" s="716" t="s">
        <v>284</v>
      </c>
      <c r="D598" s="210"/>
      <c r="E598" s="210"/>
      <c r="F598" s="210"/>
      <c r="G598" s="210"/>
      <c r="H598" s="210"/>
      <c r="I598" s="622"/>
      <c r="J598" s="218"/>
      <c r="K598" s="628"/>
      <c r="L598" s="261"/>
      <c r="M598" s="610"/>
    </row>
    <row r="599" spans="3:13" ht="18" customHeight="1">
      <c r="C599" s="217"/>
      <c r="D599" s="699" t="s">
        <v>285</v>
      </c>
      <c r="E599" s="218"/>
      <c r="F599" s="218"/>
      <c r="G599" s="260"/>
      <c r="H599" s="260"/>
      <c r="I599" s="823" t="s">
        <v>577</v>
      </c>
      <c r="J599" s="260"/>
      <c r="K599" s="629">
        <f>BCDKT!H10/BCDKT!H88*100</f>
        <v>47.36182741435741</v>
      </c>
      <c r="L599" s="432"/>
      <c r="M599" s="611">
        <f>BCDKT!I10/BCDKT!I88*100</f>
        <v>32.5618567657941</v>
      </c>
    </row>
    <row r="600" spans="3:13" ht="18" customHeight="1">
      <c r="C600" s="217"/>
      <c r="D600" s="699" t="s">
        <v>286</v>
      </c>
      <c r="E600" s="218"/>
      <c r="F600" s="218"/>
      <c r="G600" s="260"/>
      <c r="H600" s="260"/>
      <c r="I600" s="824" t="s">
        <v>577</v>
      </c>
      <c r="J600" s="433"/>
      <c r="K600" s="629">
        <f>100-K599</f>
        <v>52.63817258564259</v>
      </c>
      <c r="L600" s="432"/>
      <c r="M600" s="611">
        <f>100-M599</f>
        <v>67.43814323420591</v>
      </c>
    </row>
    <row r="601" spans="3:13" ht="18" customHeight="1">
      <c r="C601" s="825" t="s">
        <v>287</v>
      </c>
      <c r="D601" s="218"/>
      <c r="E601" s="218"/>
      <c r="F601" s="218"/>
      <c r="G601" s="260"/>
      <c r="H601" s="260"/>
      <c r="I601" s="623"/>
      <c r="J601" s="260"/>
      <c r="K601" s="630"/>
      <c r="L601" s="349"/>
      <c r="M601" s="612"/>
    </row>
    <row r="602" spans="3:13" ht="18" customHeight="1">
      <c r="C602" s="217"/>
      <c r="D602" s="826" t="s">
        <v>288</v>
      </c>
      <c r="E602" s="218"/>
      <c r="F602" s="218"/>
      <c r="G602" s="260"/>
      <c r="H602" s="260"/>
      <c r="I602" s="827" t="s">
        <v>577</v>
      </c>
      <c r="J602" s="431"/>
      <c r="K602" s="629">
        <f>BCDKT!H99/BCDKT!H88*100</f>
        <v>95.16838332487669</v>
      </c>
      <c r="L602" s="432"/>
      <c r="M602" s="611">
        <f>BCDKT!I99/BCDKT!I88*100</f>
        <v>91.40381649144432</v>
      </c>
    </row>
    <row r="603" spans="3:13" ht="18" customHeight="1">
      <c r="C603" s="217"/>
      <c r="D603" s="826" t="s">
        <v>289</v>
      </c>
      <c r="E603" s="218"/>
      <c r="F603" s="218"/>
      <c r="G603" s="260"/>
      <c r="H603" s="260"/>
      <c r="I603" s="827" t="s">
        <v>577</v>
      </c>
      <c r="J603" s="431"/>
      <c r="K603" s="629">
        <f>100-K602</f>
        <v>4.831616675123314</v>
      </c>
      <c r="L603" s="432"/>
      <c r="M603" s="611">
        <f>100-M602</f>
        <v>8.596183508555683</v>
      </c>
    </row>
    <row r="604" spans="3:13" ht="9.75" customHeight="1">
      <c r="C604" s="217"/>
      <c r="D604" s="218"/>
      <c r="E604" s="218"/>
      <c r="F604" s="218"/>
      <c r="G604" s="260"/>
      <c r="H604" s="260"/>
      <c r="I604" s="624"/>
      <c r="J604" s="431"/>
      <c r="K604" s="629"/>
      <c r="L604" s="432"/>
      <c r="M604" s="611"/>
    </row>
    <row r="605" spans="3:13" ht="18" customHeight="1">
      <c r="C605" s="822" t="s">
        <v>290</v>
      </c>
      <c r="D605" s="218"/>
      <c r="E605" s="218"/>
      <c r="F605" s="218"/>
      <c r="G605" s="260"/>
      <c r="H605" s="260"/>
      <c r="I605" s="623"/>
      <c r="J605" s="260"/>
      <c r="K605" s="630"/>
      <c r="L605" s="349"/>
      <c r="M605" s="612"/>
    </row>
    <row r="606" spans="3:13" ht="18" customHeight="1">
      <c r="C606" s="233"/>
      <c r="D606" s="699" t="s">
        <v>291</v>
      </c>
      <c r="E606" s="218"/>
      <c r="F606" s="218"/>
      <c r="G606" s="260"/>
      <c r="H606" s="260"/>
      <c r="I606" s="828" t="s">
        <v>294</v>
      </c>
      <c r="J606" s="431"/>
      <c r="K606" s="629">
        <f>BCDKT!H10/BCDKT!H99</f>
        <v>0.49766346510981646</v>
      </c>
      <c r="L606" s="432"/>
      <c r="M606" s="611">
        <f>BCDKT!I10/BCDKT!I99</f>
        <v>0.35624176337146707</v>
      </c>
    </row>
    <row r="607" spans="3:13" ht="18" customHeight="1">
      <c r="C607" s="217"/>
      <c r="D607" s="699" t="s">
        <v>292</v>
      </c>
      <c r="E607" s="218"/>
      <c r="F607" s="218"/>
      <c r="G607" s="260"/>
      <c r="H607" s="260"/>
      <c r="I607" s="828" t="s">
        <v>294</v>
      </c>
      <c r="J607" s="431"/>
      <c r="K607" s="629">
        <f>BCDKT!H10/BCDKT!H101</f>
        <v>0.7909740999532981</v>
      </c>
      <c r="L607" s="432"/>
      <c r="M607" s="611">
        <f>BCDKT!I10/BCDKT!I101</f>
        <v>0.8611933973184752</v>
      </c>
    </row>
    <row r="608" spans="3:13" ht="18" customHeight="1">
      <c r="C608" s="217"/>
      <c r="D608" s="699" t="s">
        <v>293</v>
      </c>
      <c r="E608" s="218"/>
      <c r="F608" s="218"/>
      <c r="G608" s="260"/>
      <c r="H608" s="260"/>
      <c r="I608" s="828" t="s">
        <v>294</v>
      </c>
      <c r="J608" s="431"/>
      <c r="K608" s="629">
        <f>BCDKT!H12/BCDKT!H101</f>
        <v>0.2835414362246918</v>
      </c>
      <c r="L608" s="432"/>
      <c r="M608" s="611">
        <f>BCDKT!I12/BCDKT!I101</f>
        <v>0.1086254793303642</v>
      </c>
    </row>
    <row r="609" spans="3:13" ht="8.25" customHeight="1">
      <c r="C609" s="217"/>
      <c r="D609" s="218"/>
      <c r="E609" s="218"/>
      <c r="F609" s="218"/>
      <c r="G609" s="260"/>
      <c r="H609" s="260"/>
      <c r="I609" s="624"/>
      <c r="J609" s="431"/>
      <c r="K609" s="629"/>
      <c r="L609" s="432"/>
      <c r="M609" s="611"/>
    </row>
    <row r="610" spans="3:13" ht="18.75" customHeight="1">
      <c r="C610" s="822" t="s">
        <v>295</v>
      </c>
      <c r="D610" s="210"/>
      <c r="E610" s="210"/>
      <c r="F610" s="210"/>
      <c r="G610" s="210"/>
      <c r="H610" s="210"/>
      <c r="I610" s="625"/>
      <c r="J610" s="261"/>
      <c r="K610" s="631"/>
      <c r="L610" s="364"/>
      <c r="M610" s="613"/>
    </row>
    <row r="611" spans="3:13" ht="18.75" customHeight="1">
      <c r="C611" s="716" t="s">
        <v>296</v>
      </c>
      <c r="D611" s="210"/>
      <c r="E611" s="210"/>
      <c r="F611" s="210"/>
      <c r="G611" s="210"/>
      <c r="H611" s="210"/>
      <c r="I611" s="625"/>
      <c r="J611" s="261"/>
      <c r="K611" s="631"/>
      <c r="L611" s="364"/>
      <c r="M611" s="613"/>
    </row>
    <row r="612" spans="3:13" ht="18.75" customHeight="1">
      <c r="C612" s="233"/>
      <c r="D612" s="699" t="s">
        <v>297</v>
      </c>
      <c r="E612" s="218"/>
      <c r="F612" s="218"/>
      <c r="G612" s="260"/>
      <c r="H612" s="260"/>
      <c r="I612" s="827" t="s">
        <v>577</v>
      </c>
      <c r="J612" s="431"/>
      <c r="K612" s="629">
        <f>KQKD1!G38/KQKD1!G8*100</f>
        <v>10.414167384937464</v>
      </c>
      <c r="L612" s="432"/>
      <c r="M612" s="611">
        <f>KQKD1!H38/KQKD1!H16*100</f>
        <v>2.981073869120761</v>
      </c>
    </row>
    <row r="613" spans="3:13" ht="18.75" customHeight="1">
      <c r="C613" s="233"/>
      <c r="D613" s="699" t="s">
        <v>298</v>
      </c>
      <c r="E613" s="218"/>
      <c r="F613" s="218"/>
      <c r="G613" s="260"/>
      <c r="H613" s="260"/>
      <c r="I613" s="827" t="s">
        <v>577</v>
      </c>
      <c r="J613" s="431"/>
      <c r="K613" s="629">
        <f>KQKD1!G45/KQKD1!G8*100</f>
        <v>9.162131373478626</v>
      </c>
      <c r="L613" s="432"/>
      <c r="M613" s="611">
        <f>KQKD1!H45/KQKD1!H16*100</f>
        <v>2.6752856742046163</v>
      </c>
    </row>
    <row r="614" spans="3:13" ht="18.75" customHeight="1">
      <c r="C614" s="210"/>
      <c r="D614" s="218"/>
      <c r="E614" s="218"/>
      <c r="F614" s="218"/>
      <c r="G614" s="260"/>
      <c r="H614" s="260"/>
      <c r="I614" s="431"/>
      <c r="J614" s="431"/>
      <c r="K614" s="432"/>
      <c r="L614" s="432"/>
      <c r="M614" s="432"/>
    </row>
    <row r="615" spans="3:13" ht="18.75" customHeight="1">
      <c r="C615" s="716" t="s">
        <v>299</v>
      </c>
      <c r="D615" s="210"/>
      <c r="E615" s="210"/>
      <c r="F615" s="210"/>
      <c r="G615" s="210"/>
      <c r="H615" s="210"/>
      <c r="I615" s="625"/>
      <c r="J615" s="261"/>
      <c r="K615" s="631"/>
      <c r="L615" s="364"/>
      <c r="M615" s="613"/>
    </row>
    <row r="616" spans="3:13" ht="18" customHeight="1">
      <c r="C616" s="233"/>
      <c r="D616" s="699" t="s">
        <v>300</v>
      </c>
      <c r="E616" s="218"/>
      <c r="F616" s="218"/>
      <c r="G616" s="260"/>
      <c r="H616" s="260"/>
      <c r="I616" s="827" t="s">
        <v>577</v>
      </c>
      <c r="J616" s="431"/>
      <c r="K616" s="629">
        <f>KQKD1!G38/BCDKT!H141*100</f>
        <v>3.259833919692751</v>
      </c>
      <c r="L616" s="432"/>
      <c r="M616" s="611">
        <f>KQKD1!H38/BCDKT!I88*100</f>
        <v>2.6265883392265286</v>
      </c>
    </row>
    <row r="617" spans="3:13" ht="18" customHeight="1">
      <c r="C617" s="233"/>
      <c r="D617" s="699" t="s">
        <v>301</v>
      </c>
      <c r="E617" s="218"/>
      <c r="F617" s="218"/>
      <c r="G617" s="260"/>
      <c r="H617" s="260"/>
      <c r="I617" s="827" t="s">
        <v>577</v>
      </c>
      <c r="J617" s="431"/>
      <c r="K617" s="629">
        <f>KQKD1!G45/BCDKT!H141*100</f>
        <v>2.867922659966551</v>
      </c>
      <c r="L617" s="432"/>
      <c r="M617" s="611">
        <f>KQKD1!H45/BCDKT!I88*100</f>
        <v>2.357162037731771</v>
      </c>
    </row>
    <row r="618" spans="3:13" ht="18" customHeight="1">
      <c r="C618" s="716" t="s">
        <v>302</v>
      </c>
      <c r="D618" s="210"/>
      <c r="E618" s="210"/>
      <c r="F618" s="210"/>
      <c r="G618" s="210"/>
      <c r="H618" s="210"/>
      <c r="I618" s="625"/>
      <c r="J618" s="261"/>
      <c r="K618" s="631"/>
      <c r="L618" s="364"/>
      <c r="M618" s="613"/>
    </row>
    <row r="619" spans="3:13" ht="18" customHeight="1" thickBot="1">
      <c r="C619" s="632"/>
      <c r="D619" s="829" t="s">
        <v>303</v>
      </c>
      <c r="E619" s="599"/>
      <c r="F619" s="599"/>
      <c r="G619" s="633"/>
      <c r="H619" s="633"/>
      <c r="I619" s="830" t="s">
        <v>577</v>
      </c>
      <c r="J619" s="634"/>
      <c r="K619" s="637">
        <f>KQKD1!G45/((BCDKT!H124+BCDKT!I124)/2)*100</f>
        <v>84.24789811233467</v>
      </c>
      <c r="L619" s="635"/>
      <c r="M619" s="636">
        <f>KQKD1!H45/BCDKT!I122*100</f>
        <v>27.421029755655084</v>
      </c>
    </row>
    <row r="620" spans="3:13" ht="11.25" customHeight="1" thickTop="1">
      <c r="C620" s="218"/>
      <c r="D620" s="218"/>
      <c r="E620" s="218"/>
      <c r="F620" s="218"/>
      <c r="G620" s="218"/>
      <c r="H620" s="218"/>
      <c r="I620" s="218"/>
      <c r="J620" s="218"/>
      <c r="K620" s="349"/>
      <c r="L620" s="349"/>
      <c r="M620" s="340"/>
    </row>
    <row r="621" spans="3:13" ht="7.5" customHeight="1">
      <c r="C621" s="289"/>
      <c r="D621" s="289"/>
      <c r="E621" s="289"/>
      <c r="F621" s="289"/>
      <c r="G621" s="289"/>
      <c r="H621" s="289"/>
      <c r="I621" s="289"/>
      <c r="J621" s="289"/>
      <c r="K621" s="289"/>
      <c r="L621" s="289"/>
      <c r="M621" s="289"/>
    </row>
    <row r="622" spans="4:13" ht="15.75" customHeight="1">
      <c r="D622" s="186"/>
      <c r="K622" s="188" t="str">
        <f>KQKD1!D50</f>
        <v>TP. Hồ Chí Minh, ngày 22 tháng 1 năm 2008</v>
      </c>
      <c r="L622" s="188"/>
      <c r="M622" s="193"/>
    </row>
    <row r="623" spans="4:13" ht="15.75" customHeight="1">
      <c r="D623" s="831" t="s">
        <v>121</v>
      </c>
      <c r="K623" s="831" t="s">
        <v>123</v>
      </c>
      <c r="L623" s="434"/>
      <c r="M623" s="193"/>
    </row>
    <row r="624" spans="4:13" ht="20.25" customHeight="1">
      <c r="D624" s="186"/>
      <c r="M624" s="193"/>
    </row>
    <row r="625" spans="4:13" ht="19.5" customHeight="1">
      <c r="D625" s="186"/>
      <c r="M625" s="193"/>
    </row>
    <row r="626" spans="4:13" ht="15.75" customHeight="1">
      <c r="D626" s="186"/>
      <c r="M626" s="193"/>
    </row>
    <row r="627" spans="3:13" ht="20.25" customHeight="1">
      <c r="C627" s="190"/>
      <c r="D627" s="193" t="str">
        <f>KQKD1!C55</f>
        <v>LÊ NGỌC BÍCH</v>
      </c>
      <c r="K627" s="193" t="str">
        <f>KQKD1!D55</f>
        <v>NGUYỄN DUY HÙNG</v>
      </c>
      <c r="L627" s="193"/>
      <c r="M627" s="193"/>
    </row>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sheetData>
  <mergeCells count="108">
    <mergeCell ref="C194:M194"/>
    <mergeCell ref="C195:M195"/>
    <mergeCell ref="C302:M302"/>
    <mergeCell ref="C196:M196"/>
    <mergeCell ref="C197:M197"/>
    <mergeCell ref="C301:M301"/>
    <mergeCell ref="C208:I208"/>
    <mergeCell ref="I298:J298"/>
    <mergeCell ref="C332:M332"/>
    <mergeCell ref="B21:M21"/>
    <mergeCell ref="B22:M22"/>
    <mergeCell ref="B23:M23"/>
    <mergeCell ref="B24:M24"/>
    <mergeCell ref="B121:M121"/>
    <mergeCell ref="B122:M122"/>
    <mergeCell ref="B140:M140"/>
    <mergeCell ref="C193:M193"/>
    <mergeCell ref="B148:M148"/>
    <mergeCell ref="B78:M78"/>
    <mergeCell ref="B65:M65"/>
    <mergeCell ref="B68:M68"/>
    <mergeCell ref="B69:M69"/>
    <mergeCell ref="B66:M66"/>
    <mergeCell ref="B132:M132"/>
    <mergeCell ref="B97:M97"/>
    <mergeCell ref="B99:M99"/>
    <mergeCell ref="B83:M83"/>
    <mergeCell ref="B84:M84"/>
    <mergeCell ref="B98:M98"/>
    <mergeCell ref="B117:M117"/>
    <mergeCell ref="C129:M129"/>
    <mergeCell ref="C131:M131"/>
    <mergeCell ref="B107:M107"/>
    <mergeCell ref="C126:M126"/>
    <mergeCell ref="B18:M18"/>
    <mergeCell ref="B53:M53"/>
    <mergeCell ref="B37:M37"/>
    <mergeCell ref="B40:M40"/>
    <mergeCell ref="B41:M41"/>
    <mergeCell ref="B42:M42"/>
    <mergeCell ref="B50:M50"/>
    <mergeCell ref="B51:M51"/>
    <mergeCell ref="B73:M73"/>
    <mergeCell ref="B149:M149"/>
    <mergeCell ref="B110:M110"/>
    <mergeCell ref="B127:M127"/>
    <mergeCell ref="B106:M106"/>
    <mergeCell ref="C130:M130"/>
    <mergeCell ref="C128:M128"/>
    <mergeCell ref="C133:M133"/>
    <mergeCell ref="C134:M134"/>
    <mergeCell ref="C135:M135"/>
    <mergeCell ref="C136:M136"/>
    <mergeCell ref="B142:M142"/>
    <mergeCell ref="B116:M116"/>
    <mergeCell ref="B52:M52"/>
    <mergeCell ref="B104:M104"/>
    <mergeCell ref="B120:M120"/>
    <mergeCell ref="B85:M85"/>
    <mergeCell ref="B105:M105"/>
    <mergeCell ref="B76:M76"/>
    <mergeCell ref="B115:M115"/>
    <mergeCell ref="B113:M113"/>
    <mergeCell ref="B57:M57"/>
    <mergeCell ref="B118:M118"/>
    <mergeCell ref="B59:M59"/>
    <mergeCell ref="B60:M60"/>
    <mergeCell ref="B64:M64"/>
    <mergeCell ref="B72:M72"/>
    <mergeCell ref="B102:M102"/>
    <mergeCell ref="B103:M103"/>
    <mergeCell ref="B77:M77"/>
    <mergeCell ref="B61:M61"/>
    <mergeCell ref="B152:M152"/>
    <mergeCell ref="B119:M119"/>
    <mergeCell ref="C296:M296"/>
    <mergeCell ref="C590:M590"/>
    <mergeCell ref="B579:D581"/>
    <mergeCell ref="F579:G581"/>
    <mergeCell ref="H587:J588"/>
    <mergeCell ref="B584:D585"/>
    <mergeCell ref="K587:K588"/>
    <mergeCell ref="M587:M588"/>
    <mergeCell ref="B571:D573"/>
    <mergeCell ref="B564:M564"/>
    <mergeCell ref="C552:M552"/>
    <mergeCell ref="B560:M560"/>
    <mergeCell ref="B559:M559"/>
    <mergeCell ref="B554:M554"/>
    <mergeCell ref="B393:M393"/>
    <mergeCell ref="B408:M408"/>
    <mergeCell ref="B409:M409"/>
    <mergeCell ref="C525:M525"/>
    <mergeCell ref="B463:M463"/>
    <mergeCell ref="B504:M504"/>
    <mergeCell ref="C434:M434"/>
    <mergeCell ref="C460:M460"/>
    <mergeCell ref="C454:M454"/>
    <mergeCell ref="B137:M137"/>
    <mergeCell ref="B331:M331"/>
    <mergeCell ref="B392:M392"/>
    <mergeCell ref="C310:M310"/>
    <mergeCell ref="C311:M311"/>
    <mergeCell ref="B145:M145"/>
    <mergeCell ref="B144:M144"/>
    <mergeCell ref="B143:M143"/>
    <mergeCell ref="B141:M141"/>
    <mergeCell ref="B151:M151"/>
  </mergeCells>
  <printOptions/>
  <pageMargins left="0.45" right="0.33" top="0.5" bottom="0.75" header="0.5" footer="0.35"/>
  <pageSetup firstPageNumber="12" useFirstPageNumber="1" horizontalDpi="600" verticalDpi="600" orientation="portrait" paperSize="9" r:id="rId3"/>
  <headerFooter alignWithMargins="0">
    <oddFooter>&amp;L&amp;9Thuyeát minh naøy laø boä phaän hôïp thaønh cuûa baùo caùo taøi chính töø trang 4 ñeán trang 9.&amp;R&amp;9Trang &amp;P</oddFooter>
  </headerFooter>
  <legacyDrawing r:id="rId2"/>
</worksheet>
</file>

<file path=xl/worksheets/sheet6.xml><?xml version="1.0" encoding="utf-8"?>
<worksheet xmlns="http://schemas.openxmlformats.org/spreadsheetml/2006/main" xmlns:r="http://schemas.openxmlformats.org/officeDocument/2006/relationships">
  <dimension ref="A1:L54"/>
  <sheetViews>
    <sheetView workbookViewId="0" topLeftCell="D30">
      <selection activeCell="H1" sqref="H1"/>
    </sheetView>
  </sheetViews>
  <sheetFormatPr defaultColWidth="9.00390625" defaultRowHeight="12.75"/>
  <cols>
    <col min="1" max="1" width="3.25390625" style="67" customWidth="1"/>
    <col min="2" max="2" width="3.625" style="67" customWidth="1"/>
    <col min="3" max="3" width="45.25390625" style="67" customWidth="1"/>
    <col min="4" max="4" width="8.25390625" style="67" customWidth="1"/>
    <col min="5" max="5" width="7.75390625" style="193" customWidth="1"/>
    <col min="6" max="6" width="3.25390625" style="193" customWidth="1"/>
    <col min="7" max="7" width="19.375" style="196" customWidth="1"/>
    <col min="8" max="8" width="18.125" style="196" customWidth="1"/>
    <col min="9" max="9" width="9.00390625" style="67" customWidth="1"/>
    <col min="10" max="11" width="17.00390625" style="196" hidden="1" customWidth="1"/>
    <col min="12" max="12" width="18.00390625" style="67" bestFit="1" customWidth="1"/>
    <col min="13" max="16384" width="9.125" style="67" customWidth="1"/>
  </cols>
  <sheetData>
    <row r="1" spans="1:11" ht="15.75" customHeight="1">
      <c r="A1" s="65" t="str">
        <f>'BCDKT (2)'!A1</f>
        <v>CÔNG TY CỔ PHẦN ĐẦU TƯ VÀ VẬN TẢI DẦU KHÍ VINASHIN </v>
      </c>
      <c r="C1" s="66"/>
      <c r="D1" s="66"/>
      <c r="G1" s="71"/>
      <c r="H1" s="678" t="s">
        <v>623</v>
      </c>
      <c r="J1" s="71"/>
      <c r="K1" s="71"/>
    </row>
    <row r="2" spans="1:11" ht="15.75" customHeight="1">
      <c r="A2" s="65"/>
      <c r="C2" s="66"/>
      <c r="D2" s="66"/>
      <c r="G2" s="71"/>
      <c r="H2" s="148"/>
      <c r="J2" s="71"/>
      <c r="K2" s="71"/>
    </row>
    <row r="3" spans="1:11" ht="15.75" customHeight="1">
      <c r="A3" s="680" t="s">
        <v>304</v>
      </c>
      <c r="C3" s="66"/>
      <c r="D3" s="66"/>
      <c r="G3" s="71"/>
      <c r="H3" s="78"/>
      <c r="J3" s="71"/>
      <c r="K3" s="71"/>
    </row>
    <row r="4" spans="1:11" ht="15.75" customHeight="1">
      <c r="A4" s="681" t="s">
        <v>127</v>
      </c>
      <c r="C4" s="69"/>
      <c r="D4" s="69"/>
      <c r="E4" s="197"/>
      <c r="F4" s="197"/>
      <c r="G4" s="78"/>
      <c r="H4" s="682" t="s">
        <v>19</v>
      </c>
      <c r="J4" s="78"/>
      <c r="K4" s="78"/>
    </row>
    <row r="5" spans="1:8" ht="9" customHeight="1" thickBot="1">
      <c r="A5" s="186"/>
      <c r="C5" s="199"/>
      <c r="D5" s="187"/>
      <c r="H5" s="200"/>
    </row>
    <row r="6" spans="1:11" s="66" customFormat="1" ht="33.75" customHeight="1" thickTop="1">
      <c r="A6" s="855" t="s">
        <v>128</v>
      </c>
      <c r="B6" s="856"/>
      <c r="C6" s="857"/>
      <c r="D6" s="683" t="s">
        <v>129</v>
      </c>
      <c r="E6" s="684" t="s">
        <v>22</v>
      </c>
      <c r="F6" s="201"/>
      <c r="G6" s="685" t="s">
        <v>130</v>
      </c>
      <c r="H6" s="686" t="s">
        <v>131</v>
      </c>
      <c r="J6" s="685" t="s">
        <v>670</v>
      </c>
      <c r="K6" s="685" t="s">
        <v>24</v>
      </c>
    </row>
    <row r="7" spans="1:11" s="66" customFormat="1" ht="6" customHeight="1">
      <c r="A7" s="203"/>
      <c r="B7" s="204"/>
      <c r="C7" s="205"/>
      <c r="D7" s="206"/>
      <c r="E7" s="92"/>
      <c r="F7" s="207"/>
      <c r="G7" s="197"/>
      <c r="H7" s="208"/>
      <c r="J7" s="197"/>
      <c r="K7" s="197"/>
    </row>
    <row r="8" spans="1:11" ht="15.75" customHeight="1">
      <c r="A8" s="689" t="s">
        <v>147</v>
      </c>
      <c r="B8" s="687" t="s">
        <v>132</v>
      </c>
      <c r="C8" s="211"/>
      <c r="D8" s="691" t="s">
        <v>205</v>
      </c>
      <c r="E8" s="688" t="s">
        <v>665</v>
      </c>
      <c r="F8" s="214"/>
      <c r="G8" s="215">
        <f>J8+K8</f>
        <v>773118887634</v>
      </c>
      <c r="H8" s="216">
        <v>652275141801</v>
      </c>
      <c r="J8" s="215">
        <v>773118887634</v>
      </c>
      <c r="K8" s="126"/>
    </row>
    <row r="9" spans="1:11" ht="15.75" customHeight="1" hidden="1">
      <c r="A9" s="690" t="s">
        <v>133</v>
      </c>
      <c r="B9" s="218"/>
      <c r="C9" s="211"/>
      <c r="D9" s="692" t="s">
        <v>234</v>
      </c>
      <c r="E9" s="213"/>
      <c r="F9" s="214"/>
      <c r="G9" s="215"/>
      <c r="H9" s="216"/>
      <c r="J9" s="215"/>
      <c r="K9" s="215"/>
    </row>
    <row r="10" spans="1:11" ht="4.5" customHeight="1">
      <c r="A10" s="217"/>
      <c r="B10" s="218"/>
      <c r="C10" s="211"/>
      <c r="D10" s="219"/>
      <c r="E10" s="213"/>
      <c r="F10" s="214"/>
      <c r="G10" s="215"/>
      <c r="H10" s="216"/>
      <c r="J10" s="215"/>
      <c r="K10" s="215"/>
    </row>
    <row r="11" spans="1:11" ht="15.75" customHeight="1">
      <c r="A11" s="693" t="s">
        <v>148</v>
      </c>
      <c r="B11" s="694" t="s">
        <v>134</v>
      </c>
      <c r="C11" s="221"/>
      <c r="D11" s="692" t="s">
        <v>234</v>
      </c>
      <c r="E11" s="230"/>
      <c r="F11" s="222"/>
      <c r="G11" s="126">
        <f>J11+K11</f>
        <v>0</v>
      </c>
      <c r="H11" s="223">
        <v>0</v>
      </c>
      <c r="J11" s="126"/>
      <c r="K11" s="126"/>
    </row>
    <row r="12" spans="1:11" ht="19.5" customHeight="1" hidden="1">
      <c r="A12" s="217"/>
      <c r="B12" s="695" t="s">
        <v>738</v>
      </c>
      <c r="C12" s="221"/>
      <c r="D12" s="696" t="s">
        <v>207</v>
      </c>
      <c r="E12" s="213"/>
      <c r="F12" s="224"/>
      <c r="G12" s="225">
        <v>1636000</v>
      </c>
      <c r="H12" s="223"/>
      <c r="J12" s="225">
        <v>1636000</v>
      </c>
      <c r="K12" s="225"/>
    </row>
    <row r="13" spans="1:11" ht="21" customHeight="1" hidden="1">
      <c r="A13" s="217"/>
      <c r="B13" s="695" t="s">
        <v>739</v>
      </c>
      <c r="C13" s="221"/>
      <c r="D13" s="696" t="s">
        <v>208</v>
      </c>
      <c r="E13" s="213"/>
      <c r="F13" s="224"/>
      <c r="G13" s="225">
        <v>0</v>
      </c>
      <c r="H13" s="223">
        <v>0</v>
      </c>
      <c r="J13" s="225">
        <v>0</v>
      </c>
      <c r="K13" s="225"/>
    </row>
    <row r="14" spans="1:11" ht="30" customHeight="1" hidden="1">
      <c r="A14" s="217"/>
      <c r="B14" s="860" t="s">
        <v>740</v>
      </c>
      <c r="C14" s="861"/>
      <c r="D14" s="697" t="s">
        <v>209</v>
      </c>
      <c r="E14" s="113"/>
      <c r="F14" s="227"/>
      <c r="G14" s="107"/>
      <c r="H14" s="116"/>
      <c r="J14" s="107"/>
      <c r="K14" s="107"/>
    </row>
    <row r="15" spans="1:11" ht="4.5" customHeight="1">
      <c r="A15" s="217"/>
      <c r="B15" s="228"/>
      <c r="C15" s="229"/>
      <c r="D15" s="226"/>
      <c r="E15" s="230"/>
      <c r="F15" s="227"/>
      <c r="G15" s="107"/>
      <c r="H15" s="116"/>
      <c r="J15" s="107"/>
      <c r="K15" s="107"/>
    </row>
    <row r="16" spans="1:12" ht="15.75" customHeight="1">
      <c r="A16" s="689" t="s">
        <v>152</v>
      </c>
      <c r="B16" s="698" t="s">
        <v>741</v>
      </c>
      <c r="C16" s="211"/>
      <c r="D16" s="691" t="s">
        <v>210</v>
      </c>
      <c r="E16" s="230"/>
      <c r="F16" s="214"/>
      <c r="G16" s="215">
        <f>G8-G11</f>
        <v>773118887634</v>
      </c>
      <c r="H16" s="232">
        <f>H8-H11</f>
        <v>652275141801</v>
      </c>
      <c r="J16" s="215">
        <f>J8-J11</f>
        <v>773118887634</v>
      </c>
      <c r="K16" s="215"/>
      <c r="L16" s="196"/>
    </row>
    <row r="17" spans="1:11" ht="4.5" customHeight="1">
      <c r="A17" s="233"/>
      <c r="B17" s="231"/>
      <c r="C17" s="211"/>
      <c r="D17" s="212"/>
      <c r="E17" s="213"/>
      <c r="F17" s="214"/>
      <c r="G17" s="215"/>
      <c r="H17" s="216"/>
      <c r="J17" s="215"/>
      <c r="K17" s="215"/>
    </row>
    <row r="18" spans="1:12" ht="15.75" customHeight="1">
      <c r="A18" s="693" t="s">
        <v>155</v>
      </c>
      <c r="B18" s="699" t="s">
        <v>742</v>
      </c>
      <c r="C18" s="221"/>
      <c r="D18" s="692" t="s">
        <v>211</v>
      </c>
      <c r="E18" s="688" t="s">
        <v>666</v>
      </c>
      <c r="F18" s="222"/>
      <c r="G18" s="126">
        <f>J18+K18</f>
        <v>583769555261</v>
      </c>
      <c r="H18" s="234">
        <v>571226913142</v>
      </c>
      <c r="J18" s="126">
        <v>583769555261</v>
      </c>
      <c r="K18" s="126"/>
      <c r="L18" s="196"/>
    </row>
    <row r="19" spans="1:11" ht="4.5" customHeight="1">
      <c r="A19" s="235"/>
      <c r="B19" s="218"/>
      <c r="C19" s="221"/>
      <c r="D19" s="219"/>
      <c r="E19" s="213"/>
      <c r="F19" s="214"/>
      <c r="G19" s="126"/>
      <c r="H19" s="234"/>
      <c r="J19" s="126"/>
      <c r="K19" s="126"/>
    </row>
    <row r="20" spans="1:12" ht="15.75" customHeight="1">
      <c r="A20" s="689" t="s">
        <v>156</v>
      </c>
      <c r="B20" s="698" t="s">
        <v>743</v>
      </c>
      <c r="C20" s="211"/>
      <c r="D20" s="691" t="s">
        <v>212</v>
      </c>
      <c r="E20" s="213"/>
      <c r="F20" s="214"/>
      <c r="G20" s="215">
        <f>G16-G18</f>
        <v>189349332373</v>
      </c>
      <c r="H20" s="216">
        <f>H16-H18</f>
        <v>81048228659</v>
      </c>
      <c r="J20" s="215">
        <f>J16-J18</f>
        <v>189349332373</v>
      </c>
      <c r="K20" s="215"/>
      <c r="L20" s="196"/>
    </row>
    <row r="21" spans="1:11" ht="4.5" customHeight="1">
      <c r="A21" s="209"/>
      <c r="B21" s="231"/>
      <c r="C21" s="211"/>
      <c r="D21" s="212"/>
      <c r="E21" s="213"/>
      <c r="F21" s="214"/>
      <c r="G21" s="215"/>
      <c r="H21" s="216"/>
      <c r="J21" s="215"/>
      <c r="K21" s="215"/>
    </row>
    <row r="22" spans="1:12" ht="15.75" customHeight="1">
      <c r="A22" s="693" t="s">
        <v>157</v>
      </c>
      <c r="B22" s="699" t="s">
        <v>744</v>
      </c>
      <c r="C22" s="221"/>
      <c r="D22" s="692" t="s">
        <v>213</v>
      </c>
      <c r="E22" s="688" t="s">
        <v>667</v>
      </c>
      <c r="F22" s="236"/>
      <c r="G22" s="126">
        <f>J22+K22</f>
        <v>4090774677</v>
      </c>
      <c r="H22" s="234">
        <v>886549740</v>
      </c>
      <c r="J22" s="126">
        <v>4090774677</v>
      </c>
      <c r="K22" s="126"/>
      <c r="L22" s="196"/>
    </row>
    <row r="23" spans="1:11" ht="4.5" customHeight="1">
      <c r="A23" s="235"/>
      <c r="B23" s="218"/>
      <c r="C23" s="221"/>
      <c r="D23" s="219"/>
      <c r="E23" s="230"/>
      <c r="F23" s="236"/>
      <c r="G23" s="126"/>
      <c r="H23" s="234"/>
      <c r="J23" s="126"/>
      <c r="K23" s="126"/>
    </row>
    <row r="24" spans="1:12" ht="15.75" customHeight="1">
      <c r="A24" s="693" t="s">
        <v>159</v>
      </c>
      <c r="B24" s="700" t="s">
        <v>745</v>
      </c>
      <c r="C24" s="221"/>
      <c r="D24" s="701" t="s">
        <v>214</v>
      </c>
      <c r="E24" s="688" t="s">
        <v>668</v>
      </c>
      <c r="F24" s="236"/>
      <c r="G24" s="126">
        <f>J24+K24</f>
        <v>73644022620</v>
      </c>
      <c r="H24" s="234">
        <v>39362273605</v>
      </c>
      <c r="J24" s="126">
        <v>73644022620</v>
      </c>
      <c r="K24" s="126"/>
      <c r="L24" s="196"/>
    </row>
    <row r="25" spans="1:12" ht="19.5" customHeight="1">
      <c r="A25" s="235"/>
      <c r="B25" s="700" t="s">
        <v>746</v>
      </c>
      <c r="C25" s="221"/>
      <c r="D25" s="701" t="s">
        <v>581</v>
      </c>
      <c r="E25" s="213"/>
      <c r="F25" s="214"/>
      <c r="G25" s="225">
        <v>67005516575</v>
      </c>
      <c r="H25" s="223">
        <v>32768747216</v>
      </c>
      <c r="J25" s="225">
        <v>69361200654</v>
      </c>
      <c r="K25" s="225"/>
      <c r="L25" s="196"/>
    </row>
    <row r="26" spans="1:11" ht="4.5" customHeight="1">
      <c r="A26" s="235"/>
      <c r="B26" s="218"/>
      <c r="C26" s="221"/>
      <c r="D26" s="237"/>
      <c r="E26" s="213"/>
      <c r="F26" s="214"/>
      <c r="G26" s="225"/>
      <c r="H26" s="223"/>
      <c r="J26" s="225"/>
      <c r="K26" s="225"/>
    </row>
    <row r="27" spans="1:12" ht="15.75" customHeight="1">
      <c r="A27" s="693" t="s">
        <v>160</v>
      </c>
      <c r="B27" s="699" t="s">
        <v>747</v>
      </c>
      <c r="C27" s="221"/>
      <c r="D27" s="701" t="s">
        <v>224</v>
      </c>
      <c r="E27" s="230"/>
      <c r="F27" s="236"/>
      <c r="G27" s="126">
        <f>J27+K27</f>
        <v>11546931713</v>
      </c>
      <c r="H27" s="238">
        <v>7006059892</v>
      </c>
      <c r="J27" s="126">
        <v>11546931713</v>
      </c>
      <c r="K27" s="126"/>
      <c r="L27" s="196"/>
    </row>
    <row r="28" spans="1:11" ht="4.5" customHeight="1">
      <c r="A28" s="235"/>
      <c r="B28" s="218"/>
      <c r="C28" s="221"/>
      <c r="D28" s="237"/>
      <c r="E28" s="230"/>
      <c r="F28" s="236"/>
      <c r="G28" s="126">
        <v>0</v>
      </c>
      <c r="H28" s="238">
        <v>0</v>
      </c>
      <c r="J28" s="126"/>
      <c r="K28" s="126"/>
    </row>
    <row r="29" spans="1:12" ht="15.75" customHeight="1">
      <c r="A29" s="693" t="s">
        <v>218</v>
      </c>
      <c r="B29" s="699" t="s">
        <v>748</v>
      </c>
      <c r="C29" s="221"/>
      <c r="D29" s="701" t="s">
        <v>225</v>
      </c>
      <c r="E29" s="230"/>
      <c r="F29" s="236"/>
      <c r="G29" s="126">
        <f>J29+K29</f>
        <v>26134148991</v>
      </c>
      <c r="H29" s="238">
        <v>15411522337</v>
      </c>
      <c r="J29" s="126">
        <v>26134148991</v>
      </c>
      <c r="K29" s="126"/>
      <c r="L29" s="196"/>
    </row>
    <row r="30" spans="1:11" ht="4.5" customHeight="1">
      <c r="A30" s="235"/>
      <c r="B30" s="218"/>
      <c r="C30" s="221"/>
      <c r="D30" s="237"/>
      <c r="E30" s="230"/>
      <c r="F30" s="239"/>
      <c r="G30" s="126"/>
      <c r="H30" s="234"/>
      <c r="J30" s="126"/>
      <c r="K30" s="126"/>
    </row>
    <row r="31" spans="1:12" ht="32.25" customHeight="1">
      <c r="A31" s="702" t="s">
        <v>219</v>
      </c>
      <c r="B31" s="858" t="s">
        <v>749</v>
      </c>
      <c r="C31" s="859"/>
      <c r="D31" s="703" t="s">
        <v>215</v>
      </c>
      <c r="E31" s="113"/>
      <c r="F31" s="207"/>
      <c r="G31" s="111">
        <f>G20+(G22-G24)-(G27+G29)</f>
        <v>82115003726</v>
      </c>
      <c r="H31" s="94">
        <f>H20+(H22-H24)-(H27+H29)</f>
        <v>20154922565</v>
      </c>
      <c r="J31" s="111">
        <f>J20+(J22-J24)-(J27+J29)</f>
        <v>82115003726</v>
      </c>
      <c r="K31" s="111"/>
      <c r="L31" s="196"/>
    </row>
    <row r="32" spans="1:11" ht="4.5" customHeight="1">
      <c r="A32" s="240"/>
      <c r="B32" s="241"/>
      <c r="C32" s="242"/>
      <c r="D32" s="243"/>
      <c r="E32" s="113"/>
      <c r="F32" s="207"/>
      <c r="G32" s="111"/>
      <c r="H32" s="94"/>
      <c r="J32" s="111"/>
      <c r="K32" s="111"/>
    </row>
    <row r="33" spans="1:12" ht="15.75" customHeight="1">
      <c r="A33" s="693" t="s">
        <v>220</v>
      </c>
      <c r="B33" s="699" t="s">
        <v>750</v>
      </c>
      <c r="C33" s="221"/>
      <c r="D33" s="701" t="s">
        <v>216</v>
      </c>
      <c r="E33" s="230"/>
      <c r="F33" s="236"/>
      <c r="G33" s="126">
        <f>J33+K33</f>
        <v>45876906515</v>
      </c>
      <c r="H33" s="234">
        <v>6624000412</v>
      </c>
      <c r="J33" s="126">
        <v>45876906515</v>
      </c>
      <c r="K33" s="126"/>
      <c r="L33" s="196"/>
    </row>
    <row r="34" spans="1:11" ht="15.75" customHeight="1">
      <c r="A34" s="693" t="s">
        <v>222</v>
      </c>
      <c r="B34" s="699" t="s">
        <v>751</v>
      </c>
      <c r="C34" s="221"/>
      <c r="D34" s="701" t="s">
        <v>217</v>
      </c>
      <c r="E34" s="230"/>
      <c r="F34" s="236"/>
      <c r="G34" s="126">
        <f>J34+K34</f>
        <v>45659821208</v>
      </c>
      <c r="H34" s="234">
        <v>7334119170</v>
      </c>
      <c r="J34" s="126">
        <v>45659821208</v>
      </c>
      <c r="K34" s="126"/>
    </row>
    <row r="35" spans="1:11" ht="4.5" customHeight="1">
      <c r="A35" s="235"/>
      <c r="B35" s="218"/>
      <c r="C35" s="221"/>
      <c r="D35" s="237"/>
      <c r="E35" s="230"/>
      <c r="F35" s="236"/>
      <c r="G35" s="126"/>
      <c r="H35" s="234"/>
      <c r="J35" s="126"/>
      <c r="K35" s="126"/>
    </row>
    <row r="36" spans="1:12" ht="15.75" customHeight="1">
      <c r="A36" s="704" t="s">
        <v>223</v>
      </c>
      <c r="B36" s="698" t="s">
        <v>752</v>
      </c>
      <c r="C36" s="211"/>
      <c r="D36" s="705" t="s">
        <v>233</v>
      </c>
      <c r="E36" s="213"/>
      <c r="F36" s="214"/>
      <c r="G36" s="215">
        <f>G33-G34</f>
        <v>217085307</v>
      </c>
      <c r="H36" s="216">
        <f>H33-H34</f>
        <v>-710118758</v>
      </c>
      <c r="J36" s="215">
        <f>J33-J34</f>
        <v>217085307</v>
      </c>
      <c r="K36" s="215"/>
      <c r="L36" s="196"/>
    </row>
    <row r="37" spans="1:11" ht="4.5" customHeight="1">
      <c r="A37" s="233"/>
      <c r="B37" s="231"/>
      <c r="C37" s="211"/>
      <c r="D37" s="212"/>
      <c r="E37" s="213"/>
      <c r="F37" s="214"/>
      <c r="G37" s="215"/>
      <c r="H37" s="216"/>
      <c r="J37" s="215"/>
      <c r="K37" s="215"/>
    </row>
    <row r="38" spans="1:12" ht="15.75" customHeight="1">
      <c r="A38" s="704" t="s">
        <v>588</v>
      </c>
      <c r="B38" s="706" t="s">
        <v>753</v>
      </c>
      <c r="C38" s="211"/>
      <c r="D38" s="705" t="s">
        <v>221</v>
      </c>
      <c r="E38" s="213"/>
      <c r="F38" s="214"/>
      <c r="G38" s="215">
        <f>G31+G36</f>
        <v>82332089033</v>
      </c>
      <c r="H38" s="216">
        <f>H31+H36</f>
        <v>19444803807</v>
      </c>
      <c r="J38" s="215">
        <f>J31+J36</f>
        <v>82332089033</v>
      </c>
      <c r="K38" s="215"/>
      <c r="L38" s="196"/>
    </row>
    <row r="39" spans="1:11" ht="15.75" customHeight="1" hidden="1">
      <c r="A39" s="233"/>
      <c r="B39" s="707" t="s">
        <v>754</v>
      </c>
      <c r="C39" s="211"/>
      <c r="D39" s="244"/>
      <c r="E39" s="213"/>
      <c r="F39" s="214"/>
      <c r="G39" s="126">
        <v>106704825247</v>
      </c>
      <c r="H39" s="234">
        <v>38104806381</v>
      </c>
      <c r="J39" s="126">
        <v>106704825247</v>
      </c>
      <c r="K39" s="126"/>
    </row>
    <row r="40" spans="1:11" ht="15.75" customHeight="1" hidden="1">
      <c r="A40" s="233"/>
      <c r="B40" s="707" t="s">
        <v>755</v>
      </c>
      <c r="C40" s="211"/>
      <c r="D40" s="244"/>
      <c r="E40" s="213"/>
      <c r="F40" s="214"/>
      <c r="G40" s="126">
        <v>-582717134835</v>
      </c>
      <c r="H40" s="234">
        <v>-626664139848</v>
      </c>
      <c r="J40" s="126">
        <v>-582717134835</v>
      </c>
      <c r="K40" s="126"/>
    </row>
    <row r="41" spans="1:11" ht="4.5" customHeight="1">
      <c r="A41" s="233"/>
      <c r="B41" s="231"/>
      <c r="C41" s="211"/>
      <c r="D41" s="244"/>
      <c r="E41" s="213"/>
      <c r="F41" s="214"/>
      <c r="G41" s="215"/>
      <c r="H41" s="216"/>
      <c r="J41" s="215"/>
      <c r="K41" s="215"/>
    </row>
    <row r="42" spans="1:12" s="187" customFormat="1" ht="14.25">
      <c r="A42" s="708" t="s">
        <v>583</v>
      </c>
      <c r="B42" s="699" t="s">
        <v>756</v>
      </c>
      <c r="C42" s="245"/>
      <c r="D42" s="692" t="s">
        <v>8</v>
      </c>
      <c r="E42" s="688" t="s">
        <v>199</v>
      </c>
      <c r="F42" s="222"/>
      <c r="G42" s="126">
        <f>J42+K42-72</f>
        <v>12121194233</v>
      </c>
      <c r="H42" s="234">
        <v>2463623264</v>
      </c>
      <c r="J42" s="126">
        <v>12121194305</v>
      </c>
      <c r="K42" s="126"/>
      <c r="L42" s="196"/>
    </row>
    <row r="43" spans="1:11" ht="14.25">
      <c r="A43" s="708" t="s">
        <v>650</v>
      </c>
      <c r="B43" s="699" t="s">
        <v>757</v>
      </c>
      <c r="C43" s="245"/>
      <c r="D43" s="692" t="s">
        <v>9</v>
      </c>
      <c r="E43" s="688" t="s">
        <v>200</v>
      </c>
      <c r="F43" s="222"/>
      <c r="G43" s="126">
        <f>J43+K43</f>
        <v>-2234079469</v>
      </c>
      <c r="H43" s="234">
        <v>-469042882</v>
      </c>
      <c r="J43" s="126">
        <v>-2234079469</v>
      </c>
      <c r="K43" s="126"/>
    </row>
    <row r="44" spans="1:11" ht="4.5" customHeight="1">
      <c r="A44" s="246"/>
      <c r="B44" s="218"/>
      <c r="C44" s="245"/>
      <c r="D44" s="219"/>
      <c r="E44" s="213"/>
      <c r="F44" s="214"/>
      <c r="G44" s="126"/>
      <c r="H44" s="234"/>
      <c r="J44" s="126"/>
      <c r="K44" s="126"/>
    </row>
    <row r="45" spans="1:11" ht="18" customHeight="1">
      <c r="A45" s="709" t="s">
        <v>651</v>
      </c>
      <c r="B45" s="862" t="s">
        <v>758</v>
      </c>
      <c r="C45" s="859"/>
      <c r="D45" s="710" t="s">
        <v>10</v>
      </c>
      <c r="E45" s="213"/>
      <c r="F45" s="214"/>
      <c r="G45" s="215">
        <f>G38-G42-G43</f>
        <v>72444974269</v>
      </c>
      <c r="H45" s="216">
        <f>H38-H42-H43</f>
        <v>17450223425</v>
      </c>
      <c r="J45" s="215">
        <f>J38-J42-J43</f>
        <v>72444974197</v>
      </c>
      <c r="K45" s="215"/>
    </row>
    <row r="46" spans="1:11" ht="9" customHeight="1">
      <c r="A46" s="247"/>
      <c r="B46" s="241"/>
      <c r="C46" s="242"/>
      <c r="D46" s="248"/>
      <c r="E46" s="213"/>
      <c r="F46" s="214"/>
      <c r="G46" s="215"/>
      <c r="H46" s="216"/>
      <c r="J46" s="215"/>
      <c r="K46" s="215"/>
    </row>
    <row r="47" spans="1:11" ht="14.25" thickBot="1">
      <c r="A47" s="250"/>
      <c r="B47" s="251"/>
      <c r="C47" s="252"/>
      <c r="D47" s="253"/>
      <c r="E47" s="254"/>
      <c r="F47" s="255"/>
      <c r="G47" s="131"/>
      <c r="H47" s="256"/>
      <c r="J47" s="131"/>
      <c r="K47" s="131"/>
    </row>
    <row r="48" spans="1:11" ht="8.25" customHeight="1" thickTop="1">
      <c r="A48" s="218"/>
      <c r="B48" s="218"/>
      <c r="C48" s="257"/>
      <c r="D48" s="257"/>
      <c r="E48" s="258"/>
      <c r="F48" s="258"/>
      <c r="G48" s="259"/>
      <c r="H48" s="259"/>
      <c r="J48" s="259"/>
      <c r="K48" s="259"/>
    </row>
    <row r="49" spans="1:10" ht="15.75" customHeight="1">
      <c r="A49" s="218"/>
      <c r="B49" s="218"/>
      <c r="C49" s="218"/>
      <c r="D49" s="851" t="str">
        <f>BCDKT!H165</f>
        <v>TP. Hồ Chí Minh, ngày 22 tháng 1 năm 2008</v>
      </c>
      <c r="E49" s="851"/>
      <c r="F49" s="851"/>
      <c r="G49" s="851"/>
      <c r="H49" s="851"/>
      <c r="J49" s="67"/>
    </row>
    <row r="50" spans="1:10" ht="15.75" customHeight="1">
      <c r="A50" s="218"/>
      <c r="B50" s="218"/>
      <c r="C50" s="832" t="s">
        <v>121</v>
      </c>
      <c r="D50" s="910" t="s">
        <v>123</v>
      </c>
      <c r="E50" s="853"/>
      <c r="F50" s="853"/>
      <c r="G50" s="853"/>
      <c r="H50" s="853"/>
      <c r="J50" s="67"/>
    </row>
    <row r="51" spans="1:11" ht="15.75" customHeight="1">
      <c r="A51" s="218"/>
      <c r="B51" s="218"/>
      <c r="C51" s="218"/>
      <c r="D51" s="218"/>
      <c r="E51" s="191"/>
      <c r="F51" s="218"/>
      <c r="G51" s="218"/>
      <c r="J51" s="218"/>
      <c r="K51" s="218"/>
    </row>
    <row r="52" spans="1:11" ht="30.75" customHeight="1">
      <c r="A52" s="218"/>
      <c r="B52" s="218"/>
      <c r="C52" s="218"/>
      <c r="D52" s="218"/>
      <c r="E52" s="191"/>
      <c r="F52" s="218"/>
      <c r="G52" s="218"/>
      <c r="J52" s="218"/>
      <c r="K52" s="218"/>
    </row>
    <row r="53" spans="1:11" ht="15.75" customHeight="1">
      <c r="A53" s="218"/>
      <c r="B53" s="218"/>
      <c r="C53" s="218"/>
      <c r="D53" s="218"/>
      <c r="E53" s="191"/>
      <c r="F53" s="218"/>
      <c r="G53" s="218"/>
      <c r="J53" s="218"/>
      <c r="K53" s="218"/>
    </row>
    <row r="54" spans="1:10" ht="15.75" customHeight="1">
      <c r="A54" s="218"/>
      <c r="B54" s="218"/>
      <c r="C54" s="210" t="str">
        <f>BCDKT!E171</f>
        <v>LÊ NGỌC BÍCH</v>
      </c>
      <c r="D54" s="854" t="str">
        <f>BCDKT!H171</f>
        <v>NGUYỄN DUY HÙNG</v>
      </c>
      <c r="E54" s="854"/>
      <c r="F54" s="854"/>
      <c r="G54" s="854"/>
      <c r="H54" s="854"/>
      <c r="J54" s="67"/>
    </row>
  </sheetData>
  <mergeCells count="7">
    <mergeCell ref="D49:H49"/>
    <mergeCell ref="D50:H50"/>
    <mergeCell ref="D54:H54"/>
    <mergeCell ref="A6:C6"/>
    <mergeCell ref="B31:C31"/>
    <mergeCell ref="B14:C14"/>
    <mergeCell ref="B45:C45"/>
  </mergeCells>
  <printOptions/>
  <pageMargins left="0.5" right="0.26" top="0.5" bottom="0.6" header="0.29" footer="0.41"/>
  <pageSetup firstPageNumber="34" useFirstPageNumber="1" horizontalDpi="600" verticalDpi="600" orientation="portrait" paperSize="9" r:id="rId1"/>
  <headerFooter alignWithMargins="0">
    <oddFooter>&amp;L&amp;9Phuï luïc 02&amp;R&amp;9Trang &amp;P</oddFooter>
  </headerFooter>
</worksheet>
</file>

<file path=xl/worksheets/sheet7.xml><?xml version="1.0" encoding="utf-8"?>
<worksheet xmlns="http://schemas.openxmlformats.org/spreadsheetml/2006/main" xmlns:r="http://schemas.openxmlformats.org/officeDocument/2006/relationships">
  <dimension ref="A1:K63"/>
  <sheetViews>
    <sheetView workbookViewId="0" topLeftCell="E1">
      <selection activeCell="A3" sqref="A3"/>
    </sheetView>
  </sheetViews>
  <sheetFormatPr defaultColWidth="9.00390625" defaultRowHeight="12.75"/>
  <cols>
    <col min="1" max="1" width="2.75390625" style="67" customWidth="1"/>
    <col min="2" max="2" width="3.00390625" style="67" customWidth="1"/>
    <col min="3" max="3" width="4.625" style="67" customWidth="1"/>
    <col min="4" max="5" width="9.125" style="67" customWidth="1"/>
    <col min="6" max="6" width="31.125" style="67" customWidth="1"/>
    <col min="7" max="7" width="7.375" style="67" customWidth="1"/>
    <col min="8" max="8" width="22.625" style="67" customWidth="1"/>
    <col min="9" max="9" width="20.625" style="196" customWidth="1"/>
    <col min="10" max="10" width="9.125" style="67" customWidth="1"/>
    <col min="11" max="11" width="16.00390625" style="67" bestFit="1" customWidth="1"/>
    <col min="12" max="16384" width="9.125" style="67" customWidth="1"/>
  </cols>
  <sheetData>
    <row r="1" spans="1:9" ht="18.75" customHeight="1">
      <c r="A1" s="65" t="str">
        <f>'KQKD1 (2)'!A1</f>
        <v>CÔNG TY CỔ PHẦN ĐẦU TƯ VÀ VẬN TẢI DẦU KHÍ VINASHIN </v>
      </c>
      <c r="C1" s="66"/>
      <c r="D1" s="66"/>
      <c r="E1" s="193"/>
      <c r="F1" s="71"/>
      <c r="G1" s="79"/>
      <c r="H1" s="79"/>
      <c r="I1" s="79"/>
    </row>
    <row r="2" spans="1:9" ht="15.75" customHeight="1">
      <c r="A2" s="65"/>
      <c r="C2" s="66"/>
      <c r="D2" s="66"/>
      <c r="E2" s="193"/>
      <c r="F2" s="71"/>
      <c r="G2" s="79"/>
      <c r="H2" s="79"/>
      <c r="I2" s="67"/>
    </row>
    <row r="3" spans="1:9" ht="21.75" customHeight="1">
      <c r="A3" s="641" t="s">
        <v>239</v>
      </c>
      <c r="C3" s="69"/>
      <c r="D3" s="69"/>
      <c r="E3" s="197"/>
      <c r="F3" s="198"/>
      <c r="G3" s="197"/>
      <c r="H3" s="197"/>
      <c r="I3" s="67"/>
    </row>
    <row r="4" spans="1:9" ht="18.75" customHeight="1">
      <c r="A4" s="65" t="str">
        <f>TM!A4</f>
        <v>Cho niên độ kết thúc ngày 31 tháng 12 năm 2007</v>
      </c>
      <c r="C4" s="66"/>
      <c r="D4" s="66"/>
      <c r="E4" s="193"/>
      <c r="F4" s="71"/>
      <c r="G4" s="79"/>
      <c r="H4" s="79"/>
      <c r="I4" s="286" t="str">
        <f>KQKD1!H4</f>
        <v>Đơn vị tính: VNĐ</v>
      </c>
    </row>
    <row r="5" spans="1:9" s="218" customFormat="1" ht="17.25" customHeight="1" thickBot="1">
      <c r="A5" s="69"/>
      <c r="B5" s="68"/>
      <c r="C5" s="69"/>
      <c r="D5" s="69"/>
      <c r="E5" s="69"/>
      <c r="F5" s="69"/>
      <c r="G5" s="69"/>
      <c r="H5" s="69"/>
      <c r="I5" s="286"/>
    </row>
    <row r="6" spans="1:9" s="218" customFormat="1" ht="30" customHeight="1" thickTop="1">
      <c r="A6" s="843" t="s">
        <v>113</v>
      </c>
      <c r="B6" s="844"/>
      <c r="C6" s="844"/>
      <c r="D6" s="844"/>
      <c r="E6" s="844"/>
      <c r="F6" s="845"/>
      <c r="G6" s="711" t="s">
        <v>21</v>
      </c>
      <c r="H6" s="566" t="str">
        <f>KQKD1!G6</f>
        <v>Năm 2007</v>
      </c>
      <c r="I6" s="202" t="str">
        <f>KQKD1!H6</f>
        <v>Năm 2006</v>
      </c>
    </row>
    <row r="7" spans="1:9" s="218" customFormat="1" ht="7.5" customHeight="1">
      <c r="A7" s="567"/>
      <c r="B7" s="568"/>
      <c r="C7" s="568"/>
      <c r="D7" s="568"/>
      <c r="E7" s="568"/>
      <c r="F7" s="569"/>
      <c r="G7" s="570"/>
      <c r="H7" s="571"/>
      <c r="I7" s="114"/>
    </row>
    <row r="8" spans="1:9" s="218" customFormat="1" ht="15.75" customHeight="1">
      <c r="A8" s="712" t="s">
        <v>699</v>
      </c>
      <c r="F8" s="221"/>
      <c r="G8" s="573"/>
      <c r="H8" s="574"/>
      <c r="I8" s="575"/>
    </row>
    <row r="9" spans="1:9" s="218" customFormat="1" ht="7.5" customHeight="1">
      <c r="A9" s="572"/>
      <c r="F9" s="221"/>
      <c r="G9" s="573"/>
      <c r="H9" s="574"/>
      <c r="I9" s="575"/>
    </row>
    <row r="10" spans="1:9" s="218" customFormat="1" ht="24.75" customHeight="1">
      <c r="A10" s="714" t="s">
        <v>226</v>
      </c>
      <c r="B10" s="698" t="s">
        <v>700</v>
      </c>
      <c r="F10" s="221"/>
      <c r="G10" s="713" t="s">
        <v>205</v>
      </c>
      <c r="H10" s="239">
        <f>KQKD1!G38</f>
        <v>82238903006</v>
      </c>
      <c r="I10" s="575">
        <v>19444803807</v>
      </c>
    </row>
    <row r="11" spans="1:9" s="218" customFormat="1" ht="24.75" customHeight="1">
      <c r="A11" s="714" t="s">
        <v>148</v>
      </c>
      <c r="B11" s="698" t="s">
        <v>701</v>
      </c>
      <c r="C11" s="264"/>
      <c r="F11" s="221"/>
      <c r="G11" s="577"/>
      <c r="H11" s="236"/>
      <c r="I11" s="578"/>
    </row>
    <row r="12" spans="1:9" s="218" customFormat="1" ht="18" customHeight="1">
      <c r="A12" s="579"/>
      <c r="B12" s="699" t="s">
        <v>702</v>
      </c>
      <c r="C12" s="264"/>
      <c r="F12" s="221"/>
      <c r="G12" s="717" t="s">
        <v>234</v>
      </c>
      <c r="H12" s="236">
        <f>73635588189</f>
        <v>73635588189</v>
      </c>
      <c r="I12" s="578">
        <v>28492860481</v>
      </c>
    </row>
    <row r="13" spans="1:9" s="218" customFormat="1" ht="18" customHeight="1">
      <c r="A13" s="580"/>
      <c r="B13" s="699" t="s">
        <v>703</v>
      </c>
      <c r="C13" s="264"/>
      <c r="F13" s="221"/>
      <c r="G13" s="717" t="s">
        <v>206</v>
      </c>
      <c r="H13" s="236">
        <v>4525675234</v>
      </c>
      <c r="I13" s="578">
        <v>1474324766</v>
      </c>
    </row>
    <row r="14" spans="1:9" s="218" customFormat="1" ht="18" customHeight="1">
      <c r="A14" s="580"/>
      <c r="B14" s="699" t="s">
        <v>704</v>
      </c>
      <c r="C14" s="264"/>
      <c r="F14" s="221"/>
      <c r="G14" s="717" t="s">
        <v>624</v>
      </c>
      <c r="H14" s="236">
        <f>558619397+14109+241559+1757684+5996+7206436+134396320+30451632+7353+4051585+11136+181425000+1060303403+1395675332+8923216+24981983+101984000+445072828+479798414+938603794+1+12198737+452025+48487166+648440+2578253+19306749-26780-7260000-70966373-43227341-42157285-35086128-46933495-151337284-212182500-1260-646101602-452260000-6882750-67008670-90669993-34392066-187593089-150-25089-192030812-1042857-415800-599618-145073951-10762844-154780-2756516-12625-287100-2040291-1327711</f>
        <v>3006585788</v>
      </c>
      <c r="I14" s="578">
        <v>4714788235</v>
      </c>
    </row>
    <row r="15" spans="1:9" s="218" customFormat="1" ht="18" customHeight="1">
      <c r="A15" s="580"/>
      <c r="B15" s="699" t="s">
        <v>705</v>
      </c>
      <c r="C15" s="264"/>
      <c r="F15" s="221"/>
      <c r="G15" s="717" t="s">
        <v>207</v>
      </c>
      <c r="H15" s="236">
        <v>-48573521329</v>
      </c>
      <c r="I15" s="578">
        <v>2234877902</v>
      </c>
    </row>
    <row r="16" spans="1:9" s="218" customFormat="1" ht="18" customHeight="1">
      <c r="A16" s="580"/>
      <c r="B16" s="715" t="s">
        <v>706</v>
      </c>
      <c r="C16" s="264"/>
      <c r="F16" s="221"/>
      <c r="G16" s="717" t="s">
        <v>208</v>
      </c>
      <c r="H16" s="236">
        <f>KQKD1!G25</f>
        <v>67013941421</v>
      </c>
      <c r="I16" s="578">
        <v>32768747216</v>
      </c>
    </row>
    <row r="17" spans="1:9" s="231" customFormat="1" ht="24.75" customHeight="1">
      <c r="A17" s="714" t="s">
        <v>152</v>
      </c>
      <c r="B17" s="797" t="s">
        <v>707</v>
      </c>
      <c r="C17" s="582"/>
      <c r="F17" s="583"/>
      <c r="G17" s="713" t="s">
        <v>227</v>
      </c>
      <c r="H17" s="239">
        <f>SUM(H10:H16)</f>
        <v>181847172309</v>
      </c>
      <c r="I17" s="584">
        <f>SUM(I10:I16)</f>
        <v>89130402407</v>
      </c>
    </row>
    <row r="18" spans="1:9" s="262" customFormat="1" ht="18" customHeight="1">
      <c r="A18" s="585"/>
      <c r="B18" s="715" t="s">
        <v>708</v>
      </c>
      <c r="C18" s="581"/>
      <c r="F18" s="586"/>
      <c r="G18" s="718" t="s">
        <v>228</v>
      </c>
      <c r="H18" s="588">
        <v>-511738319431</v>
      </c>
      <c r="I18" s="589">
        <v>-125337165240</v>
      </c>
    </row>
    <row r="19" spans="1:9" s="218" customFormat="1" ht="18" customHeight="1">
      <c r="A19" s="580"/>
      <c r="B19" s="715" t="s">
        <v>709</v>
      </c>
      <c r="C19" s="264"/>
      <c r="F19" s="221"/>
      <c r="G19" s="717" t="s">
        <v>210</v>
      </c>
      <c r="H19" s="236">
        <v>-32558128239</v>
      </c>
      <c r="I19" s="578">
        <v>-687937322</v>
      </c>
    </row>
    <row r="20" spans="1:9" s="218" customFormat="1" ht="18" customHeight="1">
      <c r="A20" s="580"/>
      <c r="B20" s="836" t="s">
        <v>710</v>
      </c>
      <c r="C20" s="837"/>
      <c r="D20" s="837"/>
      <c r="E20" s="837"/>
      <c r="F20" s="838"/>
      <c r="G20" s="717" t="s">
        <v>211</v>
      </c>
      <c r="H20" s="236">
        <f>1180677831148-H14+37168727649+2368083321-6601879941</f>
        <v>1210606176389</v>
      </c>
      <c r="I20" s="578">
        <v>2302068030</v>
      </c>
    </row>
    <row r="21" spans="1:9" s="218" customFormat="1" ht="18" customHeight="1">
      <c r="A21" s="580"/>
      <c r="B21" s="715" t="s">
        <v>711</v>
      </c>
      <c r="C21" s="264"/>
      <c r="F21" s="221"/>
      <c r="G21" s="717" t="s">
        <v>229</v>
      </c>
      <c r="H21" s="236">
        <v>-13420678651</v>
      </c>
      <c r="I21" s="589">
        <v>-7566167760</v>
      </c>
    </row>
    <row r="22" spans="1:9" s="262" customFormat="1" ht="18" customHeight="1">
      <c r="A22" s="585"/>
      <c r="B22" s="715" t="s">
        <v>712</v>
      </c>
      <c r="C22" s="581"/>
      <c r="F22" s="586"/>
      <c r="G22" s="587">
        <v>13</v>
      </c>
      <c r="H22" s="588">
        <v>-50810523676</v>
      </c>
      <c r="I22" s="589">
        <v>-13405936508</v>
      </c>
    </row>
    <row r="23" spans="1:9" s="262" customFormat="1" ht="18" customHeight="1">
      <c r="A23" s="585"/>
      <c r="B23" s="715" t="s">
        <v>713</v>
      </c>
      <c r="C23" s="581"/>
      <c r="F23" s="586"/>
      <c r="G23" s="587">
        <v>14</v>
      </c>
      <c r="H23" s="588">
        <v>-1457989060</v>
      </c>
      <c r="I23" s="589">
        <v>0</v>
      </c>
    </row>
    <row r="24" spans="1:9" s="218" customFormat="1" ht="18" customHeight="1">
      <c r="A24" s="580"/>
      <c r="B24" s="715" t="s">
        <v>714</v>
      </c>
      <c r="C24" s="264"/>
      <c r="F24" s="221"/>
      <c r="G24" s="577">
        <v>15</v>
      </c>
      <c r="H24" s="236">
        <v>11540705000</v>
      </c>
      <c r="I24" s="578">
        <v>22292343</v>
      </c>
    </row>
    <row r="25" spans="1:9" s="218" customFormat="1" ht="18" customHeight="1">
      <c r="A25" s="580"/>
      <c r="B25" s="715" t="s">
        <v>715</v>
      </c>
      <c r="C25" s="264"/>
      <c r="F25" s="221"/>
      <c r="G25" s="577">
        <v>16</v>
      </c>
      <c r="H25" s="236">
        <v>-14098144163</v>
      </c>
      <c r="I25" s="578">
        <v>-1413675529</v>
      </c>
    </row>
    <row r="26" spans="1:9" s="231" customFormat="1" ht="24.75" customHeight="1">
      <c r="A26" s="719" t="s">
        <v>716</v>
      </c>
      <c r="B26" s="427"/>
      <c r="C26" s="582"/>
      <c r="F26" s="583"/>
      <c r="G26" s="576">
        <v>20</v>
      </c>
      <c r="H26" s="239">
        <f>SUM(H17:H25)</f>
        <v>779910270478</v>
      </c>
      <c r="I26" s="584">
        <f>SUM(I17:I25)</f>
        <v>-56956119579</v>
      </c>
    </row>
    <row r="27" spans="1:9" s="218" customFormat="1" ht="10.5" customHeight="1">
      <c r="A27" s="580"/>
      <c r="B27" s="581"/>
      <c r="C27" s="264"/>
      <c r="F27" s="221"/>
      <c r="G27" s="577"/>
      <c r="H27" s="236"/>
      <c r="I27" s="578"/>
    </row>
    <row r="28" spans="1:9" s="218" customFormat="1" ht="24.75" customHeight="1">
      <c r="A28" s="846" t="s">
        <v>717</v>
      </c>
      <c r="B28" s="833"/>
      <c r="C28" s="833"/>
      <c r="D28" s="833"/>
      <c r="E28" s="833"/>
      <c r="F28" s="834"/>
      <c r="G28" s="573"/>
      <c r="H28" s="214"/>
      <c r="I28" s="575"/>
    </row>
    <row r="29" spans="1:9" s="218" customFormat="1" ht="6" customHeight="1">
      <c r="A29" s="233"/>
      <c r="B29" s="210"/>
      <c r="C29" s="210"/>
      <c r="D29" s="210"/>
      <c r="E29" s="210"/>
      <c r="F29" s="591"/>
      <c r="G29" s="573"/>
      <c r="H29" s="214"/>
      <c r="I29" s="575"/>
    </row>
    <row r="30" spans="1:9" s="262" customFormat="1" ht="18" customHeight="1">
      <c r="A30" s="721" t="s">
        <v>147</v>
      </c>
      <c r="B30" s="720" t="s">
        <v>718</v>
      </c>
      <c r="C30" s="356"/>
      <c r="D30" s="356"/>
      <c r="E30" s="356"/>
      <c r="F30" s="592"/>
      <c r="G30" s="593">
        <v>21</v>
      </c>
      <c r="H30" s="594">
        <v>-585312497970</v>
      </c>
      <c r="I30" s="595">
        <v>-359966673853</v>
      </c>
    </row>
    <row r="31" spans="1:9" s="218" customFormat="1" ht="18" customHeight="1">
      <c r="A31" s="708" t="s">
        <v>148</v>
      </c>
      <c r="B31" s="694" t="s">
        <v>719</v>
      </c>
      <c r="C31" s="210"/>
      <c r="D31" s="210"/>
      <c r="E31" s="210"/>
      <c r="F31" s="591"/>
      <c r="G31" s="596">
        <v>22</v>
      </c>
      <c r="H31" s="222">
        <v>166077200000</v>
      </c>
      <c r="I31" s="597">
        <v>3100000000</v>
      </c>
    </row>
    <row r="32" spans="1:9" s="218" customFormat="1" ht="18" customHeight="1">
      <c r="A32" s="708" t="s">
        <v>152</v>
      </c>
      <c r="B32" s="694" t="s">
        <v>720</v>
      </c>
      <c r="C32" s="210"/>
      <c r="D32" s="210"/>
      <c r="E32" s="210"/>
      <c r="F32" s="591"/>
      <c r="G32" s="596">
        <v>23</v>
      </c>
      <c r="H32" s="222">
        <v>0</v>
      </c>
      <c r="I32" s="597">
        <v>0</v>
      </c>
    </row>
    <row r="33" spans="1:9" s="218" customFormat="1" ht="18" customHeight="1">
      <c r="A33" s="708" t="s">
        <v>155</v>
      </c>
      <c r="B33" s="694" t="s">
        <v>721</v>
      </c>
      <c r="C33" s="210"/>
      <c r="D33" s="210"/>
      <c r="E33" s="210"/>
      <c r="F33" s="591"/>
      <c r="G33" s="596">
        <v>24</v>
      </c>
      <c r="H33" s="222">
        <v>0</v>
      </c>
      <c r="I33" s="597">
        <v>0</v>
      </c>
    </row>
    <row r="34" spans="1:9" s="262" customFormat="1" ht="18" customHeight="1">
      <c r="A34" s="721" t="s">
        <v>156</v>
      </c>
      <c r="B34" s="720" t="s">
        <v>722</v>
      </c>
      <c r="C34" s="356"/>
      <c r="D34" s="356"/>
      <c r="E34" s="356"/>
      <c r="F34" s="592"/>
      <c r="G34" s="593">
        <v>25</v>
      </c>
      <c r="H34" s="594">
        <v>-413730851928</v>
      </c>
      <c r="I34" s="595">
        <v>0</v>
      </c>
    </row>
    <row r="35" spans="1:9" s="218" customFormat="1" ht="15.75" customHeight="1" hidden="1">
      <c r="A35" s="722" t="s">
        <v>157</v>
      </c>
      <c r="B35" s="694" t="s">
        <v>723</v>
      </c>
      <c r="C35" s="264"/>
      <c r="F35" s="221"/>
      <c r="G35" s="577">
        <v>26</v>
      </c>
      <c r="H35" s="236">
        <v>0</v>
      </c>
      <c r="I35" s="578">
        <v>0</v>
      </c>
    </row>
    <row r="36" spans="1:9" s="218" customFormat="1" ht="15.75" customHeight="1" hidden="1">
      <c r="A36" s="722" t="s">
        <v>159</v>
      </c>
      <c r="B36" s="699" t="s">
        <v>724</v>
      </c>
      <c r="C36" s="264"/>
      <c r="F36" s="221"/>
      <c r="G36" s="577">
        <v>27</v>
      </c>
      <c r="H36" s="236">
        <v>0</v>
      </c>
      <c r="I36" s="578">
        <v>0</v>
      </c>
    </row>
    <row r="37" spans="1:9" s="218" customFormat="1" ht="27.75" customHeight="1">
      <c r="A37" s="719" t="s">
        <v>725</v>
      </c>
      <c r="B37" s="263"/>
      <c r="F37" s="221"/>
      <c r="G37" s="573">
        <v>30</v>
      </c>
      <c r="H37" s="214">
        <f>SUM(H30:H36)</f>
        <v>-832966149898</v>
      </c>
      <c r="I37" s="598">
        <f>SUM(I30:I36)</f>
        <v>-356866673853</v>
      </c>
    </row>
    <row r="38" spans="1:9" s="218" customFormat="1" ht="9.75" customHeight="1">
      <c r="A38" s="580"/>
      <c r="B38" s="231"/>
      <c r="F38" s="221"/>
      <c r="G38" s="573"/>
      <c r="H38" s="214"/>
      <c r="I38" s="575"/>
    </row>
    <row r="39" spans="1:9" s="218" customFormat="1" ht="24.75" customHeight="1">
      <c r="A39" s="846" t="s">
        <v>726</v>
      </c>
      <c r="B39" s="833"/>
      <c r="C39" s="833"/>
      <c r="D39" s="833"/>
      <c r="E39" s="833"/>
      <c r="F39" s="834"/>
      <c r="G39" s="573"/>
      <c r="H39" s="214"/>
      <c r="I39" s="575"/>
    </row>
    <row r="40" spans="1:9" s="218" customFormat="1" ht="6" customHeight="1">
      <c r="A40" s="233"/>
      <c r="B40" s="210"/>
      <c r="C40" s="210"/>
      <c r="D40" s="210"/>
      <c r="E40" s="210"/>
      <c r="F40" s="591"/>
      <c r="G40" s="573"/>
      <c r="H40" s="214"/>
      <c r="I40" s="575"/>
    </row>
    <row r="41" spans="1:9" s="218" customFormat="1" ht="18" customHeight="1">
      <c r="A41" s="708" t="s">
        <v>147</v>
      </c>
      <c r="B41" s="699" t="s">
        <v>727</v>
      </c>
      <c r="C41" s="264"/>
      <c r="F41" s="221"/>
      <c r="G41" s="577">
        <v>31</v>
      </c>
      <c r="H41" s="236">
        <v>0</v>
      </c>
      <c r="I41" s="578">
        <v>0</v>
      </c>
    </row>
    <row r="42" spans="1:9" s="218" customFormat="1" ht="18" customHeight="1">
      <c r="A42" s="708" t="s">
        <v>148</v>
      </c>
      <c r="B42" s="699" t="s">
        <v>728</v>
      </c>
      <c r="C42" s="264"/>
      <c r="F42" s="221"/>
      <c r="G42" s="577">
        <v>32</v>
      </c>
      <c r="H42" s="236">
        <v>0</v>
      </c>
      <c r="I42" s="578">
        <v>0</v>
      </c>
    </row>
    <row r="43" spans="1:9" s="218" customFormat="1" ht="18" customHeight="1">
      <c r="A43" s="708" t="s">
        <v>152</v>
      </c>
      <c r="B43" s="699" t="s">
        <v>729</v>
      </c>
      <c r="C43" s="264"/>
      <c r="F43" s="221"/>
      <c r="G43" s="577">
        <v>33</v>
      </c>
      <c r="H43" s="236">
        <v>966695706104</v>
      </c>
      <c r="I43" s="578">
        <v>763363550056</v>
      </c>
    </row>
    <row r="44" spans="1:9" s="218" customFormat="1" ht="18" customHeight="1">
      <c r="A44" s="708" t="s">
        <v>155</v>
      </c>
      <c r="B44" s="715" t="s">
        <v>730</v>
      </c>
      <c r="C44" s="264"/>
      <c r="F44" s="221"/>
      <c r="G44" s="577">
        <v>34</v>
      </c>
      <c r="H44" s="236">
        <v>-522241906706</v>
      </c>
      <c r="I44" s="578">
        <v>-325259399749</v>
      </c>
    </row>
    <row r="45" spans="1:9" s="218" customFormat="1" ht="18" customHeight="1">
      <c r="A45" s="708" t="s">
        <v>156</v>
      </c>
      <c r="B45" s="715" t="s">
        <v>731</v>
      </c>
      <c r="C45" s="264"/>
      <c r="F45" s="221"/>
      <c r="G45" s="577">
        <v>35</v>
      </c>
      <c r="H45" s="236">
        <v>-89015162</v>
      </c>
      <c r="I45" s="578">
        <v>-178680347</v>
      </c>
    </row>
    <row r="46" spans="1:9" s="218" customFormat="1" ht="18" customHeight="1">
      <c r="A46" s="722" t="s">
        <v>157</v>
      </c>
      <c r="B46" s="715" t="s">
        <v>732</v>
      </c>
      <c r="C46" s="264"/>
      <c r="F46" s="221"/>
      <c r="G46" s="577">
        <v>36</v>
      </c>
      <c r="H46" s="236">
        <v>0</v>
      </c>
      <c r="I46" s="578">
        <v>0</v>
      </c>
    </row>
    <row r="47" spans="1:9" ht="14.25">
      <c r="A47" s="719" t="s">
        <v>733</v>
      </c>
      <c r="B47" s="263"/>
      <c r="C47" s="218"/>
      <c r="D47" s="218"/>
      <c r="E47" s="218"/>
      <c r="F47" s="221"/>
      <c r="G47" s="573">
        <v>40</v>
      </c>
      <c r="H47" s="214">
        <f>SUM(H41:H46)</f>
        <v>444364784236</v>
      </c>
      <c r="I47" s="598">
        <f>SUM(I41:I46)</f>
        <v>437925469960</v>
      </c>
    </row>
    <row r="48" spans="1:9" ht="3" customHeight="1">
      <c r="A48" s="590"/>
      <c r="B48" s="263"/>
      <c r="C48" s="218"/>
      <c r="D48" s="218"/>
      <c r="E48" s="218"/>
      <c r="F48" s="221"/>
      <c r="G48" s="573"/>
      <c r="H48" s="214"/>
      <c r="I48" s="575"/>
    </row>
    <row r="49" spans="1:9" ht="15.75" customHeight="1">
      <c r="A49" s="719" t="s">
        <v>734</v>
      </c>
      <c r="B49" s="263"/>
      <c r="C49" s="218"/>
      <c r="D49" s="218"/>
      <c r="E49" s="218"/>
      <c r="F49" s="221"/>
      <c r="G49" s="573">
        <v>50</v>
      </c>
      <c r="H49" s="214">
        <f>H26+H37+H47</f>
        <v>391308904816</v>
      </c>
      <c r="I49" s="598">
        <f>I26+I37+I47</f>
        <v>24102676528</v>
      </c>
    </row>
    <row r="50" spans="1:9" ht="3" customHeight="1">
      <c r="A50" s="580"/>
      <c r="B50" s="263"/>
      <c r="C50" s="218"/>
      <c r="D50" s="218"/>
      <c r="E50" s="218"/>
      <c r="F50" s="221"/>
      <c r="G50" s="573"/>
      <c r="H50" s="214"/>
      <c r="I50" s="575"/>
    </row>
    <row r="51" spans="1:9" ht="15.75" customHeight="1">
      <c r="A51" s="580"/>
      <c r="B51" s="723" t="s">
        <v>735</v>
      </c>
      <c r="C51" s="218"/>
      <c r="D51" s="218"/>
      <c r="E51" s="218"/>
      <c r="F51" s="221"/>
      <c r="G51" s="573">
        <v>60</v>
      </c>
      <c r="H51" s="214">
        <f>BCDKT!I12</f>
        <v>30405470607</v>
      </c>
      <c r="I51" s="575">
        <v>6302794079</v>
      </c>
    </row>
    <row r="52" spans="1:9" ht="3" customHeight="1">
      <c r="A52" s="580"/>
      <c r="B52" s="263"/>
      <c r="C52" s="218"/>
      <c r="D52" s="218"/>
      <c r="E52" s="218"/>
      <c r="F52" s="221"/>
      <c r="G52" s="573"/>
      <c r="H52" s="214"/>
      <c r="I52" s="575"/>
    </row>
    <row r="53" spans="1:9" ht="16.5" customHeight="1">
      <c r="A53" s="580"/>
      <c r="B53" s="724" t="s">
        <v>736</v>
      </c>
      <c r="C53" s="218"/>
      <c r="D53" s="218"/>
      <c r="E53" s="218"/>
      <c r="F53" s="221"/>
      <c r="G53" s="596">
        <v>61</v>
      </c>
      <c r="H53" s="222">
        <v>0</v>
      </c>
      <c r="I53" s="597">
        <v>0</v>
      </c>
    </row>
    <row r="54" spans="1:9" ht="3" customHeight="1">
      <c r="A54" s="580"/>
      <c r="B54" s="228"/>
      <c r="C54" s="218"/>
      <c r="D54" s="218"/>
      <c r="E54" s="218"/>
      <c r="F54" s="221"/>
      <c r="G54" s="596"/>
      <c r="H54" s="222"/>
      <c r="I54" s="597"/>
    </row>
    <row r="55" spans="1:11" ht="15.75" customHeight="1">
      <c r="A55" s="580"/>
      <c r="B55" s="723" t="s">
        <v>737</v>
      </c>
      <c r="C55" s="218"/>
      <c r="D55" s="218"/>
      <c r="E55" s="218"/>
      <c r="F55" s="221"/>
      <c r="G55" s="573">
        <v>70</v>
      </c>
      <c r="H55" s="214">
        <f>H49+H51+H53</f>
        <v>421714375423</v>
      </c>
      <c r="I55" s="598">
        <f>I49+I51+I53</f>
        <v>30405470607</v>
      </c>
      <c r="J55" s="194"/>
      <c r="K55" s="194">
        <f>H55-'BCDKT (2)'!H13</f>
        <v>0</v>
      </c>
    </row>
    <row r="56" spans="1:9" ht="4.5" customHeight="1" thickBot="1">
      <c r="A56" s="250"/>
      <c r="B56" s="599"/>
      <c r="C56" s="599"/>
      <c r="D56" s="599"/>
      <c r="E56" s="599"/>
      <c r="F56" s="252"/>
      <c r="G56" s="253"/>
      <c r="H56" s="600"/>
      <c r="I56" s="256"/>
    </row>
    <row r="57" ht="11.25" customHeight="1" thickTop="1"/>
    <row r="58" spans="1:9" ht="15.75" customHeight="1">
      <c r="A58" s="218"/>
      <c r="B58" s="218"/>
      <c r="C58" s="218"/>
      <c r="D58" s="218"/>
      <c r="E58" s="260"/>
      <c r="G58" s="601" t="str">
        <f>KQKD1!D50</f>
        <v>TP. Hồ Chí Minh, ngày 22 tháng 1 năm 2008</v>
      </c>
      <c r="H58" s="601"/>
      <c r="I58" s="601"/>
    </row>
    <row r="59" spans="1:9" ht="9.75" customHeight="1">
      <c r="A59" s="218"/>
      <c r="B59" s="218"/>
      <c r="D59" s="261"/>
      <c r="E59" s="260"/>
      <c r="G59" s="853"/>
      <c r="H59" s="853"/>
      <c r="I59" s="853"/>
    </row>
    <row r="60" spans="1:9" ht="15.75" customHeight="1">
      <c r="A60" s="218"/>
      <c r="B60" s="218"/>
      <c r="C60" s="218"/>
      <c r="D60" s="218"/>
      <c r="E60" s="676" t="s">
        <v>121</v>
      </c>
      <c r="F60" s="218"/>
      <c r="G60" s="835" t="s">
        <v>123</v>
      </c>
      <c r="H60" s="853"/>
      <c r="I60" s="853"/>
    </row>
    <row r="61" spans="1:9" ht="24" customHeight="1">
      <c r="A61" s="218"/>
      <c r="B61" s="218"/>
      <c r="C61" s="218"/>
      <c r="D61" s="218"/>
      <c r="E61" s="260"/>
      <c r="G61" s="218"/>
      <c r="H61" s="218"/>
      <c r="I61" s="126"/>
    </row>
    <row r="62" spans="1:9" ht="28.5" customHeight="1">
      <c r="A62" s="218"/>
      <c r="B62" s="218"/>
      <c r="C62" s="218"/>
      <c r="D62" s="218"/>
      <c r="E62" s="260"/>
      <c r="G62" s="218"/>
      <c r="H62" s="218"/>
      <c r="I62" s="126"/>
    </row>
    <row r="63" spans="2:9" ht="20.25" customHeight="1">
      <c r="B63" s="218"/>
      <c r="D63" s="261"/>
      <c r="E63" s="602" t="str">
        <f>KQKD1!C55</f>
        <v>LÊ NGỌC BÍCH</v>
      </c>
      <c r="G63" s="854" t="str">
        <f>KQKD1!D55</f>
        <v>NGUYỄN DUY HÙNG</v>
      </c>
      <c r="H63" s="854"/>
      <c r="I63" s="854"/>
    </row>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sheetData>
  <mergeCells count="7">
    <mergeCell ref="G59:I59"/>
    <mergeCell ref="G63:I63"/>
    <mergeCell ref="A6:F6"/>
    <mergeCell ref="A28:F28"/>
    <mergeCell ref="A39:F39"/>
    <mergeCell ref="G60:I60"/>
    <mergeCell ref="B20:F20"/>
  </mergeCells>
  <printOptions/>
  <pageMargins left="0.66" right="0.28" top="0.56" bottom="0.48" header="0.18" footer="0.29"/>
  <pageSetup firstPageNumber="35" useFirstPageNumber="1" horizontalDpi="600" verticalDpi="600" orientation="portrait" paperSize="9" r:id="rId1"/>
  <headerFooter alignWithMargins="0">
    <oddFooter>&amp;L&amp;9Phuï luïc 03&amp;R&amp;9Trang &amp;P</oddFooter>
  </headerFooter>
</worksheet>
</file>

<file path=xl/worksheets/sheet8.xml><?xml version="1.0" encoding="utf-8"?>
<worksheet xmlns="http://schemas.openxmlformats.org/spreadsheetml/2006/main" xmlns:r="http://schemas.openxmlformats.org/officeDocument/2006/relationships">
  <dimension ref="A1:K388"/>
  <sheetViews>
    <sheetView workbookViewId="0" topLeftCell="A31">
      <selection activeCell="D45" sqref="D45"/>
    </sheetView>
  </sheetViews>
  <sheetFormatPr defaultColWidth="9.00390625" defaultRowHeight="12.75"/>
  <cols>
    <col min="1" max="1" width="4.125" style="29" customWidth="1"/>
    <col min="2" max="2" width="13.875" style="29" customWidth="1"/>
    <col min="3" max="3" width="9.125" style="29" customWidth="1"/>
    <col min="4" max="4" width="10.125" style="29" customWidth="1"/>
    <col min="5" max="5" width="12.25390625" style="29" customWidth="1"/>
    <col min="6" max="7" width="12.75390625" style="64" customWidth="1"/>
    <col min="8" max="8" width="15.125" style="64" customWidth="1"/>
    <col min="9" max="9" width="15.75390625" style="64" customWidth="1"/>
    <col min="10" max="16384" width="9.125" style="29" customWidth="1"/>
  </cols>
  <sheetData>
    <row r="1" spans="1:9" s="8" customFormat="1" ht="15">
      <c r="A1" s="1" t="str">
        <f>BCDKT!A1</f>
        <v>CÔNG TY CỔ PHẦN ĐẦU TƯ VÀ VẬN TẢI DẦU KHÍ VINASHIN VÀ CÔNG TY CON</v>
      </c>
      <c r="B1" s="2"/>
      <c r="C1" s="3"/>
      <c r="D1" s="3"/>
      <c r="E1" s="3"/>
      <c r="F1" s="4" t="s">
        <v>585</v>
      </c>
      <c r="G1" s="5"/>
      <c r="H1" s="6" t="s">
        <v>590</v>
      </c>
      <c r="I1" s="7" t="s">
        <v>591</v>
      </c>
    </row>
    <row r="2" spans="1:9" s="8" customFormat="1" ht="15">
      <c r="A2" s="9" t="s">
        <v>592</v>
      </c>
      <c r="B2" s="10"/>
      <c r="C2" s="11"/>
      <c r="D2" s="11"/>
      <c r="E2" s="11"/>
      <c r="F2" s="12" t="s">
        <v>593</v>
      </c>
      <c r="G2" s="13"/>
      <c r="H2" s="14">
        <f ca="1">NOW()</f>
        <v>39491.64095046296</v>
      </c>
      <c r="I2" s="15" t="s">
        <v>594</v>
      </c>
    </row>
    <row r="3" spans="1:9" s="8" customFormat="1" ht="15">
      <c r="A3" s="16" t="s">
        <v>586</v>
      </c>
      <c r="B3" s="17"/>
      <c r="C3" s="18"/>
      <c r="D3" s="18"/>
      <c r="E3" s="19"/>
      <c r="F3" s="20" t="s">
        <v>595</v>
      </c>
      <c r="G3" s="21"/>
      <c r="H3" s="22" t="s">
        <v>596</v>
      </c>
      <c r="I3" s="23"/>
    </row>
    <row r="4" spans="1:9" ht="9" customHeight="1">
      <c r="A4" s="24"/>
      <c r="B4" s="25"/>
      <c r="C4" s="26"/>
      <c r="D4" s="26"/>
      <c r="E4" s="26"/>
      <c r="F4" s="27"/>
      <c r="G4" s="28"/>
      <c r="H4" s="28"/>
      <c r="I4" s="28"/>
    </row>
    <row r="5" spans="1:9" ht="26.25" customHeight="1">
      <c r="A5" s="916" t="s">
        <v>597</v>
      </c>
      <c r="B5" s="916"/>
      <c r="C5" s="916"/>
      <c r="D5" s="916"/>
      <c r="E5" s="916"/>
      <c r="F5" s="916"/>
      <c r="G5" s="916"/>
      <c r="H5" s="916"/>
      <c r="I5" s="916"/>
    </row>
    <row r="6" spans="1:9" ht="26.25" customHeight="1">
      <c r="A6" s="928" t="s">
        <v>598</v>
      </c>
      <c r="B6" s="928"/>
      <c r="C6" s="928"/>
      <c r="D6" s="928"/>
      <c r="E6" s="928"/>
      <c r="F6" s="928"/>
      <c r="G6" s="928"/>
      <c r="H6" s="928"/>
      <c r="I6" s="928"/>
    </row>
    <row r="7" spans="1:9" ht="9" customHeight="1">
      <c r="A7" s="30"/>
      <c r="B7" s="30"/>
      <c r="C7" s="30"/>
      <c r="D7" s="30"/>
      <c r="E7" s="30"/>
      <c r="F7" s="31"/>
      <c r="G7" s="31"/>
      <c r="H7" s="31"/>
      <c r="I7" s="31"/>
    </row>
    <row r="8" spans="1:9" ht="15.75" customHeight="1">
      <c r="A8" s="920" t="s">
        <v>599</v>
      </c>
      <c r="B8" s="920" t="s">
        <v>600</v>
      </c>
      <c r="C8" s="922" t="s">
        <v>601</v>
      </c>
      <c r="D8" s="923"/>
      <c r="E8" s="924"/>
      <c r="F8" s="917" t="s">
        <v>602</v>
      </c>
      <c r="G8" s="918"/>
      <c r="H8" s="919" t="s">
        <v>603</v>
      </c>
      <c r="I8" s="918"/>
    </row>
    <row r="9" spans="1:9" ht="15.75" customHeight="1">
      <c r="A9" s="921"/>
      <c r="B9" s="921"/>
      <c r="C9" s="925"/>
      <c r="D9" s="926"/>
      <c r="E9" s="927"/>
      <c r="F9" s="33" t="s">
        <v>604</v>
      </c>
      <c r="G9" s="33" t="s">
        <v>605</v>
      </c>
      <c r="H9" s="33" t="s">
        <v>604</v>
      </c>
      <c r="I9" s="32" t="s">
        <v>605</v>
      </c>
    </row>
    <row r="10" spans="1:9" ht="6.75" customHeight="1">
      <c r="A10" s="25"/>
      <c r="B10" s="25"/>
      <c r="C10" s="24"/>
      <c r="D10" s="24"/>
      <c r="E10" s="24"/>
      <c r="F10" s="34"/>
      <c r="G10" s="34"/>
      <c r="H10" s="34"/>
      <c r="I10" s="34"/>
    </row>
    <row r="11" spans="1:9" ht="15.75" customHeight="1">
      <c r="A11" s="35" t="s">
        <v>606</v>
      </c>
      <c r="B11" s="25"/>
      <c r="C11" s="24"/>
      <c r="D11" s="24"/>
      <c r="E11" s="24"/>
      <c r="F11" s="34"/>
      <c r="G11" s="36"/>
      <c r="H11" s="34"/>
      <c r="I11" s="34"/>
    </row>
    <row r="12" spans="1:9" ht="21.75" customHeight="1">
      <c r="A12" s="506" t="s">
        <v>627</v>
      </c>
      <c r="B12" s="37"/>
      <c r="C12" s="26"/>
      <c r="D12" s="26"/>
      <c r="E12" s="26"/>
      <c r="F12" s="38"/>
      <c r="G12" s="38"/>
      <c r="H12" s="38"/>
      <c r="I12" s="38"/>
    </row>
    <row r="13" spans="1:9" ht="15.75" customHeight="1">
      <c r="A13" s="39" t="s">
        <v>629</v>
      </c>
      <c r="B13" s="40"/>
      <c r="C13" s="41"/>
      <c r="D13" s="41"/>
      <c r="E13" s="41"/>
      <c r="F13" s="42"/>
      <c r="G13" s="43"/>
      <c r="H13" s="43"/>
      <c r="I13" s="43"/>
    </row>
    <row r="14" spans="1:9" ht="15.75" customHeight="1">
      <c r="A14" s="914">
        <v>1</v>
      </c>
      <c r="B14" s="914"/>
      <c r="C14" s="44" t="s">
        <v>632</v>
      </c>
      <c r="D14" s="45"/>
      <c r="E14" s="46"/>
      <c r="F14" s="47">
        <v>7005000</v>
      </c>
      <c r="G14" s="47"/>
      <c r="H14" s="47"/>
      <c r="I14" s="47"/>
    </row>
    <row r="15" spans="1:9" ht="15.75" customHeight="1">
      <c r="A15" s="915"/>
      <c r="B15" s="915"/>
      <c r="C15" s="48"/>
      <c r="D15" s="49" t="s">
        <v>633</v>
      </c>
      <c r="E15" s="50"/>
      <c r="F15" s="51"/>
      <c r="G15" s="51"/>
      <c r="H15" s="51"/>
      <c r="I15" s="51">
        <f>F14</f>
        <v>7005000</v>
      </c>
    </row>
    <row r="16" spans="1:9" ht="12.75">
      <c r="A16" s="52"/>
      <c r="B16" s="52"/>
      <c r="C16" s="53"/>
      <c r="D16" s="53"/>
      <c r="E16" s="53"/>
      <c r="F16" s="54"/>
      <c r="G16" s="54"/>
      <c r="H16" s="54"/>
      <c r="I16" s="54"/>
    </row>
    <row r="17" spans="1:9" ht="12.75">
      <c r="A17" s="39" t="s">
        <v>630</v>
      </c>
      <c r="B17" s="40"/>
      <c r="C17" s="41"/>
      <c r="D17" s="41"/>
      <c r="E17" s="41"/>
      <c r="F17" s="42"/>
      <c r="G17" s="43"/>
      <c r="H17" s="43"/>
      <c r="I17" s="43"/>
    </row>
    <row r="18" spans="1:9" ht="12.75">
      <c r="A18" s="914">
        <v>2</v>
      </c>
      <c r="B18" s="914"/>
      <c r="C18" s="44" t="s">
        <v>628</v>
      </c>
      <c r="D18" s="45"/>
      <c r="E18" s="46"/>
      <c r="F18" s="47"/>
      <c r="G18" s="47"/>
      <c r="H18" s="47">
        <v>7931640</v>
      </c>
      <c r="I18" s="47"/>
    </row>
    <row r="19" spans="1:9" ht="12.75">
      <c r="A19" s="915"/>
      <c r="B19" s="915"/>
      <c r="C19" s="48"/>
      <c r="D19" s="49" t="s">
        <v>631</v>
      </c>
      <c r="E19" s="50"/>
      <c r="F19" s="51"/>
      <c r="G19" s="51">
        <f>H18</f>
        <v>7931640</v>
      </c>
      <c r="H19" s="51"/>
      <c r="I19" s="51"/>
    </row>
    <row r="20" spans="1:9" ht="12.75">
      <c r="A20" s="37"/>
      <c r="B20" s="55"/>
      <c r="C20" s="26"/>
      <c r="D20" s="26"/>
      <c r="E20" s="26"/>
      <c r="F20" s="38"/>
      <c r="G20" s="38"/>
      <c r="H20" s="38"/>
      <c r="I20" s="38"/>
    </row>
    <row r="21" spans="1:9" ht="12.75">
      <c r="A21" s="39" t="s">
        <v>634</v>
      </c>
      <c r="B21" s="40"/>
      <c r="C21" s="41"/>
      <c r="D21" s="41"/>
      <c r="E21" s="41"/>
      <c r="F21" s="42"/>
      <c r="G21" s="43"/>
      <c r="H21" s="43"/>
      <c r="I21" s="43"/>
    </row>
    <row r="22" spans="1:9" ht="12.75">
      <c r="A22" s="914">
        <v>3</v>
      </c>
      <c r="B22" s="914"/>
      <c r="C22" s="44" t="s">
        <v>635</v>
      </c>
      <c r="D22" s="452"/>
      <c r="E22" s="46"/>
      <c r="F22" s="47"/>
      <c r="G22" s="47"/>
      <c r="H22" s="47">
        <v>-65000000</v>
      </c>
      <c r="I22" s="47"/>
    </row>
    <row r="23" spans="1:9" ht="12.75">
      <c r="A23" s="915"/>
      <c r="B23" s="915"/>
      <c r="C23" s="48"/>
      <c r="D23" s="453" t="s">
        <v>231</v>
      </c>
      <c r="E23" s="50"/>
      <c r="F23" s="51"/>
      <c r="G23" s="51"/>
      <c r="H23" s="51"/>
      <c r="I23" s="51">
        <f>H22</f>
        <v>-65000000</v>
      </c>
    </row>
    <row r="24" spans="1:9" ht="12.75">
      <c r="A24" s="37"/>
      <c r="B24" s="55"/>
      <c r="C24" s="26"/>
      <c r="D24" s="26"/>
      <c r="E24" s="26"/>
      <c r="F24" s="38"/>
      <c r="G24" s="38"/>
      <c r="H24" s="38"/>
      <c r="I24" s="38"/>
    </row>
    <row r="25" spans="1:9" ht="12.75">
      <c r="A25" s="39" t="s">
        <v>639</v>
      </c>
      <c r="B25" s="40"/>
      <c r="C25" s="41"/>
      <c r="D25" s="41"/>
      <c r="E25" s="41"/>
      <c r="F25" s="42"/>
      <c r="G25" s="43"/>
      <c r="H25" s="43"/>
      <c r="I25" s="43"/>
    </row>
    <row r="26" spans="1:9" ht="12.75">
      <c r="A26" s="914">
        <v>4</v>
      </c>
      <c r="B26" s="914"/>
      <c r="C26" s="44" t="s">
        <v>230</v>
      </c>
      <c r="D26" s="45"/>
      <c r="E26" s="46"/>
      <c r="F26" s="47"/>
      <c r="G26" s="47"/>
      <c r="H26" s="47">
        <v>1000000000</v>
      </c>
      <c r="I26" s="47"/>
    </row>
    <row r="27" spans="1:9" ht="12.75">
      <c r="A27" s="915"/>
      <c r="B27" s="915"/>
      <c r="C27" s="48"/>
      <c r="D27" s="49" t="s">
        <v>636</v>
      </c>
      <c r="E27" s="50"/>
      <c r="F27" s="51"/>
      <c r="G27" s="51"/>
      <c r="H27" s="51"/>
      <c r="I27" s="51">
        <f>H26</f>
        <v>1000000000</v>
      </c>
    </row>
    <row r="28" spans="1:9" ht="12.75">
      <c r="A28" s="52"/>
      <c r="B28" s="52"/>
      <c r="C28" s="53"/>
      <c r="D28" s="53"/>
      <c r="E28" s="53"/>
      <c r="F28" s="54"/>
      <c r="G28" s="54"/>
      <c r="H28" s="54"/>
      <c r="I28" s="54"/>
    </row>
    <row r="29" spans="1:9" ht="12.75">
      <c r="A29" s="39" t="s">
        <v>640</v>
      </c>
      <c r="B29" s="40"/>
      <c r="C29" s="41"/>
      <c r="D29" s="41"/>
      <c r="E29" s="41"/>
      <c r="F29" s="42"/>
      <c r="G29" s="43"/>
      <c r="H29" s="43"/>
      <c r="I29" s="43"/>
    </row>
    <row r="30" spans="1:9" ht="12.75">
      <c r="A30" s="914">
        <v>5</v>
      </c>
      <c r="B30" s="914"/>
      <c r="C30" s="44" t="s">
        <v>637</v>
      </c>
      <c r="D30" s="45"/>
      <c r="E30" s="46"/>
      <c r="F30" s="47"/>
      <c r="G30" s="47"/>
      <c r="H30" s="47">
        <v>569387508</v>
      </c>
      <c r="I30" s="47"/>
    </row>
    <row r="31" spans="1:9" ht="12.75">
      <c r="A31" s="915"/>
      <c r="B31" s="915"/>
      <c r="C31" s="48"/>
      <c r="D31" s="49" t="s">
        <v>638</v>
      </c>
      <c r="E31" s="50"/>
      <c r="F31" s="51"/>
      <c r="G31" s="51"/>
      <c r="H31" s="51"/>
      <c r="I31" s="51">
        <f>H30</f>
        <v>569387508</v>
      </c>
    </row>
    <row r="32" spans="1:9" ht="12.75">
      <c r="A32" s="52"/>
      <c r="B32" s="52"/>
      <c r="C32" s="53"/>
      <c r="D32" s="53"/>
      <c r="E32" s="53"/>
      <c r="F32" s="54"/>
      <c r="G32" s="54"/>
      <c r="H32" s="54"/>
      <c r="I32" s="54"/>
    </row>
    <row r="33" spans="1:9" ht="12.75">
      <c r="A33" s="39" t="s">
        <v>644</v>
      </c>
      <c r="B33" s="40"/>
      <c r="C33" s="41"/>
      <c r="D33" s="41"/>
      <c r="E33" s="41"/>
      <c r="F33" s="42"/>
      <c r="G33" s="43"/>
      <c r="H33" s="43"/>
      <c r="I33" s="43"/>
    </row>
    <row r="34" spans="1:9" ht="12.75">
      <c r="A34" s="914">
        <v>6</v>
      </c>
      <c r="B34" s="914"/>
      <c r="C34" s="44" t="s">
        <v>645</v>
      </c>
      <c r="D34" s="45"/>
      <c r="E34" s="46"/>
      <c r="F34" s="47"/>
      <c r="G34" s="47"/>
      <c r="H34" s="47">
        <v>6269148072</v>
      </c>
      <c r="I34" s="47"/>
    </row>
    <row r="35" spans="1:9" ht="12.75">
      <c r="A35" s="915"/>
      <c r="B35" s="915"/>
      <c r="C35" s="48"/>
      <c r="D35" s="49" t="s">
        <v>636</v>
      </c>
      <c r="E35" s="50"/>
      <c r="F35" s="51"/>
      <c r="G35" s="51"/>
      <c r="H35" s="51"/>
      <c r="I35" s="51">
        <f>H34</f>
        <v>6269148072</v>
      </c>
    </row>
    <row r="36" spans="1:9" ht="12.75">
      <c r="A36" s="37"/>
      <c r="B36" s="55"/>
      <c r="C36" s="26"/>
      <c r="D36" s="26"/>
      <c r="E36" s="26"/>
      <c r="F36" s="57"/>
      <c r="G36" s="57"/>
      <c r="H36" s="38"/>
      <c r="I36" s="38"/>
    </row>
    <row r="37" spans="1:9" ht="12.75">
      <c r="A37" s="506" t="s">
        <v>641</v>
      </c>
      <c r="B37" s="52"/>
      <c r="C37" s="53"/>
      <c r="D37" s="53"/>
      <c r="E37" s="53"/>
      <c r="F37" s="54"/>
      <c r="G37" s="54"/>
      <c r="H37" s="54"/>
      <c r="I37" s="54"/>
    </row>
    <row r="38" spans="1:9" ht="12.75">
      <c r="A38" s="39" t="s">
        <v>642</v>
      </c>
      <c r="B38" s="40"/>
      <c r="C38" s="41"/>
      <c r="D38" s="41"/>
      <c r="E38" s="41"/>
      <c r="F38" s="42"/>
      <c r="G38" s="43"/>
      <c r="H38" s="43"/>
      <c r="I38" s="43"/>
    </row>
    <row r="39" spans="1:9" ht="12.75">
      <c r="A39" s="914">
        <v>6</v>
      </c>
      <c r="B39" s="914"/>
      <c r="C39" s="44" t="s">
        <v>643</v>
      </c>
      <c r="D39" s="45"/>
      <c r="E39" s="46"/>
      <c r="F39" s="47"/>
      <c r="G39" s="47"/>
      <c r="H39" s="47">
        <v>569387508</v>
      </c>
      <c r="I39" s="47"/>
    </row>
    <row r="40" spans="1:9" ht="12.75">
      <c r="A40" s="915"/>
      <c r="B40" s="915"/>
      <c r="C40" s="48"/>
      <c r="D40" s="49" t="s">
        <v>636</v>
      </c>
      <c r="E40" s="50"/>
      <c r="F40" s="51"/>
      <c r="G40" s="51"/>
      <c r="H40" s="51"/>
      <c r="I40" s="51">
        <f>H39</f>
        <v>569387508</v>
      </c>
    </row>
    <row r="41" spans="1:9" ht="12.75">
      <c r="A41" s="37"/>
      <c r="B41" s="55"/>
      <c r="C41" s="26"/>
      <c r="D41" s="26"/>
      <c r="E41" s="26"/>
      <c r="F41" s="57"/>
      <c r="G41" s="57"/>
      <c r="H41" s="38"/>
      <c r="I41" s="38"/>
    </row>
    <row r="42" spans="1:9" ht="12.75">
      <c r="A42" s="39" t="s">
        <v>646</v>
      </c>
      <c r="B42" s="40"/>
      <c r="C42" s="41"/>
      <c r="D42" s="41"/>
      <c r="E42" s="41"/>
      <c r="F42" s="42"/>
      <c r="G42" s="43"/>
      <c r="H42" s="43"/>
      <c r="I42" s="43"/>
    </row>
    <row r="43" spans="1:9" ht="12.75">
      <c r="A43" s="914">
        <v>7</v>
      </c>
      <c r="B43" s="914"/>
      <c r="C43" s="44" t="s">
        <v>6</v>
      </c>
      <c r="D43" s="45"/>
      <c r="E43" s="46"/>
      <c r="F43" s="47"/>
      <c r="G43" s="47"/>
      <c r="H43" s="47">
        <v>13730851928</v>
      </c>
      <c r="I43" s="47"/>
    </row>
    <row r="44" spans="1:9" ht="12.75">
      <c r="A44" s="915"/>
      <c r="B44" s="915"/>
      <c r="C44" s="48"/>
      <c r="D44" s="49" t="s">
        <v>7</v>
      </c>
      <c r="E44" s="50"/>
      <c r="F44" s="51"/>
      <c r="G44" s="51"/>
      <c r="H44" s="58"/>
      <c r="I44" s="51">
        <f>H43</f>
        <v>13730851928</v>
      </c>
    </row>
    <row r="45" spans="1:9" ht="12.75">
      <c r="A45" s="37"/>
      <c r="B45" s="55"/>
      <c r="C45" s="26"/>
      <c r="D45" s="26"/>
      <c r="E45" s="26"/>
      <c r="F45" s="57"/>
      <c r="G45" s="57"/>
      <c r="H45" s="38"/>
      <c r="I45" s="38"/>
    </row>
    <row r="46" spans="1:9" ht="12.75">
      <c r="A46" s="39" t="s">
        <v>574</v>
      </c>
      <c r="B46" s="40"/>
      <c r="C46" s="41"/>
      <c r="D46" s="41"/>
      <c r="E46" s="41"/>
      <c r="F46" s="42"/>
      <c r="G46" s="43"/>
      <c r="H46" s="43"/>
      <c r="I46" s="43"/>
    </row>
    <row r="47" spans="1:9" ht="12.75">
      <c r="A47" s="914">
        <v>8</v>
      </c>
      <c r="B47" s="914"/>
      <c r="C47" s="44" t="s">
        <v>575</v>
      </c>
      <c r="D47" s="45"/>
      <c r="E47" s="46"/>
      <c r="F47" s="47"/>
      <c r="G47" s="47"/>
      <c r="H47" s="47">
        <v>12868873742</v>
      </c>
      <c r="I47" s="47"/>
    </row>
    <row r="48" spans="1:9" ht="12.75">
      <c r="A48" s="915"/>
      <c r="B48" s="915"/>
      <c r="C48" s="48"/>
      <c r="D48" s="49" t="s">
        <v>576</v>
      </c>
      <c r="E48" s="50"/>
      <c r="F48" s="51"/>
      <c r="G48" s="51"/>
      <c r="H48" s="58"/>
      <c r="I48" s="51">
        <f>H47</f>
        <v>12868873742</v>
      </c>
    </row>
    <row r="49" spans="1:9" ht="12.75">
      <c r="A49" s="37"/>
      <c r="B49" s="55"/>
      <c r="C49" s="26"/>
      <c r="D49" s="26"/>
      <c r="E49" s="26"/>
      <c r="F49" s="57"/>
      <c r="G49" s="57"/>
      <c r="H49" s="38"/>
      <c r="I49" s="38"/>
    </row>
    <row r="50" spans="1:9" ht="12.75" hidden="1">
      <c r="A50" s="39"/>
      <c r="B50" s="40"/>
      <c r="C50" s="41"/>
      <c r="D50" s="41"/>
      <c r="E50" s="41"/>
      <c r="F50" s="42"/>
      <c r="G50" s="43"/>
      <c r="H50" s="43"/>
      <c r="I50" s="43"/>
    </row>
    <row r="51" spans="1:9" ht="12.75" hidden="1">
      <c r="A51" s="914">
        <v>9</v>
      </c>
      <c r="B51" s="914"/>
      <c r="C51" s="44" t="s">
        <v>778</v>
      </c>
      <c r="D51" s="45"/>
      <c r="E51" s="46"/>
      <c r="F51" s="47"/>
      <c r="G51" s="47"/>
      <c r="H51" s="47"/>
      <c r="I51" s="47"/>
    </row>
    <row r="52" spans="1:9" ht="12.75" hidden="1">
      <c r="A52" s="915"/>
      <c r="B52" s="915"/>
      <c r="C52" s="48"/>
      <c r="D52" s="49" t="s">
        <v>779</v>
      </c>
      <c r="E52" s="50"/>
      <c r="F52" s="51"/>
      <c r="G52" s="51"/>
      <c r="H52" s="58"/>
      <c r="I52" s="51">
        <f>H51</f>
        <v>0</v>
      </c>
    </row>
    <row r="53" spans="1:9" ht="12.75" hidden="1">
      <c r="A53" s="37"/>
      <c r="B53" s="55"/>
      <c r="C53" s="26"/>
      <c r="D53" s="26"/>
      <c r="E53" s="26"/>
      <c r="F53" s="57"/>
      <c r="G53" s="57"/>
      <c r="H53" s="38"/>
      <c r="I53" s="38"/>
    </row>
    <row r="54" spans="1:9" ht="12.75" hidden="1">
      <c r="A54" s="39"/>
      <c r="B54" s="40"/>
      <c r="C54" s="41"/>
      <c r="D54" s="41"/>
      <c r="E54" s="41"/>
      <c r="F54" s="42"/>
      <c r="G54" s="43"/>
      <c r="H54" s="43"/>
      <c r="I54" s="43"/>
    </row>
    <row r="55" spans="1:9" ht="12.75" hidden="1">
      <c r="A55" s="914">
        <v>10</v>
      </c>
      <c r="B55" s="914"/>
      <c r="C55" s="44" t="s">
        <v>780</v>
      </c>
      <c r="D55" s="45"/>
      <c r="E55" s="46"/>
      <c r="F55" s="47"/>
      <c r="G55" s="47"/>
      <c r="H55" s="47"/>
      <c r="I55" s="47"/>
    </row>
    <row r="56" spans="1:9" ht="12.75" hidden="1">
      <c r="A56" s="915"/>
      <c r="B56" s="915"/>
      <c r="C56" s="48"/>
      <c r="D56" s="49" t="s">
        <v>781</v>
      </c>
      <c r="E56" s="50"/>
      <c r="F56" s="51"/>
      <c r="G56" s="51"/>
      <c r="H56" s="58"/>
      <c r="I56" s="51">
        <f>H55</f>
        <v>0</v>
      </c>
    </row>
    <row r="57" spans="1:9" ht="12.75" hidden="1">
      <c r="A57" s="37"/>
      <c r="B57" s="55"/>
      <c r="C57" s="26"/>
      <c r="D57" s="26"/>
      <c r="E57" s="26"/>
      <c r="F57" s="57"/>
      <c r="G57" s="57"/>
      <c r="H57" s="38"/>
      <c r="I57" s="38"/>
    </row>
    <row r="58" spans="1:9" ht="12.75" hidden="1">
      <c r="A58" s="39"/>
      <c r="B58" s="40"/>
      <c r="C58" s="41"/>
      <c r="D58" s="41"/>
      <c r="E58" s="41"/>
      <c r="F58" s="42"/>
      <c r="G58" s="43"/>
      <c r="H58" s="43"/>
      <c r="I58" s="43"/>
    </row>
    <row r="59" spans="1:9" ht="12.75" hidden="1">
      <c r="A59" s="914">
        <v>11</v>
      </c>
      <c r="B59" s="914"/>
      <c r="C59" s="44" t="s">
        <v>782</v>
      </c>
      <c r="D59" s="45"/>
      <c r="E59" s="46"/>
      <c r="F59" s="47"/>
      <c r="G59" s="47"/>
      <c r="H59" s="47"/>
      <c r="I59" s="47"/>
    </row>
    <row r="60" spans="1:9" ht="12.75" hidden="1">
      <c r="A60" s="915"/>
      <c r="B60" s="915"/>
      <c r="C60" s="48"/>
      <c r="D60" s="49" t="s">
        <v>783</v>
      </c>
      <c r="E60" s="50"/>
      <c r="F60" s="51"/>
      <c r="G60" s="51"/>
      <c r="H60" s="58"/>
      <c r="I60" s="51"/>
    </row>
    <row r="61" spans="1:9" ht="12.75" hidden="1">
      <c r="A61" s="37"/>
      <c r="B61" s="55"/>
      <c r="C61" s="26"/>
      <c r="D61" s="26"/>
      <c r="E61" s="26"/>
      <c r="F61" s="57"/>
      <c r="G61" s="57"/>
      <c r="H61" s="38"/>
      <c r="I61" s="38"/>
    </row>
    <row r="62" spans="1:9" ht="12.75">
      <c r="A62" s="37"/>
      <c r="B62" s="55"/>
      <c r="C62" s="26"/>
      <c r="D62" s="26"/>
      <c r="E62" s="26"/>
      <c r="F62" s="38"/>
      <c r="G62" s="38"/>
      <c r="H62" s="38"/>
      <c r="I62" s="38"/>
    </row>
    <row r="63" spans="1:9" ht="12.75">
      <c r="A63" s="911" t="s">
        <v>607</v>
      </c>
      <c r="B63" s="912"/>
      <c r="C63" s="912"/>
      <c r="D63" s="912"/>
      <c r="E63" s="913"/>
      <c r="F63" s="59">
        <f>SUM(F12:F61)</f>
        <v>7005000</v>
      </c>
      <c r="G63" s="59">
        <f>SUM(G12:G61)</f>
        <v>7931640</v>
      </c>
      <c r="H63" s="59">
        <f>SUM(H12:H61)</f>
        <v>34950580398</v>
      </c>
      <c r="I63" s="59">
        <f>SUM(I12:I61)</f>
        <v>34949653758</v>
      </c>
    </row>
    <row r="64" spans="6:9" ht="6.75" customHeight="1">
      <c r="F64" s="43"/>
      <c r="G64" s="43"/>
      <c r="H64" s="43"/>
      <c r="I64" s="43"/>
    </row>
    <row r="65" spans="1:9" s="35" customFormat="1" ht="15.75" customHeight="1">
      <c r="A65" s="60" t="s">
        <v>608</v>
      </c>
      <c r="B65" s="61"/>
      <c r="C65" s="61"/>
      <c r="D65" s="61"/>
      <c r="E65" s="62"/>
      <c r="F65" s="63"/>
      <c r="G65" s="59"/>
      <c r="H65" s="59"/>
      <c r="I65" s="59"/>
    </row>
    <row r="66" spans="1:9" ht="6.75" customHeight="1">
      <c r="A66" s="26"/>
      <c r="B66" s="26"/>
      <c r="C66" s="26"/>
      <c r="D66" s="26"/>
      <c r="E66" s="26"/>
      <c r="F66" s="43"/>
      <c r="G66" s="43"/>
      <c r="H66" s="43"/>
      <c r="I66" s="43"/>
    </row>
    <row r="67" spans="1:9" s="35" customFormat="1" ht="15.75" customHeight="1">
      <c r="A67" s="60" t="s">
        <v>609</v>
      </c>
      <c r="B67" s="61"/>
      <c r="C67" s="61"/>
      <c r="D67" s="61"/>
      <c r="E67" s="62"/>
      <c r="F67" s="63"/>
      <c r="G67" s="59"/>
      <c r="H67" s="59"/>
      <c r="I67" s="59"/>
    </row>
    <row r="68" spans="1:9" ht="6.75" customHeight="1">
      <c r="A68" s="26"/>
      <c r="B68" s="26"/>
      <c r="C68" s="26"/>
      <c r="D68" s="26"/>
      <c r="E68" s="26"/>
      <c r="F68" s="43"/>
      <c r="G68" s="43"/>
      <c r="H68" s="43"/>
      <c r="I68" s="43"/>
    </row>
    <row r="69" spans="1:9" s="35" customFormat="1" ht="15.75" customHeight="1">
      <c r="A69" s="60" t="s">
        <v>610</v>
      </c>
      <c r="B69" s="61"/>
      <c r="C69" s="61"/>
      <c r="D69" s="61"/>
      <c r="E69" s="62"/>
      <c r="F69" s="63"/>
      <c r="G69" s="59">
        <f>G65-G67</f>
        <v>0</v>
      </c>
      <c r="H69" s="59"/>
      <c r="I69" s="59"/>
    </row>
    <row r="70" ht="15.75" customHeight="1"/>
    <row r="71" ht="15.75" customHeight="1">
      <c r="B71" s="43"/>
    </row>
    <row r="72" ht="15.75" customHeight="1">
      <c r="B72" s="56"/>
    </row>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372" spans="3:11" ht="12.75">
      <c r="C372" s="29" t="s">
        <v>672</v>
      </c>
      <c r="K372" s="29">
        <v>0</v>
      </c>
    </row>
    <row r="376" ht="12.75">
      <c r="K376" s="29">
        <f>+K374+K367</f>
        <v>0</v>
      </c>
    </row>
    <row r="385" ht="13.5">
      <c r="D385" s="460" t="s">
        <v>652</v>
      </c>
    </row>
    <row r="386" ht="18" customHeight="1"/>
    <row r="388" spans="3:11" ht="12.75">
      <c r="C388" s="29" t="s">
        <v>673</v>
      </c>
      <c r="K388" s="29" t="e">
        <f>#REF!</f>
        <v>#REF!</v>
      </c>
    </row>
  </sheetData>
  <mergeCells count="32">
    <mergeCell ref="A59:A60"/>
    <mergeCell ref="B59:B60"/>
    <mergeCell ref="A22:A23"/>
    <mergeCell ref="B22:B23"/>
    <mergeCell ref="A30:A31"/>
    <mergeCell ref="B30:B31"/>
    <mergeCell ref="B47:B48"/>
    <mergeCell ref="A51:A52"/>
    <mergeCell ref="B51:B52"/>
    <mergeCell ref="A55:A56"/>
    <mergeCell ref="A5:I5"/>
    <mergeCell ref="F8:G8"/>
    <mergeCell ref="H8:I8"/>
    <mergeCell ref="A8:A9"/>
    <mergeCell ref="B8:B9"/>
    <mergeCell ref="C8:E9"/>
    <mergeCell ref="A6:I6"/>
    <mergeCell ref="B55:B56"/>
    <mergeCell ref="A14:A15"/>
    <mergeCell ref="B14:B15"/>
    <mergeCell ref="A34:A35"/>
    <mergeCell ref="B34:B35"/>
    <mergeCell ref="A63:E63"/>
    <mergeCell ref="A18:A19"/>
    <mergeCell ref="B18:B19"/>
    <mergeCell ref="A26:A27"/>
    <mergeCell ref="B26:B27"/>
    <mergeCell ref="A39:A40"/>
    <mergeCell ref="B39:B40"/>
    <mergeCell ref="A43:A44"/>
    <mergeCell ref="B43:B44"/>
    <mergeCell ref="A47:A48"/>
  </mergeCells>
  <printOptions horizontalCentered="1"/>
  <pageMargins left="0.5" right="0.5" top="0.5" bottom="0.5" header="0.5" footer="0.5"/>
  <pageSetup horizontalDpi="300" verticalDpi="300" orientation="portrait" paperSize="9" scale="95" r:id="rId1"/>
  <headerFooter alignWithMargins="0">
    <oddFooter>&amp;R&amp;"VNI-Helve-Condense,Italic"&amp;A  -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Pham Van Vinh</dc:creator>
  <cp:keywords/>
  <dc:description/>
  <cp:lastModifiedBy>toannh</cp:lastModifiedBy>
  <cp:lastPrinted>2008-01-29T08:40:30Z</cp:lastPrinted>
  <dcterms:created xsi:type="dcterms:W3CDTF">2003-03-11T08:32:24Z</dcterms:created>
  <dcterms:modified xsi:type="dcterms:W3CDTF">2008-02-13T08:23:12Z</dcterms:modified>
  <cp:category/>
  <cp:version/>
  <cp:contentType/>
  <cp:contentStatus/>
</cp:coreProperties>
</file>