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08a26aae7246400b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7"/>
  </bookViews>
  <sheets>
    <sheet name="CĐKT" sheetId="12" r:id="rId1"/>
    <sheet name="KQKD" sheetId="13" r:id="rId2"/>
    <sheet name="LCTT" sheetId="1" r:id="rId3"/>
    <sheet name="TM P4" sheetId="14" r:id="rId4"/>
    <sheet name="TM P5" sheetId="15" r:id="rId5"/>
    <sheet name="TMp6" sheetId="16" r:id="rId6"/>
    <sheet name="PL TS" sheetId="21" r:id="rId7"/>
    <sheet name="PL thue" sheetId="17" r:id="rId8"/>
    <sheet name="PL Von" sheetId="18" r:id="rId9"/>
    <sheet name="Sheet2" sheetId="11" r:id="rId10"/>
    <sheet name="TH CPC " sheetId="9" r:id="rId11"/>
    <sheet name="Sheet1" sheetId="10" r:id="rId12"/>
    <sheet name="KP CD" sheetId="2" r:id="rId13"/>
    <sheet name="ttr" sheetId="8" r:id="rId14"/>
    <sheet name="Z" sheetId="7" r:id="rId15"/>
    <sheet name="Sheet6" sheetId="6" r:id="rId16"/>
    <sheet name="Sheet5" sheetId="5" r:id="rId17"/>
    <sheet name="Sheet4" sheetId="4" r:id="rId18"/>
    <sheet name="Sheet3" sheetId="3" r:id="rId19"/>
  </sheets>
  <externalReferences>
    <externalReference r:id="rId20"/>
  </externalReferences>
  <definedNames>
    <definedName name="_xlnm.Print_Titles" localSheetId="0">CĐKT!$7:$7</definedName>
    <definedName name="_xlnm.Print_Titles" localSheetId="16">Sheet5!$3:$3</definedName>
    <definedName name="_xlnm.Print_Titles" localSheetId="10">'TH CPC '!$A:$B,'TH CPC '!$3:$4</definedName>
    <definedName name="_xlnm.Print_Titles" localSheetId="3">'TM P4'!$4:$4</definedName>
    <definedName name="_xlnm.Print_Titles" localSheetId="14">Z!$2:$3</definedName>
  </definedNames>
  <calcPr calcId="124519" fullCalcOnLoad="1"/>
</workbook>
</file>

<file path=xl/calcChain.xml><?xml version="1.0" encoding="utf-8"?>
<calcChain xmlns="http://schemas.openxmlformats.org/spreadsheetml/2006/main">
  <c r="C29" i="15"/>
  <c r="F19" i="21"/>
  <c r="E19"/>
  <c r="D19"/>
  <c r="G18"/>
  <c r="F16"/>
  <c r="E16"/>
  <c r="G16"/>
  <c r="G17"/>
  <c r="F15"/>
  <c r="G15"/>
  <c r="E15"/>
  <c r="E17"/>
  <c r="D15"/>
  <c r="D17"/>
  <c r="C15"/>
  <c r="G14"/>
  <c r="C14"/>
  <c r="C19"/>
  <c r="G19"/>
  <c r="F12"/>
  <c r="E12"/>
  <c r="E20"/>
  <c r="D12"/>
  <c r="D20"/>
  <c r="C12"/>
  <c r="G11"/>
  <c r="G10"/>
  <c r="G9"/>
  <c r="E44" i="15"/>
  <c r="D42"/>
  <c r="C43"/>
  <c r="C42"/>
  <c r="D44"/>
  <c r="F44"/>
  <c r="C44"/>
  <c r="F54"/>
  <c r="E54"/>
  <c r="C53"/>
  <c r="E53"/>
  <c r="E55"/>
  <c r="D55"/>
  <c r="F55"/>
  <c r="C55"/>
  <c r="F49"/>
  <c r="F50"/>
  <c r="E49"/>
  <c r="E50"/>
  <c r="D50"/>
  <c r="C50"/>
  <c r="D60"/>
  <c r="C78" i="14"/>
  <c r="E11" i="8"/>
  <c r="F11"/>
  <c r="G11"/>
  <c r="D66" i="12"/>
  <c r="E96"/>
  <c r="E95"/>
  <c r="E116"/>
  <c r="E66"/>
  <c r="E58"/>
  <c r="E52"/>
  <c r="E42"/>
  <c r="E33"/>
  <c r="E63"/>
  <c r="D43"/>
  <c r="D42"/>
  <c r="E25"/>
  <c r="E28"/>
  <c r="D34"/>
  <c r="D96"/>
  <c r="D95"/>
  <c r="D81"/>
  <c r="E16"/>
  <c r="E9"/>
  <c r="D58"/>
  <c r="D52"/>
  <c r="D28"/>
  <c r="D25"/>
  <c r="D16"/>
  <c r="D9"/>
  <c r="D8"/>
  <c r="D63"/>
  <c r="C7" i="14"/>
  <c r="C11"/>
  <c r="C5"/>
  <c r="C13"/>
  <c r="H8" i="18"/>
  <c r="H7"/>
  <c r="D12" i="15"/>
  <c r="C34"/>
  <c r="E21"/>
  <c r="C21"/>
  <c r="F20" i="16"/>
  <c r="F19"/>
  <c r="E34" i="15"/>
  <c r="E29"/>
  <c r="E28"/>
  <c r="E24"/>
  <c r="E23"/>
  <c r="E11"/>
  <c r="E14"/>
  <c r="E57"/>
  <c r="E60"/>
  <c r="E16"/>
  <c r="E15"/>
  <c r="E6"/>
  <c r="C24"/>
  <c r="C28"/>
  <c r="C11"/>
  <c r="C6"/>
  <c r="C12"/>
  <c r="C15"/>
  <c r="C14"/>
  <c r="D15"/>
  <c r="D102" i="14"/>
  <c r="D122"/>
  <c r="C122"/>
  <c r="C92"/>
  <c r="C101"/>
  <c r="C102"/>
  <c r="C86"/>
  <c r="C83"/>
  <c r="C80"/>
  <c r="D72"/>
  <c r="D73"/>
  <c r="C105"/>
  <c r="C72"/>
  <c r="C73"/>
  <c r="C47"/>
  <c r="D47"/>
  <c r="C42"/>
  <c r="C34"/>
  <c r="C35"/>
  <c r="D31"/>
  <c r="D35"/>
  <c r="C28"/>
  <c r="C29"/>
  <c r="D19"/>
  <c r="F12" i="13"/>
  <c r="D12"/>
  <c r="E12"/>
  <c r="E25"/>
  <c r="F25"/>
  <c r="G25"/>
  <c r="E14"/>
  <c r="E22"/>
  <c r="E26"/>
  <c r="E29"/>
  <c r="F14"/>
  <c r="F22"/>
  <c r="F26"/>
  <c r="F29"/>
  <c r="G12"/>
  <c r="G14"/>
  <c r="G22"/>
  <c r="G26"/>
  <c r="G29"/>
  <c r="D14"/>
  <c r="D22"/>
  <c r="D26"/>
  <c r="D25"/>
  <c r="F36" i="12"/>
  <c r="C59" i="14"/>
  <c r="C65"/>
  <c r="C19"/>
  <c r="D52"/>
  <c r="C52"/>
  <c r="C49"/>
  <c r="C56"/>
  <c r="H13" i="18"/>
  <c r="C12"/>
  <c r="H12"/>
  <c r="G10"/>
  <c r="G14"/>
  <c r="F10"/>
  <c r="F11"/>
  <c r="E10"/>
  <c r="E14"/>
  <c r="D10"/>
  <c r="D11"/>
  <c r="C10"/>
  <c r="C14"/>
  <c r="H14"/>
  <c r="B10"/>
  <c r="B11"/>
  <c r="H9"/>
  <c r="B10" i="17"/>
  <c r="D10"/>
  <c r="C10"/>
  <c r="E8"/>
  <c r="E7"/>
  <c r="E6"/>
  <c r="F27" i="16"/>
  <c r="F26"/>
  <c r="F12"/>
  <c r="F60" i="15"/>
  <c r="F63"/>
  <c r="D34"/>
  <c r="F33"/>
  <c r="F34"/>
  <c r="F29"/>
  <c r="D29"/>
  <c r="F28"/>
  <c r="D28"/>
  <c r="F24"/>
  <c r="D24"/>
  <c r="D23"/>
  <c r="F21"/>
  <c r="F23"/>
  <c r="F17"/>
  <c r="D17"/>
  <c r="F16"/>
  <c r="D16"/>
  <c r="D14"/>
  <c r="F15"/>
  <c r="F14"/>
  <c r="F12"/>
  <c r="F11"/>
  <c r="D11"/>
  <c r="F6"/>
  <c r="D6"/>
  <c r="E61" i="5"/>
  <c r="D6"/>
  <c r="E5"/>
  <c r="C7" i="6"/>
  <c r="C4"/>
  <c r="C13"/>
  <c r="C9"/>
  <c r="H12" i="7"/>
  <c r="I12"/>
  <c r="E4"/>
  <c r="I5"/>
  <c r="I6"/>
  <c r="I7"/>
  <c r="I8"/>
  <c r="I9"/>
  <c r="I10"/>
  <c r="I11"/>
  <c r="I13"/>
  <c r="I14"/>
  <c r="I15"/>
  <c r="I16"/>
  <c r="I17"/>
  <c r="I18"/>
  <c r="I19"/>
  <c r="I20"/>
  <c r="I21"/>
  <c r="H22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J6"/>
  <c r="K6"/>
  <c r="J8"/>
  <c r="J17"/>
  <c r="J23"/>
  <c r="J24"/>
  <c r="J25"/>
  <c r="J26"/>
  <c r="J27"/>
  <c r="J28"/>
  <c r="L4"/>
  <c r="K7"/>
  <c r="M7"/>
  <c r="K9"/>
  <c r="M9"/>
  <c r="K10"/>
  <c r="M10"/>
  <c r="K11"/>
  <c r="M11"/>
  <c r="K13"/>
  <c r="M13"/>
  <c r="K14"/>
  <c r="M14"/>
  <c r="K15"/>
  <c r="M15"/>
  <c r="K16"/>
  <c r="M16"/>
  <c r="K18"/>
  <c r="M18"/>
  <c r="K19"/>
  <c r="M19"/>
  <c r="K20"/>
  <c r="M20"/>
  <c r="K21"/>
  <c r="M21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M52"/>
  <c r="K5"/>
  <c r="M5"/>
  <c r="K8"/>
  <c r="K23"/>
  <c r="K24"/>
  <c r="K25"/>
  <c r="K26"/>
  <c r="K27"/>
  <c r="K28"/>
  <c r="K42"/>
  <c r="F4"/>
  <c r="G4"/>
  <c r="H4"/>
  <c r="AO18" i="9"/>
  <c r="G18"/>
  <c r="I18"/>
  <c r="L18"/>
  <c r="Q18"/>
  <c r="R18"/>
  <c r="U18"/>
  <c r="W18"/>
  <c r="Z18"/>
  <c r="AC18"/>
  <c r="AD18"/>
  <c r="AF18"/>
  <c r="AG18"/>
  <c r="AH18"/>
  <c r="AI18"/>
  <c r="AL18"/>
  <c r="AP18"/>
  <c r="Q7"/>
  <c r="AP7"/>
  <c r="G8"/>
  <c r="Q8"/>
  <c r="AP8"/>
  <c r="W8"/>
  <c r="AI8"/>
  <c r="Q9"/>
  <c r="AP9"/>
  <c r="Q10"/>
  <c r="AP10"/>
  <c r="L11"/>
  <c r="Q11"/>
  <c r="AP11"/>
  <c r="Q12"/>
  <c r="AP12"/>
  <c r="L13"/>
  <c r="Q13"/>
  <c r="AP13"/>
  <c r="Q14"/>
  <c r="AP14"/>
  <c r="Q15"/>
  <c r="AP15"/>
  <c r="Q16"/>
  <c r="AP16"/>
  <c r="Q17"/>
  <c r="AP17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S18"/>
  <c r="T18"/>
  <c r="V18"/>
  <c r="X18"/>
  <c r="Y18"/>
  <c r="AA18"/>
  <c r="AB18"/>
  <c r="AE18"/>
  <c r="AE5"/>
  <c r="AJ18"/>
  <c r="AK18"/>
  <c r="AM18"/>
  <c r="AN18"/>
  <c r="AE6"/>
  <c r="AF6"/>
  <c r="AF5"/>
  <c r="AG6"/>
  <c r="AH6"/>
  <c r="AI6"/>
  <c r="AI5"/>
  <c r="AJ6"/>
  <c r="AK6"/>
  <c r="AK5"/>
  <c r="AL6"/>
  <c r="AM6"/>
  <c r="AM5"/>
  <c r="AN6"/>
  <c r="AO6"/>
  <c r="AO5"/>
  <c r="M6"/>
  <c r="N6"/>
  <c r="O6"/>
  <c r="O5"/>
  <c r="P6"/>
  <c r="P5"/>
  <c r="Q6"/>
  <c r="R6"/>
  <c r="R5"/>
  <c r="S6"/>
  <c r="T6"/>
  <c r="T5"/>
  <c r="U6"/>
  <c r="U5"/>
  <c r="V6"/>
  <c r="V5"/>
  <c r="W6"/>
  <c r="X6"/>
  <c r="X5"/>
  <c r="Y6"/>
  <c r="Y5"/>
  <c r="Z6"/>
  <c r="AA6"/>
  <c r="AA5"/>
  <c r="AB6"/>
  <c r="AC6"/>
  <c r="AD6"/>
  <c r="M18"/>
  <c r="M5"/>
  <c r="N18"/>
  <c r="N5"/>
  <c r="O18"/>
  <c r="P18"/>
  <c r="Q5"/>
  <c r="S5"/>
  <c r="W5"/>
  <c r="Z5"/>
  <c r="AB5"/>
  <c r="AC5"/>
  <c r="AD5"/>
  <c r="AG5"/>
  <c r="J6"/>
  <c r="K6"/>
  <c r="L6"/>
  <c r="I6"/>
  <c r="H6"/>
  <c r="H18"/>
  <c r="H5"/>
  <c r="I5"/>
  <c r="D6"/>
  <c r="D5"/>
  <c r="E6"/>
  <c r="E5"/>
  <c r="F6"/>
  <c r="F5"/>
  <c r="G6"/>
  <c r="G5"/>
  <c r="J18"/>
  <c r="J5"/>
  <c r="K18"/>
  <c r="K5"/>
  <c r="L5"/>
  <c r="AH5"/>
  <c r="AJ5"/>
  <c r="AL5"/>
  <c r="AN5"/>
  <c r="S23" i="10"/>
  <c r="S22"/>
  <c r="S9"/>
  <c r="M22"/>
  <c r="N22"/>
  <c r="O22"/>
  <c r="P22"/>
  <c r="Q22"/>
  <c r="R22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L23"/>
  <c r="L24"/>
  <c r="L22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D22"/>
  <c r="E22"/>
  <c r="G22"/>
  <c r="H22"/>
  <c r="I22"/>
  <c r="J22"/>
  <c r="K22"/>
  <c r="L58"/>
  <c r="L59"/>
  <c r="L60"/>
  <c r="L7"/>
  <c r="K12"/>
  <c r="E10"/>
  <c r="G10"/>
  <c r="G9"/>
  <c r="H10"/>
  <c r="I10"/>
  <c r="I9"/>
  <c r="J10"/>
  <c r="L10"/>
  <c r="L9"/>
  <c r="M10"/>
  <c r="K13"/>
  <c r="K14"/>
  <c r="K15"/>
  <c r="K16"/>
  <c r="K18"/>
  <c r="K19"/>
  <c r="K20"/>
  <c r="K11"/>
  <c r="H9"/>
  <c r="E9"/>
  <c r="F12"/>
  <c r="F13"/>
  <c r="F14"/>
  <c r="F15"/>
  <c r="F16"/>
  <c r="F18"/>
  <c r="F19"/>
  <c r="F20"/>
  <c r="F21"/>
  <c r="F23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11"/>
  <c r="D17"/>
  <c r="K17"/>
  <c r="C7" i="8"/>
  <c r="E10"/>
  <c r="F10"/>
  <c r="G10"/>
  <c r="D7"/>
  <c r="E8"/>
  <c r="E7"/>
  <c r="E9"/>
  <c r="F9"/>
  <c r="G9"/>
  <c r="E73" i="10"/>
  <c r="E72"/>
  <c r="E71"/>
  <c r="E70"/>
  <c r="E69"/>
  <c r="S63"/>
  <c r="Q63"/>
  <c r="S62"/>
  <c r="L62"/>
  <c r="S61"/>
  <c r="L61"/>
  <c r="T22"/>
  <c r="Q21"/>
  <c r="K21"/>
  <c r="Q20"/>
  <c r="N20"/>
  <c r="Q18"/>
  <c r="N18"/>
  <c r="Q16"/>
  <c r="N16"/>
  <c r="Q15"/>
  <c r="Q10"/>
  <c r="Q9"/>
  <c r="N15"/>
  <c r="N10"/>
  <c r="N9"/>
  <c r="S10"/>
  <c r="R10"/>
  <c r="P10"/>
  <c r="O10"/>
  <c r="O9"/>
  <c r="T9"/>
  <c r="R9"/>
  <c r="P9"/>
  <c r="M9"/>
  <c r="J9"/>
  <c r="S7"/>
  <c r="C6" i="9"/>
  <c r="C5"/>
  <c r="AQ6"/>
  <c r="AQ5"/>
  <c r="AP54"/>
  <c r="AP55"/>
  <c r="AP56"/>
  <c r="C12" i="1"/>
  <c r="C20"/>
  <c r="C31"/>
  <c r="C35"/>
  <c r="C26"/>
  <c r="C17"/>
  <c r="C16"/>
  <c r="C15"/>
  <c r="C14"/>
  <c r="C13"/>
  <c r="C11"/>
  <c r="C22"/>
  <c r="C27"/>
  <c r="D7" i="2"/>
  <c r="D8"/>
  <c r="D9"/>
  <c r="D10"/>
  <c r="C10"/>
  <c r="F45" i="1"/>
  <c r="D18"/>
  <c r="D27"/>
  <c r="D35"/>
  <c r="D36"/>
  <c r="D39"/>
  <c r="C18"/>
  <c r="C36"/>
  <c r="C39"/>
  <c r="G29"/>
  <c r="G25"/>
  <c r="H10" i="18"/>
  <c r="H11"/>
  <c r="C11"/>
  <c r="E11"/>
  <c r="G11"/>
  <c r="B14"/>
  <c r="D14"/>
  <c r="F14"/>
  <c r="E9" i="17"/>
  <c r="E10"/>
  <c r="K10" i="10"/>
  <c r="K9"/>
  <c r="D10"/>
  <c r="D9"/>
  <c r="F17"/>
  <c r="F10"/>
  <c r="F9"/>
  <c r="K7"/>
  <c r="N7"/>
  <c r="C23" i="15"/>
  <c r="M6" i="7"/>
  <c r="E38" i="5"/>
  <c r="E12"/>
  <c r="E16"/>
  <c r="E20"/>
  <c r="E24"/>
  <c r="E28"/>
  <c r="E32"/>
  <c r="E36"/>
  <c r="E42"/>
  <c r="E46"/>
  <c r="E50"/>
  <c r="E55"/>
  <c r="E60"/>
  <c r="E56"/>
  <c r="E11"/>
  <c r="E15"/>
  <c r="E19"/>
  <c r="E23"/>
  <c r="E27"/>
  <c r="E31"/>
  <c r="E35"/>
  <c r="E41"/>
  <c r="E45"/>
  <c r="E49"/>
  <c r="E54"/>
  <c r="E59"/>
  <c r="E10"/>
  <c r="E14"/>
  <c r="E18"/>
  <c r="E22"/>
  <c r="E26"/>
  <c r="E30"/>
  <c r="E40"/>
  <c r="E44"/>
  <c r="E48"/>
  <c r="E58"/>
  <c r="E7"/>
  <c r="E13"/>
  <c r="E17"/>
  <c r="E25"/>
  <c r="E33"/>
  <c r="E43"/>
  <c r="E51"/>
  <c r="E8"/>
  <c r="E34"/>
  <c r="E52"/>
  <c r="E9"/>
  <c r="E21"/>
  <c r="E29"/>
  <c r="E37"/>
  <c r="E47"/>
  <c r="E57"/>
  <c r="K12" i="7"/>
  <c r="M12"/>
  <c r="F8" i="8"/>
  <c r="F7"/>
  <c r="G8"/>
  <c r="G7"/>
  <c r="E6" i="5"/>
  <c r="D65" i="12"/>
  <c r="D116"/>
  <c r="D33"/>
  <c r="G12" i="21"/>
  <c r="F17"/>
  <c r="F20"/>
  <c r="C17"/>
  <c r="C20"/>
  <c r="F7" i="10"/>
  <c r="M7"/>
  <c r="O7"/>
  <c r="Q7"/>
  <c r="AP6" i="9"/>
  <c r="AP5"/>
  <c r="J22" i="7"/>
  <c r="J4"/>
  <c r="I4"/>
  <c r="N4"/>
  <c r="K22"/>
  <c r="D27" i="13"/>
  <c r="D29"/>
  <c r="G20" i="21"/>
  <c r="C57" i="15"/>
  <c r="C60"/>
  <c r="K4" i="7"/>
</calcChain>
</file>

<file path=xl/sharedStrings.xml><?xml version="1.0" encoding="utf-8"?>
<sst xmlns="http://schemas.openxmlformats.org/spreadsheetml/2006/main" count="1096" uniqueCount="871">
  <si>
    <t xml:space="preserve">        CÔNG TY CP XÂY DỰNG ĐIỆN VNECO 3</t>
  </si>
  <si>
    <t xml:space="preserve"> Địa chỉ: Khối 3 - P. Trung Đô - Tp. Vinh - Nghệ An</t>
  </si>
  <si>
    <t xml:space="preserve">                                                                                                                            </t>
  </si>
  <si>
    <t>BÁO CÁO LƯU CHUYỂN TIỀN TỆ</t>
  </si>
  <si>
    <t>Chỉ tiêu</t>
  </si>
  <si>
    <t>Mã số</t>
  </si>
  <si>
    <t>Từ 01/01/2015 đến</t>
  </si>
  <si>
    <t>Từ 01/01/2014 đến</t>
  </si>
  <si>
    <t>I. Lưu chuyển tiền tệ từ hoạt động SXKD</t>
  </si>
  <si>
    <t>1. Tiền thu bán hàng, cung cấp dịch vụ và kinh doanh khác</t>
  </si>
  <si>
    <t>2. Chi trả cho người cung cấp hàng hoá dịch vụ</t>
  </si>
  <si>
    <t>3. Chi trả cho người lao động</t>
  </si>
  <si>
    <t>4. Tiền chi trả lãi</t>
  </si>
  <si>
    <t>5. Tiền chi nộp thuế thu nhập doanh nghiệp</t>
  </si>
  <si>
    <t>6. Tiền thu khác từ hoạt động kinh doanh</t>
  </si>
  <si>
    <t>7. Tiền chi khác cho hoạt động SXKD</t>
  </si>
  <si>
    <t>Lưu chuyển tiền thuần từ hoạt động SXKD</t>
  </si>
  <si>
    <t>II. Lưu chuyển tiền từ hoạt động đầu tư</t>
  </si>
  <si>
    <t>1. Tiền chi mua sắm , xây dựng TSCĐ và tài sản dài hạn khác</t>
  </si>
  <si>
    <t>2. Tiền thu thanh lý , nhượng bán TSCĐvà TS dài hạn khác</t>
  </si>
  <si>
    <t>3. Tiền chi cho vay , mua các công cụ nợ của đơn vị khác</t>
  </si>
  <si>
    <t>4. Tiền thu hồi cho vay ,bán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</si>
  <si>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</si>
  <si>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</si>
  <si>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</si>
  <si>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</si>
  <si>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 xml:space="preserve">III.Lưu chuyển tiền từ hoạt động tài chính </t>
  </si>
  <si>
    <t>1. Tiền thu từ phát hành cổ phiếu, nhận vốn góp của chủ sở hửu</t>
  </si>
  <si>
    <t>2. Tiền chi trả vốn góp cho các CSH, mua lại C/ phiếu đã phát hành</t>
  </si>
  <si>
    <t>3. Tiền vay ngắn hạn dài hạn nhận dược</t>
  </si>
  <si>
    <t>4.Tiền chi trả nợ gốc vay</t>
  </si>
  <si>
    <t>5. Tiền chi trả nợ thuê tài chính</t>
  </si>
  <si>
    <t>6.Lợi nhuận trả cho chủ sở hửu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</si>
  <si>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</si>
  <si>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</si>
  <si>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</si>
  <si>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</si>
  <si>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</si>
  <si>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 xml:space="preserve">                             KẾ TOÁN TRƯỞNG</t>
  </si>
  <si>
    <t xml:space="preserve"> GIÁM ĐỐC CÔNG TY</t>
  </si>
  <si>
    <t>Trần Thị Lương</t>
  </si>
  <si>
    <t>TỪ 01/01/2015 ĐẾN 30/09/2015</t>
  </si>
  <si>
    <t>30/09/2015</t>
  </si>
  <si>
    <t>30/09/2014</t>
  </si>
  <si>
    <t>TRÍCH KINH PHÍ CÔNG ĐOÀN</t>
  </si>
  <si>
    <t>TT</t>
  </si>
  <si>
    <t>Nôi dung</t>
  </si>
  <si>
    <t>Tiền lương làm Cơ</t>
  </si>
  <si>
    <t>Kinh phí công đoàn</t>
  </si>
  <si>
    <t>sở đóng BH</t>
  </si>
  <si>
    <t>phải trích</t>
  </si>
  <si>
    <t>Cộng</t>
  </si>
  <si>
    <t>Ngày 13 tháng 07 năm 2015</t>
  </si>
  <si>
    <t xml:space="preserve">     KẾ TOÁN TRƯỞNG</t>
  </si>
  <si>
    <t>Tháng 7</t>
  </si>
  <si>
    <t>Tháng 8</t>
  </si>
  <si>
    <t>Tháng 9</t>
  </si>
  <si>
    <t>QUÝ 3/2015</t>
  </si>
  <si>
    <t>PHÂN BỔ CHI PHÍ CHUNG</t>
  </si>
  <si>
    <t>Quý 3/2015</t>
  </si>
  <si>
    <t>Tên công trình</t>
  </si>
  <si>
    <t>TK 62711</t>
  </si>
  <si>
    <t>TK62712</t>
  </si>
  <si>
    <t>TK 62775</t>
  </si>
  <si>
    <t>TK 62779</t>
  </si>
  <si>
    <t>Tổng cộng</t>
  </si>
  <si>
    <t>V/V</t>
  </si>
  <si>
    <t>P/B</t>
  </si>
  <si>
    <t>Tổng</t>
  </si>
  <si>
    <t>P/b</t>
  </si>
  <si>
    <t>V/v</t>
  </si>
  <si>
    <t>v/V</t>
  </si>
  <si>
    <t>pb</t>
  </si>
  <si>
    <t>I</t>
  </si>
  <si>
    <t>Đường dây</t>
  </si>
  <si>
    <t>ĐZ 500Kv Phú Mỹ - Sông Mây</t>
  </si>
  <si>
    <t>DZ 500kv Sơn La lai Châu</t>
  </si>
  <si>
    <t>DZ 220KV Phan Thiết- Phú Mỹ 2</t>
  </si>
  <si>
    <t>DZ 220KV Thái Bình</t>
  </si>
  <si>
    <t>DZ 220KV Vũng áng - Ba Đồn - Đồng Hỡi</t>
  </si>
  <si>
    <t>DZ 220KV Bảo Thắng - Yên Bái</t>
  </si>
  <si>
    <t>DZ 110KV Bắc Ninh-Quang Châu</t>
  </si>
  <si>
    <t>ĐZ 220KV Vân Trì - Chèm</t>
  </si>
  <si>
    <t>DZ 220KV Hòa Bình-Tây Hà Nội</t>
  </si>
  <si>
    <t>Cột đi Kỳ Sơn (Hà Dương)</t>
  </si>
  <si>
    <t>II</t>
  </si>
  <si>
    <t>Vận chuyển cột bê tông</t>
  </si>
  <si>
    <t>III</t>
  </si>
  <si>
    <t>SXCN</t>
  </si>
  <si>
    <t>PHÂN BỔ CHI PHÍ TRẢ TRƯỚC</t>
  </si>
  <si>
    <t>Tổng số tiền</t>
  </si>
  <si>
    <t>Thời gian</t>
  </si>
  <si>
    <t xml:space="preserve">Số tiền </t>
  </si>
  <si>
    <t>Số tiền phân bổ</t>
  </si>
  <si>
    <t>Số còn lại</t>
  </si>
  <si>
    <t>phân bổ</t>
  </si>
  <si>
    <t xml:space="preserve">phân bổ </t>
  </si>
  <si>
    <t xml:space="preserve">Luỹ kế đén hết </t>
  </si>
  <si>
    <t>chưa phân bổ</t>
  </si>
  <si>
    <t>quý này</t>
  </si>
  <si>
    <t xml:space="preserve"> quý này</t>
  </si>
  <si>
    <t>đến hết quý này</t>
  </si>
  <si>
    <t>Chi phí bảo hiểm xe ô tô</t>
  </si>
  <si>
    <t>12 tháng</t>
  </si>
  <si>
    <t>Ngày  13 tháng 07 năm 2015</t>
  </si>
  <si>
    <t xml:space="preserve">   KẾ TOÁN TRƯỞNG</t>
  </si>
  <si>
    <t>QUÝ 3 NĂM 2015</t>
  </si>
  <si>
    <t>Quý 3/2014</t>
  </si>
  <si>
    <t>Tiền lương</t>
  </si>
  <si>
    <t>Chi phí trả trước dài  hạn(2429)</t>
  </si>
  <si>
    <t>Chi phí Đánh giá gaím sát chứng chỉ IZO</t>
  </si>
  <si>
    <t>Chi phí Đánh giá chứng nhận chứng chỉ IZO</t>
  </si>
  <si>
    <t>36 tháng</t>
  </si>
  <si>
    <t>Giá làm nòng</t>
  </si>
  <si>
    <t>Tó dựng cột</t>
  </si>
  <si>
    <t>Cọc cóc nhe</t>
  </si>
  <si>
    <t>ống cống # 300*4m( Thiên Sơn)</t>
  </si>
  <si>
    <t>ống cống phi 1000*4mH30 (DA CKB)</t>
  </si>
  <si>
    <t>ống cống phi 1000*4mH10 (DA CKB)</t>
  </si>
  <si>
    <t>ống cống #600*4mH30 ( DA CKB)</t>
  </si>
  <si>
    <t>ống cống phi 400*4m H10 (DA CKB)</t>
  </si>
  <si>
    <t>ống cống # 300*2mTC</t>
  </si>
  <si>
    <t>ống cống # 300*1mTC</t>
  </si>
  <si>
    <t>ống cống #300* 3m TC</t>
  </si>
  <si>
    <t>ống cống phi 300 x4m cấp TC</t>
  </si>
  <si>
    <t>ống cống phi 300x4m cấp T</t>
  </si>
  <si>
    <t>ống cống # 800*4m (giang sơn)</t>
  </si>
  <si>
    <t>ống cống phi 800 dài 4m H30( KB )</t>
  </si>
  <si>
    <t>ống cống phi 400*4m H30 - (Trường Long)</t>
  </si>
  <si>
    <t>ống cống phi 400*4m cấp T</t>
  </si>
  <si>
    <t>ống cống phi 800 dài 4m H10 (DA CKB)</t>
  </si>
  <si>
    <t>ống cống phi 500*4m cấp T</t>
  </si>
  <si>
    <t>ống cống phi 500*4m cấp TC</t>
  </si>
  <si>
    <t>ống cống phi 600*4m cấp T</t>
  </si>
  <si>
    <t>Cột BTLT 18 m B</t>
  </si>
  <si>
    <t>Cột BTLT 16 m D</t>
  </si>
  <si>
    <t>Cột BTLT 16 m C</t>
  </si>
  <si>
    <t>Cột BTLT 16 m B</t>
  </si>
  <si>
    <t>Cột BTLT 14 m B  có bích</t>
  </si>
  <si>
    <t>Cột BTLT 14 m C không bích</t>
  </si>
  <si>
    <t>Cột BTLT 14 m B không bích</t>
  </si>
  <si>
    <t>Cột BTLT 12 m C</t>
  </si>
  <si>
    <t>Cột BTLT 12 m B</t>
  </si>
  <si>
    <t>Cột BTLT 10,5 m B</t>
  </si>
  <si>
    <t>Cột BTLT 10 m C</t>
  </si>
  <si>
    <t>Cột BTLT 10 m B</t>
  </si>
  <si>
    <t>Cột H - 7,5mC</t>
  </si>
  <si>
    <t>Cột H2 - 8,5 mB</t>
  </si>
  <si>
    <t>Cột H2 - 7,5 mB</t>
  </si>
  <si>
    <t>Cột H1 - 7,5 mA</t>
  </si>
  <si>
    <t>ống cống # 600*4mH10</t>
  </si>
  <si>
    <t>Cột BTLT 14 m C khong bich</t>
  </si>
  <si>
    <t>Cột BTLT 14 m B co bich</t>
  </si>
  <si>
    <t>Cột BTLT 14 m B khong bich</t>
  </si>
  <si>
    <t>DZ 220KV VA</t>
  </si>
  <si>
    <t>Tên sản phẩm</t>
  </si>
  <si>
    <t>ĐVT</t>
  </si>
  <si>
    <t>Dư đầu kỳ</t>
  </si>
  <si>
    <t>Chi phí phát sinh trong kỳ</t>
  </si>
  <si>
    <t xml:space="preserve">Tổng </t>
  </si>
  <si>
    <t>SP nhập</t>
  </si>
  <si>
    <t xml:space="preserve">Giá thành </t>
  </si>
  <si>
    <t xml:space="preserve">Vật liệu </t>
  </si>
  <si>
    <t>Nhân công</t>
  </si>
  <si>
    <t>Chi phí chung</t>
  </si>
  <si>
    <t>Dư cuối kỳ</t>
  </si>
  <si>
    <t>giá thành</t>
  </si>
  <si>
    <t>trong kỳ</t>
  </si>
  <si>
    <t>đơn vị</t>
  </si>
  <si>
    <t>Cột</t>
  </si>
  <si>
    <t>ống</t>
  </si>
  <si>
    <t>Cột BTLT 14 m C co bich</t>
  </si>
  <si>
    <t>ống cống phi 600*4m H10 ( DA CKB)</t>
  </si>
  <si>
    <t>Cột chữ H 8.5mC Kỳ Sơn</t>
  </si>
  <si>
    <t>Cột chữ H 8.5mB Kỳ Sơn</t>
  </si>
  <si>
    <t>Cột chữ H 8.5mAKỳ Sơn</t>
  </si>
  <si>
    <t>Cột chữ H 7.5mC Kỳ Sơn</t>
  </si>
  <si>
    <t>Cột chữ H 7.5mB Kỳ Sơn</t>
  </si>
  <si>
    <t>Cột chữ H 7.5mA Kỳ Sơn</t>
  </si>
  <si>
    <t>ống cống phi 800 dai 4m H10 (DA CKB)</t>
  </si>
  <si>
    <t>ống cống # 400x 4mH30  thien sơn</t>
  </si>
  <si>
    <t>ống cống # 300*4m( Thien Sơn)</t>
  </si>
  <si>
    <t>Cọc cọc nhe</t>
  </si>
  <si>
    <t>To dựng cột</t>
  </si>
  <si>
    <t>Gia lam nong</t>
  </si>
  <si>
    <t>CP may thi cong = 18,320,260</t>
  </si>
  <si>
    <t>MÔ ra d©y</t>
  </si>
  <si>
    <t>BẢNG TÍNH GIÁ THÀNH SẢN PHẨM QUÝ 3/2015</t>
  </si>
  <si>
    <t>Ngày 13  tháng 10 năm 2015</t>
  </si>
  <si>
    <t>Cột đi Kỳ Sơn (Hà Dương) - MTC</t>
  </si>
  <si>
    <t>Chi PhÝ quý 3/2015</t>
  </si>
  <si>
    <t>tt</t>
  </si>
  <si>
    <t>néi dung</t>
  </si>
  <si>
    <t>sè tiÒn</t>
  </si>
  <si>
    <t xml:space="preserve">May Thi c«ng </t>
  </si>
  <si>
    <t>Chi phÝ chung</t>
  </si>
  <si>
    <t>Nh©n c«ng</t>
  </si>
  <si>
    <t>§Z Vòng ¸ng ba ®ån ®ång híi</t>
  </si>
  <si>
    <t>§­êng d©y phan thiÕt phó mü 2</t>
  </si>
  <si>
    <t>VËt liÖu</t>
  </si>
  <si>
    <t xml:space="preserve">Nh©n c«ng </t>
  </si>
  <si>
    <t>Chi PhÝ chung</t>
  </si>
  <si>
    <t>m¸y thi c«ng</t>
  </si>
  <si>
    <t>§­êng d©y s¬n la lai ch©u</t>
  </si>
  <si>
    <t>Tªn vô viªc</t>
  </si>
  <si>
    <t>DT</t>
  </si>
  <si>
    <t>TK 642</t>
  </si>
  <si>
    <t>DZ 500kv S¬n La lai Ch©u</t>
  </si>
  <si>
    <t>CT0102A021</t>
  </si>
  <si>
    <t>DZ 220KV Vòng ¸ng - Ba §ån - §ång Hìi</t>
  </si>
  <si>
    <t>CT0102C013</t>
  </si>
  <si>
    <t>Cét BTLT DUL 8,4m A</t>
  </si>
  <si>
    <t>SP02BV0033</t>
  </si>
  <si>
    <t>Cét BTLT 10 m B</t>
  </si>
  <si>
    <t>SP02BV0088</t>
  </si>
  <si>
    <t>Cét BTLT 12 m B</t>
  </si>
  <si>
    <t>SP02BV0113</t>
  </si>
  <si>
    <t>Cét BTLT 12 m C</t>
  </si>
  <si>
    <t>SP02BV0114</t>
  </si>
  <si>
    <t>Cét BTLT 14 m B kh«ng bÝch</t>
  </si>
  <si>
    <t>SP02BV0126</t>
  </si>
  <si>
    <t>Cét BTLT 14 m C kh«ng bÝch</t>
  </si>
  <si>
    <t>SP02BV0127</t>
  </si>
  <si>
    <t>Cét BTLT 16 m B</t>
  </si>
  <si>
    <t>SP02BV0151</t>
  </si>
  <si>
    <t>Cét BTLT 18 m B</t>
  </si>
  <si>
    <t>SP02BV0163</t>
  </si>
  <si>
    <t>Cét BTLT 18 m C</t>
  </si>
  <si>
    <t>SP02BV0164</t>
  </si>
  <si>
    <t>èng cèng phi 600*4m cÊp T</t>
  </si>
  <si>
    <t>SP02BV0239</t>
  </si>
  <si>
    <t>èng cèng phi 500*4m cÊp TC</t>
  </si>
  <si>
    <t>SP02BV0242</t>
  </si>
  <si>
    <t>èng cèng phi 500*4m cÊp T</t>
  </si>
  <si>
    <t>SP02BV0243</t>
  </si>
  <si>
    <t>èng cèng phi 800 dµi 4m H10 (DA CKB)</t>
  </si>
  <si>
    <t>SP02BV0279</t>
  </si>
  <si>
    <t>èng cèng phi 400*4m cÊp T</t>
  </si>
  <si>
    <t>SP02BV0297</t>
  </si>
  <si>
    <t>èng cèng phi 400*4m  H10</t>
  </si>
  <si>
    <t>SP02BV0302</t>
  </si>
  <si>
    <t>èng cèng phi 400*4m H30 - (Tr­êng Long)</t>
  </si>
  <si>
    <t>SP02BV0303</t>
  </si>
  <si>
    <t>èng cèng phi 600*4m H10 ( DA CKB)</t>
  </si>
  <si>
    <t>SP02BV0306</t>
  </si>
  <si>
    <t>èng cèng phi 1000 dµi 2m cÊp TC</t>
  </si>
  <si>
    <t>SP02BV0331</t>
  </si>
  <si>
    <t>èng cèng phi 1000 dµi 2m CÊp C( long ViÖt)</t>
  </si>
  <si>
    <t>SP02BV0332</t>
  </si>
  <si>
    <t>èng cèng # 1000*4m( 422)</t>
  </si>
  <si>
    <t>SP02BV0341</t>
  </si>
  <si>
    <t>èng cèng phi 300 dµi 4m H10</t>
  </si>
  <si>
    <t>SP02BV0358</t>
  </si>
  <si>
    <t>èng cèng phi 300 x4m cÊp TC</t>
  </si>
  <si>
    <t>SP02BV0362</t>
  </si>
  <si>
    <t>èng cèng # 300*2mTC</t>
  </si>
  <si>
    <t>SP02BV0389</t>
  </si>
  <si>
    <t>èng cèng phi 400*4m H10 (DA CKB)</t>
  </si>
  <si>
    <t>SP02BV0440</t>
  </si>
  <si>
    <t>èng cèng phi 400*4mH30 (DA CKB)</t>
  </si>
  <si>
    <t>SP02BV0441</t>
  </si>
  <si>
    <t>èng cèng #600*4mH30 ( DA CKB)</t>
  </si>
  <si>
    <t>SP02BV0442</t>
  </si>
  <si>
    <t>èng cèng phi 1000*4mH10 (DA CKB)</t>
  </si>
  <si>
    <t>SP02BV0443</t>
  </si>
  <si>
    <t>èng cèng phi 1000*4mH30 (DA CKB)</t>
  </si>
  <si>
    <t>SP02BV0444</t>
  </si>
  <si>
    <t>èng cèng phi 1500*2mH30</t>
  </si>
  <si>
    <t>SP02BV0511</t>
  </si>
  <si>
    <t>Ph©n bæ chi phÝ qu¶n lý doanh nghiÖp quý 3 /2015</t>
  </si>
  <si>
    <t>CT0102C011</t>
  </si>
  <si>
    <t>CT0102E009</t>
  </si>
  <si>
    <t>SP02BV0001</t>
  </si>
  <si>
    <t>SP02BV0064</t>
  </si>
  <si>
    <t>SP02BV0065</t>
  </si>
  <si>
    <t>SP02BV0089</t>
  </si>
  <si>
    <t>SP02BV0112</t>
  </si>
  <si>
    <t>SP02BV0139</t>
  </si>
  <si>
    <t>SP02BV0210</t>
  </si>
  <si>
    <t>SP02BV0230</t>
  </si>
  <si>
    <t>SP02BV0304</t>
  </si>
  <si>
    <t>SP02BV0317</t>
  </si>
  <si>
    <t>SP02BV0334</t>
  </si>
  <si>
    <t>SP02BV0357</t>
  </si>
  <si>
    <t>SP02BV0359</t>
  </si>
  <si>
    <t>SP02BV0364</t>
  </si>
  <si>
    <t>SP02BV0365</t>
  </si>
  <si>
    <t>SP02BV0366</t>
  </si>
  <si>
    <t>SP02BV0394</t>
  </si>
  <si>
    <t>SP02BV0395</t>
  </si>
  <si>
    <t>SP02BV0397</t>
  </si>
  <si>
    <t>SP02BV0431</t>
  </si>
  <si>
    <t>SP02BV0740</t>
  </si>
  <si>
    <t>DZ 220KV Phan ThiÕt- Phó Mü 2</t>
  </si>
  <si>
    <t>DZ 110KV B¾c Ninh-Quang Ch©u</t>
  </si>
  <si>
    <t>Cét H1 - 7,5 mA</t>
  </si>
  <si>
    <t>Cét BTLT 14m C</t>
  </si>
  <si>
    <t>Cét BTLT 14mB</t>
  </si>
  <si>
    <t>Cét BTLT 10 m C</t>
  </si>
  <si>
    <t>Cét BTLT 12 m A</t>
  </si>
  <si>
    <t>Cét BTLT 14 m B  cã bÝch</t>
  </si>
  <si>
    <t>èng cèng phi 600*4m</t>
  </si>
  <si>
    <t>èng cèng phi 600*1m cÊp T</t>
  </si>
  <si>
    <t>èng cèng phi 500*4m H 10</t>
  </si>
  <si>
    <t>èng cèng phi 800 dµi 4m H30( KB )</t>
  </si>
  <si>
    <t>èng # 1000*2m kh¸ch ®Æt lßng ®­êng</t>
  </si>
  <si>
    <t>èng cèng phi 300x4m cÊp T</t>
  </si>
  <si>
    <t>èng cèng phi 300 * 4m (Cty 485)</t>
  </si>
  <si>
    <t>èng cèng #300* 3m TC</t>
  </si>
  <si>
    <t>èng cèng # 300*1mTC</t>
  </si>
  <si>
    <t>èng cèng phi 300x 3,5m (Cty 485)</t>
  </si>
  <si>
    <t>èng cèng phi 400 x4m (Cty NhËt Minh)</t>
  </si>
  <si>
    <t>èng cèng phi 500 x 4m (Cty NhËt Minh)</t>
  </si>
  <si>
    <t>èng cèng phi 600x 3m (Cty NhËt Minh)</t>
  </si>
  <si>
    <t>§Õ cèng phi 600</t>
  </si>
  <si>
    <t>èng cèng # 300*4m( Thiªn S¬n)</t>
  </si>
  <si>
    <t xml:space="preserve"> ĐỊA CHỈ: KHỐI 3 - PHƯỜNG TRUNG ĐÔ - TP VINH - NGHỆ AN</t>
  </si>
  <si>
    <t>BẢNG CÂN ĐỐI KẾ TOÁN</t>
  </si>
  <si>
    <t xml:space="preserve">         KẾ TOÁN TRƯỞNG</t>
  </si>
  <si>
    <t xml:space="preserve">        GIÁM ĐỐC CÔNG TY</t>
  </si>
  <si>
    <t xml:space="preserve">           Trần Thị Lương</t>
  </si>
  <si>
    <t xml:space="preserve">              CÔNG TY CP XD ĐIỆN VNECO3                                         </t>
  </si>
  <si>
    <t xml:space="preserve">KHỐI 3 - PHƯỜNG TRUNG ĐÔ - TP VINH - NGHỆ AN      </t>
  </si>
  <si>
    <t>BÁO CÁO KẾT QUẢ HOẠT ĐỘNG SẢN XUẤT KINH DOANH</t>
  </si>
  <si>
    <t>Quý 3</t>
  </si>
  <si>
    <t>Luỹ kế từ đầu năm</t>
  </si>
  <si>
    <t>đến cuối quý 3</t>
  </si>
  <si>
    <t>Thuyết  minh</t>
  </si>
  <si>
    <t>Năm 2014</t>
  </si>
  <si>
    <t xml:space="preserve"> 1. Doanh thu bán hàng và cung cấp dịch vụ                                                      </t>
  </si>
  <si>
    <t xml:space="preserve"> 2. Các khoản giảm trừ                                                                          </t>
  </si>
  <si>
    <t xml:space="preserve"> 3. Doanh thu thuần về BH và c/c DV (10=01- 03)                                                 </t>
  </si>
  <si>
    <t xml:space="preserve"> 4. Giá vốn hàng bán                                                                            </t>
  </si>
  <si>
    <t xml:space="preserve"> 5. Lợi nhuận gộp về BH và c/c DV (20=10-11)                                                    </t>
  </si>
  <si>
    <t xml:space="preserve"> 6. Doanh thu hoạt động tài chính                                                               </t>
  </si>
  <si>
    <t xml:space="preserve"> 7. Chi phí tài chính                                                                           </t>
  </si>
  <si>
    <t xml:space="preserve"> - Trong đó: Chi phí lãi vay                                                                    </t>
  </si>
  <si>
    <t xml:space="preserve"> 8. Chi phí bán hàng                                                                            </t>
  </si>
  <si>
    <t xml:space="preserve">     - Chi phí bán hàng                                                                         </t>
  </si>
  <si>
    <t xml:space="preserve">24A     </t>
  </si>
  <si>
    <t xml:space="preserve">     - Chi phí chờ kết chuyển (14221)                                                           </t>
  </si>
  <si>
    <t xml:space="preserve">24B     </t>
  </si>
  <si>
    <t xml:space="preserve"> 9. Chi phí quản lý doanh nghiệp                                                                </t>
  </si>
  <si>
    <t xml:space="preserve"> 10. Lợi nhuận thuần từ hoạt động kinh doanh                         </t>
  </si>
  <si>
    <t xml:space="preserve"> 11. Thu nhập khác                                                                              </t>
  </si>
  <si>
    <t xml:space="preserve"> 12. Chi phí khác                                                                               </t>
  </si>
  <si>
    <t xml:space="preserve"> 13. Lợi nhuận khác (40=31-32)                                                                  </t>
  </si>
  <si>
    <t xml:space="preserve"> 14. Tổng lợi nhuận kế toán trước thuế (50=30+40)                                               </t>
  </si>
  <si>
    <t xml:space="preserve"> 15. Chi phí thuế TNDN hiện hành                                                                </t>
  </si>
  <si>
    <t xml:space="preserve"> 16. Chi phí thuế TNDN hoãn lại                                                                 </t>
  </si>
  <si>
    <t xml:space="preserve"> 17. Lợi nhuận sau thuế thu nhập doanh nghiệp                             </t>
  </si>
  <si>
    <t xml:space="preserve"> 18. Lãi cơ bản trên cổ phiếu                                                                   </t>
  </si>
  <si>
    <t xml:space="preserve">                       KẾ TOÁN TRƯỞNG                                                                             GIÁM ĐỐC</t>
  </si>
  <si>
    <t xml:space="preserve">                           Trần Thị Lương</t>
  </si>
  <si>
    <t xml:space="preserve"> IV .THÔNG TIN BỔ SUNG CHO CÁC KHOẢN MỤC TRÌNH BÀY TRONG BẢNG CÂN ĐỐI KẾ TOÁN </t>
  </si>
  <si>
    <t>Đầu kỳ(01/1/2015)</t>
  </si>
  <si>
    <t xml:space="preserve">  1. Tiền </t>
  </si>
  <si>
    <t xml:space="preserve"> - Tiền mặt tại quỹ</t>
  </si>
  <si>
    <t xml:space="preserve">  - Tiền Việt nam gửi ngân hàng</t>
  </si>
  <si>
    <t xml:space="preserve">         Ngân hàng công thương Bến Thuỷ </t>
  </si>
  <si>
    <r>
      <t xml:space="preserve">        Ngân hàng TMCP  Việt nam</t>
    </r>
    <r>
      <rPr>
        <sz val="10"/>
        <rFont val=".VnTime"/>
        <family val="2"/>
      </rPr>
      <t xml:space="preserve"> - th­¬ng tÝn</t>
    </r>
  </si>
  <si>
    <t xml:space="preserve">        Ngân hàng TMCP  Đầu tư và Phát Triển</t>
  </si>
  <si>
    <t xml:space="preserve">  - Tiền gửi ngoại tệ  tại ngân hàng</t>
  </si>
  <si>
    <t>02. Các khoản phải thu ngắn hạn</t>
  </si>
  <si>
    <t xml:space="preserve">   -. Phải thu khách hàng (*)</t>
  </si>
  <si>
    <t xml:space="preserve">   - Trả trước cho người bán</t>
  </si>
  <si>
    <t xml:space="preserve">  - Các khoản phải thu khác (*)</t>
  </si>
  <si>
    <t xml:space="preserve">  - Dự phòng phải thu khó đòi </t>
  </si>
  <si>
    <t>(*) Phải thu của khách hàng ngắn hạn</t>
  </si>
  <si>
    <t>Công ty CP Xây dựng điện Việt nam</t>
  </si>
  <si>
    <t>Công ty CP Sông đà 11</t>
  </si>
  <si>
    <t>Công ty CP Xây lắp điện 1</t>
  </si>
  <si>
    <t xml:space="preserve">Công ty Cổ phần Việt á Nghĩa Đàn   </t>
  </si>
  <si>
    <t>Các đối tượng khác</t>
  </si>
  <si>
    <t>(*). Các khoản phải thu khác ngắn hạn</t>
  </si>
  <si>
    <t>Phải thu của CBCNV vay mượn tam thời</t>
  </si>
  <si>
    <t>Phải thu của Tổng Công ty VNECO</t>
  </si>
  <si>
    <t xml:space="preserve">Phải thu khác </t>
  </si>
  <si>
    <t>03- Hàng tồn kho</t>
  </si>
  <si>
    <t xml:space="preserve">          - Nguyên liệu, vật liệu </t>
  </si>
  <si>
    <t xml:space="preserve">          - Công cụ, dụng cụ </t>
  </si>
  <si>
    <t xml:space="preserve">          - Chi phí SX, KD dở dang </t>
  </si>
  <si>
    <t xml:space="preserve">          - Thành phẩm </t>
  </si>
  <si>
    <t xml:space="preserve">          - Hàng Gửi bán </t>
  </si>
  <si>
    <t>Cộng giá gốc hàng tồn kho</t>
  </si>
  <si>
    <t xml:space="preserve">  + Tài sản Hữu hình  (Kèm phụ lục 01)</t>
  </si>
  <si>
    <t xml:space="preserve"> - Nguyên giá</t>
  </si>
  <si>
    <t xml:space="preserve"> - Giá trị hao  mòn luỹ kế</t>
  </si>
  <si>
    <t xml:space="preserve"> - Giá trị còn lại</t>
  </si>
  <si>
    <t xml:space="preserve"> - Đầu tư vào Công ty Cổ phần  Sông Ba(*)</t>
  </si>
  <si>
    <t xml:space="preserve">  - Dự phòng giảm giá đầu tư </t>
  </si>
  <si>
    <t>(*) -  Số lượng cổ phiếu tại thời điểm 01/01/2015 là:  25 166 cổ phiếu</t>
  </si>
  <si>
    <t xml:space="preserve"> Phí gia hạn chứng chỉ ISO</t>
  </si>
  <si>
    <t xml:space="preserve">  Công cụ dụng cụ chờ phân bổ </t>
  </si>
  <si>
    <t xml:space="preserve">  Sữa chữa nhà xưởng</t>
  </si>
  <si>
    <t xml:space="preserve">  Sữa chữa xeô tô</t>
  </si>
  <si>
    <t>(*) -  Số lượng cổ phiếu tại thời điểm 01//2013 là:248 730 cổ phiếu</t>
  </si>
  <si>
    <t>Chi phí lắp ráp khuôn quay bê tông</t>
  </si>
  <si>
    <t xml:space="preserve">  - Số cổ tức được chia trong năm bằng cổ phiếu là : 12 436 cổ phiếu</t>
  </si>
  <si>
    <t>Tạm ứng</t>
  </si>
  <si>
    <t xml:space="preserve"> - Thuế Giá trị gia tăng </t>
  </si>
  <si>
    <t xml:space="preserve"> - Thuế thu nhập doanh nghiệp</t>
  </si>
  <si>
    <t xml:space="preserve">     Trong đó                        : - Thuế TNDN quý 4/2014</t>
  </si>
  <si>
    <t xml:space="preserve"> - Thuế thu nhập cá nhân</t>
  </si>
  <si>
    <t xml:space="preserve"> Cộng</t>
  </si>
  <si>
    <t>10- Chi phí phải trả ngắn hạn</t>
  </si>
  <si>
    <r>
      <t xml:space="preserve"> - </t>
    </r>
    <r>
      <rPr>
        <sz val="10"/>
        <rFont val=".VnTime"/>
        <family val="2"/>
      </rPr>
      <t>Chi phÝ trÝch tr­íc vµo s¶n xuÊt kinh doanh (*)</t>
    </r>
  </si>
  <si>
    <t>(*) Chi tiết chi phí trích trước vào sản xuất kinh doanh</t>
  </si>
  <si>
    <t>Trích trước chi phí đường dây Ô môn - sóc trăng</t>
  </si>
  <si>
    <t xml:space="preserve"> Cộng </t>
  </si>
  <si>
    <t>11- Các khoản phải trả, phải nộp ngắn hạn khác</t>
  </si>
  <si>
    <t xml:space="preserve">    - Kinh phí công đoàn</t>
  </si>
  <si>
    <t xml:space="preserve">    - Bảo hiểm xã hội, Bảo hiểm y tế bảo hiểm thất nghiệp</t>
  </si>
  <si>
    <t xml:space="preserve">    - Phải trả cho tổng Công ty VNECO các khoản khác</t>
  </si>
  <si>
    <t xml:space="preserve">     - Cổ tức phải trả cho các cổ đông</t>
  </si>
  <si>
    <t xml:space="preserve">    - Khoản Phải trả về tiền bảo hành công trình</t>
  </si>
  <si>
    <t xml:space="preserve">    Trong đó:  Đậu Văn Tiến</t>
  </si>
  <si>
    <t xml:space="preserve">                        Nguyễn Văn Đào</t>
  </si>
  <si>
    <t xml:space="preserve">                       Nguyễn Trọng Tuấn</t>
  </si>
  <si>
    <t xml:space="preserve">                      Nguyễn Trung phú</t>
  </si>
  <si>
    <t xml:space="preserve">                      Dương đoàn nguyện</t>
  </si>
  <si>
    <t xml:space="preserve">                      Hồ hửu Phước</t>
  </si>
  <si>
    <t xml:space="preserve">                      Tiền giữ lại bảo hành sữa chữa các công trình</t>
  </si>
  <si>
    <t xml:space="preserve">    - Các khoản phải trả khác</t>
  </si>
  <si>
    <t xml:space="preserve">  - Dự phòng chi phí bảo hành các công trình xây lắp</t>
  </si>
  <si>
    <t xml:space="preserve">     Đường dây 220 KV Vũng áng Hà tĩnh</t>
  </si>
  <si>
    <t xml:space="preserve">     Đường dây 220 KV Thanh Hoá - Vinh</t>
  </si>
  <si>
    <t xml:space="preserve">     Đường dây 220 KV Nghi Sơn - Thanh Hoá</t>
  </si>
  <si>
    <t xml:space="preserve">     Đường dây 500 KV Quảng Ninh - Hiệp Hoà lô 8.2</t>
  </si>
  <si>
    <t xml:space="preserve">     Đường dây 500 KV Quảng Ninh - Hiệp Hoà lô 8.1</t>
  </si>
  <si>
    <t xml:space="preserve">     Đường dây 220 KV Duyên Hải - Trà vinh</t>
  </si>
  <si>
    <t xml:space="preserve">     Đường dây 110 KV vân trì - chèm</t>
  </si>
  <si>
    <t xml:space="preserve">     Đường dây 110 KV Nậm Na2 - Mường So</t>
  </si>
  <si>
    <t xml:space="preserve">     Đường dây 500 KV Pleiku- Mỹ Phước - Cầu Bông</t>
  </si>
  <si>
    <t xml:space="preserve">     Đường dây 500 KV Vĩnh Tân - Sông Mây</t>
  </si>
  <si>
    <t xml:space="preserve">     Đường dây 500 KV Sơn La - lai Châu</t>
  </si>
  <si>
    <t xml:space="preserve">     Đường dây 500 KV Duyên Hải Mỹ Tho</t>
  </si>
  <si>
    <t xml:space="preserve">     Đường dây 220 KV Vĩnh Tân - Phan Thiết</t>
  </si>
  <si>
    <t xml:space="preserve">     Đường dây 110 KV Vĩnh Tân - Phú Mỹ</t>
  </si>
  <si>
    <t xml:space="preserve"> a. Bảng đối chiếu biến động vốn chủ sở hửu  (Kèm Phụ lục 03)</t>
  </si>
  <si>
    <t xml:space="preserve"> b. Chi tiết vốn đầu tư của chủ sở hửu</t>
  </si>
  <si>
    <t xml:space="preserve">     - Vốn góp của Tổng Công ty</t>
  </si>
  <si>
    <t xml:space="preserve">     + Vốn góp của các đối tượng khác</t>
  </si>
  <si>
    <t xml:space="preserve">  C.  Cổ phiếu</t>
  </si>
  <si>
    <t xml:space="preserve">      - Số lượng cổ phiếu đăng ký phát hành</t>
  </si>
  <si>
    <t xml:space="preserve">      - Số lượng cổ phiếu đã bán ra công chúng</t>
  </si>
  <si>
    <t xml:space="preserve">        + Cổ phiếu phổ thông</t>
  </si>
  <si>
    <t xml:space="preserve">       - Số lượng cổ phiếu đang lưu hành</t>
  </si>
  <si>
    <t xml:space="preserve">           - Mệnh giá cổ phiếu đang lưu hành: 10.000 đồng/ cổ phiếu</t>
  </si>
  <si>
    <t xml:space="preserve">  e-  Các quỹ của doanh nghiệp: </t>
  </si>
  <si>
    <t xml:space="preserve">   - Quỹ đầu tư phát triển</t>
  </si>
  <si>
    <t xml:space="preserve">       - Quỹ dự phòng tài chính</t>
  </si>
  <si>
    <t xml:space="preserve">                                                Trần Thị Lương</t>
  </si>
  <si>
    <t>V.THÔNG TIN BỔ SUNG CÁC KHOẢN MỤC TRÌNH BÀY TRONG BÁO CÁO KẾT QUẢ HOẠT ĐỘNG SXKD</t>
  </si>
  <si>
    <t xml:space="preserve">Luỹ kế từ đầu năm </t>
  </si>
  <si>
    <t>CHỈ TIÊU</t>
  </si>
  <si>
    <t>01- Tổng doanh thu bán hàng và cung cấp dịch vụ (Mã số 01)</t>
  </si>
  <si>
    <t xml:space="preserve"> - Doanh thu về bán hàng và cung cấp dịch vụ (Mã số 10)</t>
  </si>
  <si>
    <r>
      <t>Trong đó</t>
    </r>
    <r>
      <rPr>
        <sz val="10"/>
        <rFont val="Times New Roman"/>
        <family val="1"/>
      </rPr>
      <t xml:space="preserve">:   </t>
    </r>
  </si>
  <si>
    <t xml:space="preserve">  - Doanh thu Xây lắp</t>
  </si>
  <si>
    <t xml:space="preserve">  - Doanh thu sản xuất công nghiệp </t>
  </si>
  <si>
    <t xml:space="preserve">  - Doanh thu khác</t>
  </si>
  <si>
    <t>02- Các khoản giảm trừ</t>
  </si>
  <si>
    <t xml:space="preserve"> Trong đó : Hàng bán trả lại</t>
  </si>
  <si>
    <t>03- Doanh thu thuần bán hàng và cung cấp dịch vụ</t>
  </si>
  <si>
    <t>04 - Giá vốn hàng bán (Mã số 11)</t>
  </si>
  <si>
    <t xml:space="preserve">  - Giá vốn Xây lắp</t>
  </si>
  <si>
    <t xml:space="preserve">  - Giá vốn sản xuất công nghiệp </t>
  </si>
  <si>
    <t xml:space="preserve">  - Giá vốn của hoạt động SXKD khác</t>
  </si>
  <si>
    <t xml:space="preserve">                                         Cộng</t>
  </si>
  <si>
    <r>
      <t xml:space="preserve"> 05- </t>
    </r>
    <r>
      <rPr>
        <b/>
        <sz val="10"/>
        <rFont val=".VnTime"/>
        <family val="2"/>
      </rPr>
      <t>Doanh thu ho¹t ®éng tµi chÝnh (</t>
    </r>
    <r>
      <rPr>
        <b/>
        <sz val="10"/>
        <rFont val="Times New Roman"/>
        <family val="1"/>
      </rPr>
      <t>Mã số 21</t>
    </r>
    <r>
      <rPr>
        <b/>
        <sz val="10"/>
        <rFont val=".VnTime"/>
        <family val="2"/>
      </rPr>
      <t>)</t>
    </r>
  </si>
  <si>
    <t xml:space="preserve"> -  Lãi tiền gửi, tiền cho vay</t>
  </si>
  <si>
    <t xml:space="preserve"> - Lãi do bán cổ phiếu</t>
  </si>
  <si>
    <t xml:space="preserve"> - Lợi nhuận được chia</t>
  </si>
  <si>
    <t xml:space="preserve">                                                Cộng</t>
  </si>
  <si>
    <t>06- Chi phí tài chính (Mã số 22)</t>
  </si>
  <si>
    <t xml:space="preserve"> - Lỗ do đầu tư chứng khoán</t>
  </si>
  <si>
    <t xml:space="preserve"> - Hoàn nhập dự phòng giảm giá đầu tư tài chính dài hạn</t>
  </si>
  <si>
    <t xml:space="preserve"> - Chiết khấu thanh toán</t>
  </si>
  <si>
    <t xml:space="preserve">    Lợi nhuận trước thuế </t>
  </si>
  <si>
    <t xml:space="preserve">  - Trừ thu nhập được miễn thuế</t>
  </si>
  <si>
    <t xml:space="preserve">  - Chi phí không được trừ vào thu nhập chịu thuế</t>
  </si>
  <si>
    <t xml:space="preserve">  - Thu nhập chịu thuế</t>
  </si>
  <si>
    <t xml:space="preserve">  - Thuế phải nôp  (áp dụng thuế suất 25%)</t>
  </si>
  <si>
    <t xml:space="preserve">  - Thuế phải nôp  (áp dụng thuế suất 20%)</t>
  </si>
  <si>
    <t xml:space="preserve">  - Thuế phải nôp  (áp dụng thuế suất 22%)</t>
  </si>
  <si>
    <t>VI. NHỮNG THÔNG TIN KHÁC :</t>
  </si>
  <si>
    <t xml:space="preserve"> Thông tin về các bên liên quan:</t>
  </si>
  <si>
    <t xml:space="preserve">          Các bên liên quan bao gồm:</t>
  </si>
  <si>
    <t xml:space="preserve">          Tổng công ty cổ phần xây dựng điện Việt nam (VNECO) là Công ty mẹ có cổ phần chi phối chiếm 52,93% vốn điều lệ đã đăng ký của Công ty . </t>
  </si>
  <si>
    <t xml:space="preserve">   + Thực hiện các hợp đồng kinh tế giữa Công ty mẹ và Công ty , đồng thời quyết toán khối lượng xây lắp hoàn thành và  thanh toán công nợ với Công ty mẹ</t>
  </si>
  <si>
    <t>Nội dung</t>
  </si>
  <si>
    <t>Số dư 
01/01/2015</t>
  </si>
  <si>
    <t>Phát sinh tăng</t>
  </si>
  <si>
    <t>Phát sinh Giảm</t>
  </si>
  <si>
    <t>Các khoản phải trả khác</t>
  </si>
  <si>
    <t>Số dư
 01/01/2015</t>
  </si>
  <si>
    <t>Hợp đồng xây lắp</t>
  </si>
  <si>
    <t>Kinh phí đền bù</t>
  </si>
  <si>
    <t xml:space="preserve">Công ty cổ phần XD </t>
  </si>
  <si>
    <t xml:space="preserve">                                             KẾ TOÁN TRƯỞNG</t>
  </si>
  <si>
    <t xml:space="preserve">   GIÁM ĐỐC CÔNG TY</t>
  </si>
  <si>
    <t xml:space="preserve">            Trần Thị Lương</t>
  </si>
  <si>
    <t xml:space="preserve">09.Thuế và các khoản phải nộp nhà nước </t>
  </si>
  <si>
    <t>Phụ lục 02</t>
  </si>
  <si>
    <t>09. Thuế và các khoản phải nộp nhà nước</t>
  </si>
  <si>
    <t>Số đầu kỳ (01/01/2015)</t>
  </si>
  <si>
    <t>Số phải nộp trong kỳ</t>
  </si>
  <si>
    <t>Số đã thực nộp trong kỳ</t>
  </si>
  <si>
    <t>a. Phải nộp</t>
  </si>
  <si>
    <t>Thuế giá trị gia tăng</t>
  </si>
  <si>
    <t>Thuế thu nhậo doanh nghiệp</t>
  </si>
  <si>
    <t>Thuế thu nhập cá nhân</t>
  </si>
  <si>
    <t>Thuế khác</t>
  </si>
  <si>
    <t>b. Phải thu</t>
  </si>
  <si>
    <t>NGƯỜI LẬP</t>
  </si>
  <si>
    <t>KẾ TOÁN TRƯỞNG</t>
  </si>
  <si>
    <t xml:space="preserve">             GIÁM ĐỐC CÔNG TY</t>
  </si>
  <si>
    <t>Phụ lục 03</t>
  </si>
  <si>
    <t>a- Bảng đối chiếu biến động của vốn chủ sở hữu</t>
  </si>
  <si>
    <t>Vốn góp (Vốn ĐT của CSH)</t>
  </si>
  <si>
    <t>Quỹ đầu tư phát triển</t>
  </si>
  <si>
    <t>Quỹ dự phòng tài chính</t>
  </si>
  <si>
    <t>Thặng dư vốn cổ phần</t>
  </si>
  <si>
    <t>Quỹ khác thuộc vốn chủ sở hữu</t>
  </si>
  <si>
    <t>Lợi nhuậnchưa phân phối</t>
  </si>
  <si>
    <t>phân phối</t>
  </si>
  <si>
    <t>Số dư tại 01/012014</t>
  </si>
  <si>
    <t xml:space="preserve">- Tăng vốn trong  năm trước  </t>
  </si>
  <si>
    <t>- Giảm  vốn trong năm trước</t>
  </si>
  <si>
    <t>Số dư 31/12/2014</t>
  </si>
  <si>
    <t>Số dư tại 01/01/2015</t>
  </si>
  <si>
    <t>- Tăng vốn trong  kỳ</t>
  </si>
  <si>
    <t>- Giảm  vốn trong  kỳ</t>
  </si>
  <si>
    <t xml:space="preserve">              KẾ TOÁN TRƯỞNG</t>
  </si>
  <si>
    <t xml:space="preserve">         Trần Thi Lương</t>
  </si>
  <si>
    <t>Tại thời điểm 30/09/2015</t>
  </si>
  <si>
    <t>Quý 3 năm 2015</t>
  </si>
  <si>
    <t>Năm 2015</t>
  </si>
  <si>
    <t>Cuối kỳ 30/09/2015</t>
  </si>
  <si>
    <t>A.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</si>
  <si>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</si>
  <si>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</si>
  <si>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</si>
  <si>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</si>
  <si>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</si>
  <si>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</si>
  <si>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</si>
  <si>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</si>
  <si>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</si>
  <si>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và công cụ tài chính kinh doanh</t>
  </si>
  <si>
    <t>121</t>
  </si>
  <si>
    <t>2. Dự phòng giảm giá chứng khoán kinh doanh (*)</t>
  </si>
  <si>
    <t>122</t>
  </si>
  <si>
    <t>3. Đầu tư ngắn hạn khác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</si>
  <si>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</si>
  <si>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</si>
  <si>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</si>
  <si>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</si>
  <si>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</si>
  <si>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</si>
  <si>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</si>
  <si>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</si>
  <si>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</si>
  <si>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</si>
  <si>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</si>
  <si>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</si>
  <si>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/>
  </si>
  <si>
    <t>135</t>
  </si>
  <si>
    <t>6. Phải thu ngắn hạn khác</t>
  </si>
  <si>
    <t>136</t>
  </si>
  <si>
    <t>7. Dự phòng phải thu ngắn hạn khó đòi (*)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</si>
  <si>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</si>
  <si>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</si>
  <si>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</si>
  <si>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</si>
  <si>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</si>
  <si>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</si>
  <si>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</si>
  <si>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</si>
  <si>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</si>
  <si>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</si>
  <si>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</si>
  <si>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</si>
  <si>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</si>
  <si>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</si>
  <si>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</si>
  <si>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</si>
  <si>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</si>
  <si>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5. Tài sản ngắn hạn khác</t>
  </si>
  <si>
    <t>155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</si>
  <si>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</si>
  <si>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</si>
  <si>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</si>
  <si>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</si>
  <si>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</si>
  <si>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</si>
  <si>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</si>
  <si>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</si>
  <si>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</si>
  <si>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</si>
  <si>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</si>
  <si>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</si>
  <si>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</si>
  <si>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</si>
  <si>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</si>
  <si>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</si>
  <si>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</si>
  <si>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</si>
  <si>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</si>
  <si>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</si>
  <si>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</si>
  <si>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</si>
  <si>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</si>
  <si>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</si>
  <si>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 (*)</t>
  </si>
  <si>
    <t>223</t>
  </si>
  <si>
    <t>III. Bất động sản đầu tư</t>
  </si>
  <si>
    <t>230</t>
  </si>
  <si>
    <t>231</t>
  </si>
  <si>
    <t>232</t>
  </si>
  <si>
    <t>IV. Tài sản dài hạn dở dang</t>
  </si>
  <si>
    <t>240</t>
  </si>
  <si>
    <t>1. Chi phí sản xuất kinh doanh dở dang dài hạn</t>
  </si>
  <si>
    <t>241</t>
  </si>
  <si>
    <t>2. Chi phí xây dựng cơ bản dở dang</t>
  </si>
  <si>
    <t>242</t>
  </si>
  <si>
    <t>V. Các khoản đầu tư tài chính dài hạn</t>
  </si>
  <si>
    <t>250</t>
  </si>
  <si>
    <t>1. Đầu tư vào công ty con</t>
  </si>
  <si>
    <t>251</t>
  </si>
  <si>
    <t>2. Đầu tư vào công tư liên kết, liên doanh</t>
  </si>
  <si>
    <t>252</t>
  </si>
  <si>
    <t>3. Đầu tư góp vốn vào đơn vị khác</t>
  </si>
  <si>
    <t>253</t>
  </si>
  <si>
    <t>4. Dự phòng đầu tư tài chính dài hạn (*)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</si>
  <si>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</si>
  <si>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</si>
  <si>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</si>
  <si>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</si>
  <si>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</si>
  <si>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</si>
  <si>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</si>
  <si>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</si>
  <si>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</si>
  <si>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</si>
  <si>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</si>
  <si>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</si>
  <si>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</si>
  <si>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 (270 = 100 + 200)</t>
  </si>
  <si>
    <t>270</t>
  </si>
  <si>
    <t>Nguồn Vốn</t>
  </si>
  <si>
    <t>C -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</si>
  <si>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</si>
  <si>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</si>
  <si>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</si>
  <si>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</si>
  <si>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</si>
  <si>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</si>
  <si>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</si>
  <si>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</si>
  <si>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</si>
  <si>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</si>
  <si>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</si>
  <si>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</si>
  <si>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</si>
  <si>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</si>
  <si>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</si>
  <si>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</si>
  <si>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</si>
  <si>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</si>
  <si>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</si>
  <si>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</si>
  <si>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</si>
  <si>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</si>
  <si>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</si>
  <si>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</si>
  <si>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</si>
  <si>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</si>
  <si>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</si>
  <si>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</si>
  <si>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</si>
  <si>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</si>
  <si>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</si>
  <si>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</si>
  <si>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</si>
  <si>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dài hạn người bán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</si>
  <si>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</si>
  <si>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</si>
  <si>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</si>
  <si>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</si>
  <si>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</si>
  <si>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</si>
  <si>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</si>
  <si>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</si>
  <si>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</si>
  <si>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</si>
  <si>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</si>
  <si>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</si>
  <si>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</si>
  <si>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</si>
  <si>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</si>
  <si>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</si>
  <si>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</si>
  <si>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</si>
  <si>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</si>
  <si>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</si>
  <si>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</si>
  <si>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</si>
  <si>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</si>
  <si>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</si>
  <si>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</si>
  <si>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 - Vốn Chủ Sở Hữu</t>
  </si>
  <si>
    <t>400</t>
  </si>
  <si>
    <t>I. Vốn chủ sở hữu</t>
  </si>
  <si>
    <t>410</t>
  </si>
  <si>
    <t>1. Vốn góp của chủ sở hữu</t>
  </si>
  <si>
    <t>411</t>
  </si>
  <si>
    <t xml:space="preserve"> - Cổ phiếu phổ thông có quyền biểu quyết</t>
  </si>
  <si>
    <t>411A</t>
  </si>
  <si>
    <t xml:space="preserve"> 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</si>
  <si>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</si>
  <si>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</si>
  <si>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</si>
  <si>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</si>
  <si>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</si>
  <si>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</si>
  <si>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</si>
  <si>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 (*)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</si>
  <si>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</si>
  <si>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</si>
  <si>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</si>
  <si>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</si>
  <si>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</si>
  <si>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</si>
  <si>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</si>
  <si>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</si>
  <si>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</si>
  <si>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</si>
  <si>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</si>
  <si>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</si>
  <si>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</si>
  <si>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</si>
  <si>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</si>
  <si>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</si>
  <si>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</si>
  <si>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</si>
  <si>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</si>
  <si>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</si>
  <si>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</si>
  <si>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</si>
  <si>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</si>
  <si>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</si>
  <si>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</si>
  <si>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</si>
  <si>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</si>
  <si>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>Công ty CP Xây Dựng Công nghiệp Việt Á</t>
  </si>
  <si>
    <t>Công ty cổ phần xây dựng An Phát</t>
  </si>
  <si>
    <t>Cty CP thương mại xây lắp công nghiệp Thăng Long</t>
  </si>
  <si>
    <t xml:space="preserve">  Sữa chữa xeô tô 6668</t>
  </si>
  <si>
    <t>Công ty TNHH Hoa Thường</t>
  </si>
  <si>
    <t>Công ty cổ phần thép và thiết bị SEMEC</t>
  </si>
  <si>
    <t>Công ty cổ phần xây lắp và thương mại</t>
  </si>
  <si>
    <t>Công ty TNHH xây dựng Vinh Nam</t>
  </si>
  <si>
    <t>Công ty cổ phần xây dựng và thương mại 667</t>
  </si>
  <si>
    <t>Phải trả khác</t>
  </si>
  <si>
    <t xml:space="preserve">                      Nguyễn văn Trọng</t>
  </si>
  <si>
    <t xml:space="preserve">          Các giao dịch chủ yếu của Công ty với Công ty mẹ trong giai đoạn tài chính từ ngày 01/01/2015 đến ngày 30/09/2015 bao gồm:</t>
  </si>
  <si>
    <t xml:space="preserve">          Công nợ phải trả của Công ty với Công ty Mẹ tại ngày 30 thánh 09 năm 2015 như sau:</t>
  </si>
  <si>
    <t>Số dư 
30/09/2015</t>
  </si>
  <si>
    <t>Công nợ phải thu của Công ty với Công ty Mẹ tại ngày 30 tháng 09 năm 2015 như sau:</t>
  </si>
  <si>
    <t>Công nợ phải thu của Công ty với các đơn vị cùng tổ hợp VNECO tại ngày 30 thánh 09 năm 2015 như sau:</t>
  </si>
  <si>
    <t>VNECO4</t>
  </si>
  <si>
    <t>Số dư  tại 30/09/2015</t>
  </si>
  <si>
    <t>Chi phí bảo hiểm ô tô</t>
  </si>
  <si>
    <t>Chi phí S/C xe ô tô</t>
  </si>
  <si>
    <t>dài hạn</t>
  </si>
  <si>
    <t xml:space="preserve"> Vay ngắn hạn ngân hàng công thương Thành phố Vinh</t>
  </si>
  <si>
    <t xml:space="preserve">                                             : - Thuế TNDN </t>
  </si>
  <si>
    <t xml:space="preserve">                                                                     Ngày 19 tháng 10 năm 2015</t>
  </si>
  <si>
    <t xml:space="preserve"> - Thanh lý , nhượng bán TSCĐ</t>
  </si>
  <si>
    <t xml:space="preserve"> - Hoàn nhập dự phòng bảo hành công trình</t>
  </si>
  <si>
    <t xml:space="preserve"> - Thu tiền điện, nước, nhà khu tập thể</t>
  </si>
  <si>
    <t xml:space="preserve"> -  Các khoản khác</t>
  </si>
  <si>
    <t xml:space="preserve"> - Chi phí về thanh lý và giá trị còn lại của TSCĐ</t>
  </si>
  <si>
    <t xml:space="preserve"> - Các khoản bị phạt</t>
  </si>
  <si>
    <t xml:space="preserve"> - Các khoản chi phí khác</t>
  </si>
  <si>
    <t xml:space="preserve"> - Chi phí nhân viên quản lý</t>
  </si>
  <si>
    <t xml:space="preserve"> - Chi phí vật liệu quản lý</t>
  </si>
  <si>
    <t xml:space="preserve"> - Chi phí đồ dùng văn phòng </t>
  </si>
  <si>
    <t xml:space="preserve"> - Chi phí khấu hao TSCĐ</t>
  </si>
  <si>
    <t xml:space="preserve"> - Chi phí thuế, phí và lệ phí</t>
  </si>
  <si>
    <t xml:space="preserve"> - Chi phí trích lập dự phòng khó đòi</t>
  </si>
  <si>
    <t xml:space="preserve"> - Chi phí dịch vụ mua ngoài</t>
  </si>
  <si>
    <t xml:space="preserve"> - Chi phí bằng tiền khác</t>
  </si>
  <si>
    <t>10- Chi phí thuế thu nhập hiện hành</t>
  </si>
  <si>
    <t>Vinh, ngày 19 tháng 10 năm 2015</t>
  </si>
  <si>
    <t xml:space="preserve">Ngày 19 tháng 10 năm 2015 </t>
  </si>
  <si>
    <t xml:space="preserve"> </t>
  </si>
  <si>
    <t>Phụ lục 01</t>
  </si>
  <si>
    <t>NỘI DUNG</t>
  </si>
  <si>
    <t>NHÀ CỬA VẬT KIẾN TRÚC</t>
  </si>
  <si>
    <t>MÁY MÓC THIẾT BỊ</t>
  </si>
  <si>
    <t>PHƯƠNG TIỆN VẬN TẢI</t>
  </si>
  <si>
    <t>THIẾT BỊ DỤNG CỤ QUẢN LÝ</t>
  </si>
  <si>
    <t>TỔNG CỘNG</t>
  </si>
  <si>
    <t>NGUYÊN GIÁ</t>
  </si>
  <si>
    <t>Đầu tư XDCB hoàn thành</t>
  </si>
  <si>
    <t>Nhượng bán</t>
  </si>
  <si>
    <t>GIÁ TRỊ HAO MÒN LUỸ KẾ</t>
  </si>
  <si>
    <t>GÍA TRỊ CÒN LẠI CỦA TSCĐ</t>
  </si>
  <si>
    <t>Tại ngày cuối quý 3: (30/09/2015)</t>
  </si>
  <si>
    <t xml:space="preserve">                        KẾ TOÁN TRƯỞNG</t>
  </si>
  <si>
    <t>Số dư đầu kỳ (01/01/2015)</t>
  </si>
  <si>
    <t>Mua đến hết quý 3/2015</t>
  </si>
  <si>
    <t>Số dư cuối quý 3 (30/09/2015)</t>
  </si>
  <si>
    <t>Khấu hao đến hết quý 3/2015</t>
  </si>
  <si>
    <t>Tại ngày đầu kỳ: ( 01/01/2015)</t>
  </si>
  <si>
    <t>Thuyết Minh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</si>
  <si>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</si>
  <si>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</si>
  <si>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</si>
  <si>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</si>
  <si>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</si>
  <si>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</si>
  <si>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</si>
  <si>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</si>
  <si>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</si>
  <si>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IV.10</t>
  </si>
  <si>
    <t>IV.11</t>
  </si>
  <si>
    <t>IV.12</t>
  </si>
  <si>
    <t>13- Dự phòng phải trả ngắn hạn:</t>
  </si>
  <si>
    <t>IV.13</t>
  </si>
  <si>
    <t>04.Chi phí trả trước ngắn hạn</t>
  </si>
  <si>
    <t>05. Tình hình tăng giảm  tài sản cố định</t>
  </si>
  <si>
    <t>06 - Đầu tư tài chính dài hạn:</t>
  </si>
  <si>
    <t xml:space="preserve"> 07. Chi phí trả trước dài hạn</t>
  </si>
  <si>
    <t>08. Phải trả người bán ngắn hạn</t>
  </si>
  <si>
    <t>9 - Thuế và các khoản phải nộp nhà nước (Phụ lục 02)</t>
  </si>
  <si>
    <t>12. Vay và nợ thuê tài chính</t>
  </si>
  <si>
    <t>14- Nguồn vốn chủ sở hửu</t>
  </si>
  <si>
    <t>IV.14b</t>
  </si>
  <si>
    <t>IV.14e</t>
  </si>
  <si>
    <t>V.1</t>
  </si>
  <si>
    <t>V.2</t>
  </si>
  <si>
    <t>V.3</t>
  </si>
  <si>
    <t>V.4</t>
  </si>
  <si>
    <t>V.5</t>
  </si>
  <si>
    <t>V.6</t>
  </si>
  <si>
    <t>07. Chi phí quản lý doanh nghiệp</t>
  </si>
  <si>
    <t>08. Thu nhập khác</t>
  </si>
  <si>
    <t>09. Chi phí khác</t>
  </si>
  <si>
    <t>V.7</t>
  </si>
  <si>
    <t>V.8</t>
  </si>
  <si>
    <t>V.9</t>
  </si>
  <si>
    <t>V.10</t>
  </si>
  <si>
    <t xml:space="preserve">            Ngày19  tháng 10 năm 2015</t>
  </si>
  <si>
    <t>05.TÌNH HÌNH TĂNG GIẢM TÀI SẢN CỐ ĐỊNH HỮU HÌNH ĐẾN HẾT QUÍ 3/ 2015</t>
  </si>
  <si>
    <t>14- Vốn chủ sở hữu</t>
  </si>
  <si>
    <t>Ngày  19    tháng    10   năm 2015</t>
  </si>
  <si>
    <t xml:space="preserve">        Ngày 19 tháng 10 năm 2015</t>
  </si>
  <si>
    <t xml:space="preserve">    GIÁM ĐỐC CÔNG TY</t>
  </si>
  <si>
    <t xml:space="preserve">      - Số lượng cổ phiếu tại thời điểm 30/09/2015 là: 25 166 cổ phiếu</t>
  </si>
  <si>
    <r>
      <rPr>
        <b/>
        <sz val="10"/>
        <rFont val="Times New Roman"/>
        <family val="1"/>
      </rPr>
      <t>L</t>
    </r>
    <r>
      <rPr>
        <sz val="10"/>
        <rFont val="Times New Roman"/>
        <family val="1"/>
      </rPr>
      <t>ãi tiền vay</t>
    </r>
  </si>
  <si>
    <t xml:space="preserve">                                                                     </t>
  </si>
  <si>
    <t>Ngày 19 tháng 10 năm 2015</t>
  </si>
  <si>
    <t xml:space="preserve">                       KẾ TOÁN TRƯỞNG                                                             </t>
  </si>
  <si>
    <t xml:space="preserve">  GIÁM ĐỐC CÔNG TY</t>
  </si>
  <si>
    <t xml:space="preserve">(Ban hành theo TT số 200/2014/TT- BTC </t>
  </si>
  <si>
    <t>ngày 22/12/2014 của Bô trưởng  Bộ Tài Chính)</t>
  </si>
  <si>
    <t>Số cuối kỳ
(30/09/2015)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</si>
</sst>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_);_(@_)"/>
    <numFmt numFmtId="166" formatCode="_(* #,##0.000000_);_(* \(#,##0.000000\);_(* &quot;-&quot;??_);_(@_)"/>
    <numFmt numFmtId="167" formatCode="_(* #,##0.0000000_);_(* \(#,##0.0000000\);_(* &quot;-&quot;??_);_(@_)"/>
    <numFmt numFmtId="168" formatCode="_(* #,##0.0_);_(* \(#,##0.0\);_(* &quot;-&quot;??_);_(@_)"/>
    <numFmt numFmtId="169" formatCode="#,##0.0000000"/>
  </numFmts>
  <fonts count="106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2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.VnTime"/>
      <family val="2"/>
    </font>
    <font>
      <sz val="12"/>
      <name val=".VnTimeH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</font>
    <font>
      <sz val="16"/>
      <name val="Times New Roman"/>
      <family val="1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.VnTim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9"/>
      <color indexed="10"/>
      <name val=".VnTime"/>
      <family val="2"/>
    </font>
    <font>
      <sz val="9"/>
      <color indexed="8"/>
      <name val=".VnTime"/>
      <family val="2"/>
    </font>
    <font>
      <sz val="10"/>
      <color indexed="8"/>
      <name val=".VnTime"/>
      <family val="2"/>
    </font>
    <font>
      <sz val="10"/>
      <color indexed="8"/>
      <name val=".VnArial"/>
      <family val="2"/>
    </font>
    <font>
      <sz val="11"/>
      <color indexed="8"/>
      <name val="Arial"/>
      <family val="2"/>
    </font>
    <font>
      <sz val="9"/>
      <color indexed="8"/>
      <name val="VNTime"/>
    </font>
    <font>
      <sz val="18"/>
      <name val="Times New Roman"/>
      <family val="1"/>
    </font>
    <font>
      <sz val="18"/>
      <name val=".VnTimeH"/>
      <family val="2"/>
    </font>
    <font>
      <sz val="10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0"/>
      <color indexed="8"/>
      <name val=".VnTime"/>
      <family val="2"/>
    </font>
    <font>
      <sz val="12"/>
      <color indexed="8"/>
      <name val=".VnTime"/>
      <family val="2"/>
    </font>
    <font>
      <sz val="11"/>
      <color indexed="8"/>
      <name val=".VnTime"/>
      <family val="2"/>
    </font>
    <font>
      <b/>
      <sz val="8"/>
      <name val="Times New Roman"/>
      <family val="1"/>
    </font>
    <font>
      <sz val="8"/>
      <name val=".VnArialH"/>
      <family val="2"/>
    </font>
    <font>
      <sz val="10"/>
      <name val="Arial"/>
    </font>
    <font>
      <sz val="8"/>
      <name val="Times New Roman"/>
      <family val="1"/>
    </font>
    <font>
      <b/>
      <sz val="18"/>
      <name val=".VnHelvetInsH"/>
      <family val="2"/>
    </font>
    <font>
      <sz val="18"/>
      <name val=".VnHelvetInsH"/>
      <family val="2"/>
    </font>
    <font>
      <i/>
      <sz val="14"/>
      <name val=".VnBook-Antiqua"/>
      <family val="2"/>
    </font>
    <font>
      <sz val="14"/>
      <name val=".VnBook-Antiqua"/>
      <family val="2"/>
    </font>
    <font>
      <i/>
      <sz val="12"/>
      <name val=".VnTime"/>
      <family val="2"/>
    </font>
    <font>
      <b/>
      <sz val="12"/>
      <name val=".VnTimeH"/>
      <family val="2"/>
    </font>
    <font>
      <sz val="11"/>
      <name val=".VnTimeH"/>
      <family val="2"/>
    </font>
    <font>
      <b/>
      <sz val="16"/>
      <name val="Times New Roman"/>
      <family val="1"/>
    </font>
    <font>
      <b/>
      <sz val="16"/>
      <name val=".VnTimeH"/>
      <family val="2"/>
    </font>
    <font>
      <sz val="16"/>
      <name val=".VnTime"/>
      <family val="2"/>
    </font>
    <font>
      <b/>
      <sz val="10"/>
      <name val=".VnTimeH"/>
      <family val="2"/>
    </font>
    <font>
      <b/>
      <sz val="9"/>
      <name val=".VnTimeH"/>
      <family val="2"/>
    </font>
    <font>
      <sz val="13"/>
      <name val=".VnTime"/>
      <family val="2"/>
    </font>
    <font>
      <b/>
      <sz val="10"/>
      <name val="Arial"/>
      <family val="2"/>
    </font>
    <font>
      <b/>
      <sz val="13"/>
      <name val=".VnTime"/>
      <family val="2"/>
    </font>
    <font>
      <i/>
      <sz val="10"/>
      <name val="Times New Roman"/>
      <family val="1"/>
    </font>
    <font>
      <u/>
      <sz val="10"/>
      <name val="Times New Roman"/>
      <family val="1"/>
    </font>
    <font>
      <sz val="9"/>
      <name val="Arial"/>
    </font>
    <font>
      <b/>
      <sz val="10"/>
      <name val="Arial"/>
    </font>
    <font>
      <sz val="12"/>
      <name val="Arial"/>
    </font>
    <font>
      <sz val="13"/>
      <name val=".VnTimeH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.VnTime"/>
    </font>
    <font>
      <b/>
      <sz val="13"/>
      <name val="Times New Roman"/>
      <family val="1"/>
    </font>
    <font>
      <b/>
      <sz val="13"/>
      <name val=".VnTime"/>
    </font>
    <font>
      <b/>
      <sz val="11"/>
      <name val=".VnTime"/>
    </font>
    <font>
      <b/>
      <sz val="11"/>
      <name val=".VnTime"/>
      <family val="2"/>
    </font>
    <font>
      <sz val="9"/>
      <name val=".VnTime"/>
    </font>
    <font>
      <sz val="10"/>
      <name val=".VnTime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Times New Roman"/>
      <family val="1"/>
    </font>
    <font>
      <i/>
      <sz val="10"/>
      <color indexed="9"/>
      <name val="Times New Roman"/>
      <family val="1"/>
    </font>
    <font>
      <b/>
      <u/>
      <sz val="10"/>
      <name val="Times New Roman"/>
      <family val="1"/>
    </font>
    <font>
      <b/>
      <sz val="8"/>
      <name val=".VnArialH"/>
      <family val="2"/>
    </font>
    <font>
      <b/>
      <sz val="11"/>
      <name val=".VnTimeH"/>
      <family val="2"/>
    </font>
    <font>
      <b/>
      <sz val="16"/>
      <name val=".VnTime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2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8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9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9" fillId="0" borderId="10" xfId="0" applyNumberFormat="1" applyFont="1" applyBorder="1" applyAlignment="1">
      <alignment horizontal="center" vertical="center"/>
    </xf>
    <xf numFmtId="0" fontId="10" fillId="0" borderId="0" xfId="0" applyFont="1"/>
    <xf numFmtId="14" fontId="9" fillId="0" borderId="11" xfId="0" applyNumberFormat="1" applyFont="1" applyBorder="1" applyAlignment="1">
      <alignment horizontal="center" vertical="center"/>
    </xf>
    <xf numFmtId="0" fontId="6" fillId="0" borderId="12" xfId="0" applyFont="1" applyBorder="1"/>
    <xf numFmtId="0" fontId="4" fillId="0" borderId="12" xfId="0" applyFont="1" applyBorder="1"/>
    <xf numFmtId="164" fontId="4" fillId="0" borderId="12" xfId="28" applyNumberFormat="1" applyFont="1" applyBorder="1"/>
    <xf numFmtId="0" fontId="6" fillId="0" borderId="13" xfId="0" applyFont="1" applyBorder="1"/>
    <xf numFmtId="0" fontId="4" fillId="0" borderId="13" xfId="0" applyFont="1" applyBorder="1"/>
    <xf numFmtId="164" fontId="4" fillId="0" borderId="13" xfId="28" applyNumberFormat="1" applyFont="1" applyBorder="1"/>
    <xf numFmtId="164" fontId="6" fillId="0" borderId="0" xfId="0" applyNumberFormat="1" applyFont="1"/>
    <xf numFmtId="164" fontId="4" fillId="0" borderId="0" xfId="0" applyNumberFormat="1" applyFont="1"/>
    <xf numFmtId="0" fontId="9" fillId="0" borderId="13" xfId="0" applyFont="1" applyBorder="1"/>
    <xf numFmtId="0" fontId="10" fillId="0" borderId="13" xfId="0" applyFont="1" applyBorder="1"/>
    <xf numFmtId="164" fontId="10" fillId="0" borderId="13" xfId="28" applyNumberFormat="1" applyFont="1" applyBorder="1"/>
    <xf numFmtId="0" fontId="9" fillId="0" borderId="0" xfId="0" applyNumberFormat="1" applyFont="1"/>
    <xf numFmtId="164" fontId="10" fillId="0" borderId="0" xfId="28" applyNumberFormat="1" applyFont="1"/>
    <xf numFmtId="164" fontId="4" fillId="0" borderId="0" xfId="28" applyNumberFormat="1" applyFont="1"/>
    <xf numFmtId="164" fontId="6" fillId="0" borderId="0" xfId="28" applyNumberFormat="1" applyFont="1"/>
    <xf numFmtId="164" fontId="4" fillId="24" borderId="13" xfId="28" applyNumberFormat="1" applyFont="1" applyFill="1" applyBorder="1"/>
    <xf numFmtId="164" fontId="10" fillId="0" borderId="0" xfId="0" applyNumberFormat="1" applyFont="1"/>
    <xf numFmtId="0" fontId="11" fillId="0" borderId="13" xfId="0" applyFont="1" applyBorder="1"/>
    <xf numFmtId="0" fontId="12" fillId="0" borderId="13" xfId="0" applyFont="1" applyBorder="1"/>
    <xf numFmtId="164" fontId="12" fillId="0" borderId="13" xfId="28" applyNumberFormat="1" applyFont="1" applyBorder="1"/>
    <xf numFmtId="0" fontId="12" fillId="0" borderId="0" xfId="0" applyFont="1"/>
    <xf numFmtId="164" fontId="13" fillId="0" borderId="0" xfId="28" applyNumberFormat="1" applyFont="1"/>
    <xf numFmtId="164" fontId="12" fillId="0" borderId="0" xfId="0" applyNumberFormat="1" applyFont="1"/>
    <xf numFmtId="0" fontId="6" fillId="0" borderId="14" xfId="0" applyFont="1" applyBorder="1"/>
    <xf numFmtId="0" fontId="4" fillId="0" borderId="14" xfId="0" applyFont="1" applyBorder="1"/>
    <xf numFmtId="0" fontId="14" fillId="0" borderId="0" xfId="0" applyFont="1" applyAlignment="1">
      <alignment horizontal="center"/>
    </xf>
    <xf numFmtId="0" fontId="3" fillId="0" borderId="0" xfId="0" applyFont="1"/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center"/>
    </xf>
    <xf numFmtId="0" fontId="21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1" fillId="0" borderId="12" xfId="0" applyFont="1" applyBorder="1"/>
    <xf numFmtId="0" fontId="3" fillId="0" borderId="12" xfId="0" applyNumberFormat="1" applyFont="1" applyBorder="1"/>
    <xf numFmtId="164" fontId="21" fillId="0" borderId="12" xfId="28" applyNumberFormat="1" applyFont="1" applyBorder="1"/>
    <xf numFmtId="0" fontId="21" fillId="0" borderId="13" xfId="0" applyFont="1" applyBorder="1"/>
    <xf numFmtId="164" fontId="21" fillId="0" borderId="13" xfId="28" applyNumberFormat="1" applyFont="1" applyBorder="1"/>
    <xf numFmtId="0" fontId="22" fillId="0" borderId="13" xfId="0" applyFont="1" applyBorder="1"/>
    <xf numFmtId="0" fontId="16" fillId="0" borderId="13" xfId="0" applyNumberFormat="1" applyFont="1" applyBorder="1"/>
    <xf numFmtId="164" fontId="22" fillId="0" borderId="13" xfId="28" applyNumberFormat="1" applyFont="1" applyBorder="1"/>
    <xf numFmtId="0" fontId="21" fillId="0" borderId="14" xfId="0" applyFont="1" applyBorder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41" fillId="0" borderId="0" xfId="61" applyFont="1"/>
    <xf numFmtId="0" fontId="42" fillId="0" borderId="10" xfId="61" applyFont="1" applyBorder="1"/>
    <xf numFmtId="0" fontId="41" fillId="0" borderId="10" xfId="61" applyFont="1" applyBorder="1"/>
    <xf numFmtId="0" fontId="41" fillId="0" borderId="10" xfId="61" applyFont="1" applyBorder="1" applyAlignment="1">
      <alignment horizontal="center"/>
    </xf>
    <xf numFmtId="0" fontId="41" fillId="0" borderId="15" xfId="61" applyFont="1" applyBorder="1" applyAlignment="1">
      <alignment horizontal="center"/>
    </xf>
    <xf numFmtId="0" fontId="42" fillId="0" borderId="16" xfId="61" applyFont="1" applyBorder="1"/>
    <xf numFmtId="0" fontId="42" fillId="0" borderId="10" xfId="61" applyNumberFormat="1" applyFont="1" applyBorder="1" applyAlignment="1">
      <alignment horizontal="center"/>
    </xf>
    <xf numFmtId="0" fontId="41" fillId="0" borderId="11" xfId="61" applyFont="1" applyBorder="1"/>
    <xf numFmtId="0" fontId="42" fillId="0" borderId="11" xfId="61" applyFont="1" applyBorder="1"/>
    <xf numFmtId="0" fontId="42" fillId="0" borderId="11" xfId="61" applyNumberFormat="1" applyFont="1" applyBorder="1"/>
    <xf numFmtId="0" fontId="42" fillId="0" borderId="17" xfId="61" applyFont="1" applyBorder="1"/>
    <xf numFmtId="0" fontId="42" fillId="0" borderId="17" xfId="61" applyNumberFormat="1" applyFont="1" applyBorder="1"/>
    <xf numFmtId="0" fontId="42" fillId="0" borderId="11" xfId="61" applyFont="1" applyBorder="1" applyAlignment="1">
      <alignment horizontal="center"/>
    </xf>
    <xf numFmtId="164" fontId="43" fillId="0" borderId="17" xfId="28" applyNumberFormat="1" applyFont="1" applyBorder="1"/>
    <xf numFmtId="164" fontId="43" fillId="0" borderId="17" xfId="28" applyNumberFormat="1" applyFont="1" applyBorder="1" applyAlignment="1">
      <alignment horizontal="center"/>
    </xf>
    <xf numFmtId="164" fontId="44" fillId="0" borderId="11" xfId="28" applyNumberFormat="1" applyFont="1" applyBorder="1"/>
    <xf numFmtId="0" fontId="44" fillId="24" borderId="12" xfId="61" applyFont="1" applyFill="1" applyBorder="1"/>
    <xf numFmtId="164" fontId="44" fillId="24" borderId="12" xfId="28" applyNumberFormat="1" applyFont="1" applyFill="1" applyBorder="1"/>
    <xf numFmtId="164" fontId="44" fillId="24" borderId="0" xfId="28" applyNumberFormat="1" applyFont="1" applyFill="1"/>
    <xf numFmtId="0" fontId="44" fillId="24" borderId="0" xfId="61" applyFont="1" applyFill="1"/>
    <xf numFmtId="0" fontId="43" fillId="0" borderId="13" xfId="61" applyFont="1" applyBorder="1"/>
    <xf numFmtId="164" fontId="45" fillId="0" borderId="13" xfId="28" applyNumberFormat="1" applyFont="1" applyBorder="1"/>
    <xf numFmtId="164" fontId="45" fillId="0" borderId="0" xfId="28" applyNumberFormat="1" applyFont="1" applyBorder="1"/>
    <xf numFmtId="164" fontId="44" fillId="0" borderId="0" xfId="28" applyNumberFormat="1" applyFont="1"/>
    <xf numFmtId="0" fontId="44" fillId="0" borderId="0" xfId="61" applyFont="1"/>
    <xf numFmtId="0" fontId="41" fillId="0" borderId="13" xfId="61" applyFont="1" applyBorder="1"/>
    <xf numFmtId="0" fontId="42" fillId="0" borderId="13" xfId="61" applyNumberFormat="1" applyFont="1" applyBorder="1"/>
    <xf numFmtId="3" fontId="46" fillId="24" borderId="18" xfId="61" applyNumberFormat="1" applyFont="1" applyFill="1" applyBorder="1" applyAlignment="1">
      <alignment horizontal="right" vertical="center"/>
    </xf>
    <xf numFmtId="164" fontId="41" fillId="0" borderId="13" xfId="28" applyNumberFormat="1" applyFont="1" applyBorder="1"/>
    <xf numFmtId="164" fontId="42" fillId="0" borderId="13" xfId="28" applyNumberFormat="1" applyFont="1" applyBorder="1"/>
    <xf numFmtId="164" fontId="41" fillId="25" borderId="13" xfId="28" applyNumberFormat="1" applyFont="1" applyFill="1" applyBorder="1"/>
    <xf numFmtId="164" fontId="41" fillId="0" borderId="0" xfId="28" applyNumberFormat="1" applyFont="1"/>
    <xf numFmtId="164" fontId="44" fillId="0" borderId="13" xfId="28" applyNumberFormat="1" applyFont="1" applyBorder="1"/>
    <xf numFmtId="0" fontId="47" fillId="0" borderId="0" xfId="62" applyFont="1" applyAlignment="1"/>
    <xf numFmtId="0" fontId="41" fillId="0" borderId="14" xfId="61" applyFont="1" applyBorder="1"/>
    <xf numFmtId="164" fontId="41" fillId="0" borderId="14" xfId="28" applyNumberFormat="1" applyFont="1" applyBorder="1"/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0" xfId="0" applyNumberFormat="1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0" xfId="0" applyNumberFormat="1" applyFont="1" applyBorder="1"/>
    <xf numFmtId="0" fontId="4" fillId="0" borderId="11" xfId="0" applyFont="1" applyBorder="1"/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1" xfId="0" applyNumberFormat="1" applyFont="1" applyBorder="1"/>
    <xf numFmtId="0" fontId="9" fillId="0" borderId="12" xfId="0" applyFont="1" applyBorder="1"/>
    <xf numFmtId="0" fontId="9" fillId="0" borderId="12" xfId="0" applyNumberFormat="1" applyFont="1" applyBorder="1"/>
    <xf numFmtId="164" fontId="10" fillId="0" borderId="12" xfId="0" applyNumberFormat="1" applyFont="1" applyBorder="1"/>
    <xf numFmtId="0" fontId="6" fillId="0" borderId="13" xfId="0" applyNumberFormat="1" applyFont="1" applyBorder="1"/>
    <xf numFmtId="164" fontId="4" fillId="0" borderId="13" xfId="0" applyNumberFormat="1" applyFont="1" applyBorder="1"/>
    <xf numFmtId="164" fontId="4" fillId="0" borderId="14" xfId="28" applyNumberFormat="1" applyFont="1" applyBorder="1"/>
    <xf numFmtId="164" fontId="14" fillId="0" borderId="0" xfId="28" applyNumberFormat="1" applyFont="1"/>
    <xf numFmtId="164" fontId="3" fillId="0" borderId="0" xfId="28" applyNumberFormat="1" applyFont="1"/>
    <xf numFmtId="0" fontId="19" fillId="0" borderId="0" xfId="0" applyFont="1" applyAlignment="1">
      <alignment horizontal="center"/>
    </xf>
    <xf numFmtId="0" fontId="42" fillId="0" borderId="0" xfId="0" applyFont="1"/>
    <xf numFmtId="0" fontId="42" fillId="0" borderId="10" xfId="0" applyFont="1" applyBorder="1"/>
    <xf numFmtId="0" fontId="42" fillId="0" borderId="10" xfId="0" applyNumberFormat="1" applyFont="1" applyBorder="1"/>
    <xf numFmtId="0" fontId="42" fillId="0" borderId="19" xfId="0" applyFont="1" applyBorder="1"/>
    <xf numFmtId="0" fontId="42" fillId="0" borderId="11" xfId="0" applyFont="1" applyBorder="1"/>
    <xf numFmtId="164" fontId="42" fillId="0" borderId="11" xfId="28" applyNumberFormat="1" applyFont="1" applyBorder="1"/>
    <xf numFmtId="164" fontId="42" fillId="0" borderId="0" xfId="28" applyNumberFormat="1" applyFont="1"/>
    <xf numFmtId="164" fontId="42" fillId="0" borderId="0" xfId="28" applyNumberFormat="1" applyFont="1" applyBorder="1"/>
    <xf numFmtId="0" fontId="42" fillId="0" borderId="24" xfId="0" applyFont="1" applyBorder="1"/>
    <xf numFmtId="0" fontId="42" fillId="0" borderId="0" xfId="0" applyFont="1" applyBorder="1"/>
    <xf numFmtId="165" fontId="42" fillId="0" borderId="0" xfId="28" applyNumberFormat="1" applyFont="1" applyBorder="1"/>
    <xf numFmtId="166" fontId="42" fillId="0" borderId="0" xfId="28" applyNumberFormat="1" applyFont="1" applyBorder="1"/>
    <xf numFmtId="167" fontId="42" fillId="0" borderId="0" xfId="28" applyNumberFormat="1" applyFont="1"/>
    <xf numFmtId="165" fontId="42" fillId="0" borderId="0" xfId="28" applyNumberFormat="1" applyFont="1"/>
    <xf numFmtId="166" fontId="42" fillId="0" borderId="0" xfId="28" applyNumberFormat="1" applyFont="1"/>
    <xf numFmtId="0" fontId="43" fillId="0" borderId="24" xfId="0" applyFont="1" applyBorder="1"/>
    <xf numFmtId="164" fontId="43" fillId="0" borderId="24" xfId="28" applyNumberFormat="1" applyFont="1" applyBorder="1"/>
    <xf numFmtId="164" fontId="43" fillId="0" borderId="0" xfId="28" applyNumberFormat="1" applyFont="1"/>
    <xf numFmtId="0" fontId="43" fillId="0" borderId="0" xfId="0" applyFont="1"/>
    <xf numFmtId="0" fontId="43" fillId="0" borderId="13" xfId="0" applyFont="1" applyBorder="1"/>
    <xf numFmtId="0" fontId="43" fillId="0" borderId="13" xfId="0" applyNumberFormat="1" applyFont="1" applyBorder="1"/>
    <xf numFmtId="164" fontId="43" fillId="0" borderId="13" xfId="28" applyNumberFormat="1" applyFont="1" applyBorder="1"/>
    <xf numFmtId="0" fontId="42" fillId="0" borderId="13" xfId="0" applyNumberFormat="1" applyFont="1" applyBorder="1"/>
    <xf numFmtId="0" fontId="41" fillId="0" borderId="13" xfId="0" applyFont="1" applyBorder="1"/>
    <xf numFmtId="164" fontId="43" fillId="0" borderId="0" xfId="28" applyNumberFormat="1" applyFont="1" applyBorder="1"/>
    <xf numFmtId="0" fontId="48" fillId="0" borderId="0" xfId="62" applyFont="1" applyAlignment="1"/>
    <xf numFmtId="0" fontId="4" fillId="0" borderId="0" xfId="0" applyFont="1" applyAlignment="1"/>
    <xf numFmtId="0" fontId="41" fillId="0" borderId="25" xfId="0" applyFont="1" applyBorder="1"/>
    <xf numFmtId="0" fontId="41" fillId="0" borderId="13" xfId="0" applyNumberFormat="1" applyFont="1" applyBorder="1"/>
    <xf numFmtId="0" fontId="42" fillId="0" borderId="14" xfId="0" applyFont="1" applyBorder="1"/>
    <xf numFmtId="0" fontId="42" fillId="0" borderId="24" xfId="0" applyNumberFormat="1" applyFont="1" applyBorder="1"/>
    <xf numFmtId="0" fontId="41" fillId="0" borderId="25" xfId="0" applyNumberFormat="1" applyFont="1" applyBorder="1"/>
    <xf numFmtId="0" fontId="42" fillId="0" borderId="0" xfId="0" applyNumberFormat="1" applyFont="1" applyBorder="1"/>
    <xf numFmtId="0" fontId="43" fillId="0" borderId="0" xfId="0" applyFont="1" applyBorder="1"/>
    <xf numFmtId="49" fontId="49" fillId="24" borderId="18" xfId="63" applyNumberFormat="1" applyFont="1" applyFill="1" applyBorder="1" applyAlignment="1">
      <alignment vertical="center"/>
    </xf>
    <xf numFmtId="49" fontId="49" fillId="24" borderId="26" xfId="63" applyNumberFormat="1" applyFont="1" applyFill="1" applyBorder="1" applyAlignment="1">
      <alignment vertical="center"/>
    </xf>
    <xf numFmtId="0" fontId="43" fillId="0" borderId="24" xfId="0" applyNumberFormat="1" applyFont="1" applyBorder="1"/>
    <xf numFmtId="164" fontId="44" fillId="24" borderId="0" xfId="28" applyNumberFormat="1" applyFont="1" applyFill="1" applyBorder="1"/>
    <xf numFmtId="0" fontId="42" fillId="0" borderId="10" xfId="61" applyNumberFormat="1" applyFont="1" applyBorder="1" applyAlignment="1">
      <alignment wrapText="1"/>
    </xf>
    <xf numFmtId="0" fontId="41" fillId="0" borderId="11" xfId="61" applyFont="1" applyBorder="1" applyAlignment="1">
      <alignment wrapText="1"/>
    </xf>
    <xf numFmtId="0" fontId="44" fillId="24" borderId="12" xfId="61" applyFont="1" applyFill="1" applyBorder="1" applyAlignment="1">
      <alignment wrapText="1"/>
    </xf>
    <xf numFmtId="0" fontId="43" fillId="0" borderId="13" xfId="61" applyNumberFormat="1" applyFont="1" applyBorder="1" applyAlignment="1">
      <alignment wrapText="1"/>
    </xf>
    <xf numFmtId="0" fontId="42" fillId="0" borderId="13" xfId="61" applyNumberFormat="1" applyFont="1" applyBorder="1" applyAlignment="1">
      <alignment wrapText="1"/>
    </xf>
    <xf numFmtId="0" fontId="43" fillId="0" borderId="13" xfId="61" applyFont="1" applyBorder="1" applyAlignment="1">
      <alignment wrapText="1"/>
    </xf>
    <xf numFmtId="49" fontId="50" fillId="24" borderId="18" xfId="63" applyNumberFormat="1" applyFont="1" applyFill="1" applyBorder="1" applyAlignment="1">
      <alignment vertical="center" wrapText="1"/>
    </xf>
    <xf numFmtId="49" fontId="50" fillId="24" borderId="26" xfId="63" applyNumberFormat="1" applyFont="1" applyFill="1" applyBorder="1" applyAlignment="1">
      <alignment vertical="center" wrapText="1"/>
    </xf>
    <xf numFmtId="0" fontId="41" fillId="0" borderId="14" xfId="61" applyFont="1" applyBorder="1" applyAlignment="1">
      <alignment wrapText="1"/>
    </xf>
    <xf numFmtId="0" fontId="41" fillId="0" borderId="0" xfId="61" applyFont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0" fontId="4" fillId="0" borderId="13" xfId="0" applyFont="1" applyBorder="1" applyAlignment="1"/>
    <xf numFmtId="164" fontId="4" fillId="0" borderId="13" xfId="0" applyNumberFormat="1" applyFont="1" applyBorder="1" applyAlignment="1">
      <alignment horizontal="center"/>
    </xf>
    <xf numFmtId="164" fontId="4" fillId="0" borderId="13" xfId="28" applyNumberFormat="1" applyFont="1" applyBorder="1" applyAlignment="1">
      <alignment horizontal="center"/>
    </xf>
    <xf numFmtId="0" fontId="4" fillId="0" borderId="25" xfId="0" applyFont="1" applyBorder="1" applyAlignment="1"/>
    <xf numFmtId="164" fontId="4" fillId="0" borderId="25" xfId="28" applyNumberFormat="1" applyFont="1" applyBorder="1"/>
    <xf numFmtId="164" fontId="4" fillId="0" borderId="25" xfId="0" applyNumberFormat="1" applyFont="1" applyBorder="1" applyAlignment="1">
      <alignment horizontal="center"/>
    </xf>
    <xf numFmtId="164" fontId="4" fillId="0" borderId="25" xfId="28" applyNumberFormat="1" applyFont="1" applyBorder="1" applyAlignment="1">
      <alignment horizontal="center"/>
    </xf>
    <xf numFmtId="0" fontId="42" fillId="0" borderId="25" xfId="0" applyNumberFormat="1" applyFont="1" applyBorder="1"/>
    <xf numFmtId="0" fontId="4" fillId="0" borderId="0" xfId="0" applyFont="1" applyBorder="1"/>
    <xf numFmtId="0" fontId="43" fillId="0" borderId="25" xfId="0" applyFont="1" applyBorder="1"/>
    <xf numFmtId="0" fontId="47" fillId="0" borderId="25" xfId="62" applyFont="1" applyBorder="1" applyAlignment="1"/>
    <xf numFmtId="49" fontId="50" fillId="24" borderId="27" xfId="63" applyNumberFormat="1" applyFont="1" applyFill="1" applyBorder="1" applyAlignment="1">
      <alignment vertical="center" wrapText="1"/>
    </xf>
    <xf numFmtId="49" fontId="50" fillId="24" borderId="13" xfId="63" applyNumberFormat="1" applyFont="1" applyFill="1" applyBorder="1" applyAlignment="1">
      <alignment vertical="center" wrapText="1"/>
    </xf>
    <xf numFmtId="0" fontId="47" fillId="0" borderId="20" xfId="62" applyFont="1" applyBorder="1" applyAlignment="1"/>
    <xf numFmtId="164" fontId="6" fillId="0" borderId="10" xfId="28" applyNumberFormat="1" applyFont="1" applyBorder="1" applyAlignment="1">
      <alignment horizontal="center"/>
    </xf>
    <xf numFmtId="164" fontId="6" fillId="0" borderId="11" xfId="28" applyNumberFormat="1" applyFont="1" applyBorder="1" applyAlignment="1">
      <alignment horizontal="center"/>
    </xf>
    <xf numFmtId="164" fontId="4" fillId="0" borderId="0" xfId="28" applyNumberFormat="1" applyFont="1" applyBorder="1"/>
    <xf numFmtId="164" fontId="53" fillId="0" borderId="0" xfId="28" applyNumberFormat="1" applyFont="1"/>
    <xf numFmtId="164" fontId="4" fillId="25" borderId="25" xfId="28" applyNumberFormat="1" applyFont="1" applyFill="1" applyBorder="1" applyAlignment="1">
      <alignment horizontal="center"/>
    </xf>
    <xf numFmtId="0" fontId="4" fillId="25" borderId="0" xfId="0" applyFont="1" applyFill="1"/>
    <xf numFmtId="164" fontId="4" fillId="0" borderId="13" xfId="0" applyNumberFormat="1" applyFont="1" applyFill="1" applyBorder="1" applyAlignment="1">
      <alignment horizontal="center"/>
    </xf>
    <xf numFmtId="164" fontId="4" fillId="0" borderId="25" xfId="28" applyNumberFormat="1" applyFont="1" applyFill="1" applyBorder="1"/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14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0" fontId="53" fillId="0" borderId="17" xfId="0" applyFont="1" applyBorder="1" applyAlignment="1">
      <alignment horizontal="center"/>
    </xf>
    <xf numFmtId="164" fontId="21" fillId="0" borderId="0" xfId="28" applyNumberFormat="1" applyFont="1"/>
    <xf numFmtId="0" fontId="22" fillId="0" borderId="12" xfId="0" applyFont="1" applyBorder="1"/>
    <xf numFmtId="164" fontId="22" fillId="0" borderId="12" xfId="0" applyNumberFormat="1" applyFont="1" applyBorder="1"/>
    <xf numFmtId="164" fontId="21" fillId="0" borderId="14" xfId="28" applyNumberFormat="1" applyFont="1" applyBorder="1"/>
    <xf numFmtId="0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6" fillId="0" borderId="13" xfId="64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47" fillId="0" borderId="13" xfId="64" applyFont="1" applyBorder="1" applyAlignment="1"/>
    <xf numFmtId="4" fontId="4" fillId="0" borderId="13" xfId="0" applyNumberFormat="1" applyFont="1" applyBorder="1" applyAlignment="1"/>
    <xf numFmtId="169" fontId="4" fillId="0" borderId="13" xfId="0" applyNumberFormat="1" applyFont="1" applyBorder="1" applyAlignment="1"/>
    <xf numFmtId="4" fontId="10" fillId="0" borderId="13" xfId="0" applyNumberFormat="1" applyFont="1" applyBorder="1" applyAlignment="1"/>
    <xf numFmtId="164" fontId="10" fillId="0" borderId="13" xfId="28" applyNumberFormat="1" applyFont="1" applyBorder="1" applyAlignment="1"/>
    <xf numFmtId="3" fontId="10" fillId="0" borderId="0" xfId="0" applyNumberFormat="1" applyFont="1" applyBorder="1"/>
    <xf numFmtId="4" fontId="10" fillId="0" borderId="0" xfId="0" applyNumberFormat="1" applyFont="1" applyBorder="1"/>
    <xf numFmtId="164" fontId="48" fillId="0" borderId="13" xfId="28" applyNumberFormat="1" applyFont="1" applyBorder="1" applyAlignment="1"/>
    <xf numFmtId="3" fontId="4" fillId="0" borderId="0" xfId="0" applyNumberFormat="1" applyFont="1" applyBorder="1"/>
    <xf numFmtId="0" fontId="47" fillId="0" borderId="14" xfId="65" applyFont="1" applyBorder="1" applyAlignment="1"/>
    <xf numFmtId="164" fontId="48" fillId="0" borderId="14" xfId="28" applyNumberFormat="1" applyFont="1" applyBorder="1" applyAlignment="1"/>
    <xf numFmtId="0" fontId="21" fillId="0" borderId="0" xfId="0" applyFont="1" applyAlignment="1">
      <alignment horizontal="center"/>
    </xf>
    <xf numFmtId="49" fontId="58" fillId="24" borderId="18" xfId="67" applyNumberFormat="1" applyFont="1" applyFill="1" applyBorder="1" applyAlignment="1">
      <alignment vertical="center"/>
    </xf>
    <xf numFmtId="49" fontId="58" fillId="24" borderId="18" xfId="67" applyNumberFormat="1" applyFont="1" applyFill="1" applyBorder="1" applyAlignment="1">
      <alignment horizontal="center" vertical="center"/>
    </xf>
    <xf numFmtId="3" fontId="58" fillId="24" borderId="18" xfId="67" applyNumberFormat="1" applyFont="1" applyFill="1" applyBorder="1" applyAlignment="1">
      <alignment horizontal="right" vertical="center"/>
    </xf>
    <xf numFmtId="164" fontId="47" fillId="0" borderId="14" xfId="28" applyNumberFormat="1" applyFont="1" applyBorder="1"/>
    <xf numFmtId="0" fontId="57" fillId="0" borderId="0" xfId="65" applyFont="1" applyBorder="1" applyAlignment="1">
      <alignment horizontal="center"/>
    </xf>
    <xf numFmtId="164" fontId="10" fillId="0" borderId="12" xfId="28" applyNumberFormat="1" applyFont="1" applyBorder="1" applyAlignment="1">
      <alignment horizontal="center"/>
    </xf>
    <xf numFmtId="3" fontId="49" fillId="0" borderId="28" xfId="67" applyNumberFormat="1" applyFont="1" applyBorder="1"/>
    <xf numFmtId="3" fontId="49" fillId="0" borderId="29" xfId="67" applyNumberFormat="1" applyFont="1" applyBorder="1"/>
    <xf numFmtId="164" fontId="48" fillId="25" borderId="13" xfId="28" applyNumberFormat="1" applyFont="1" applyFill="1" applyBorder="1" applyAlignment="1"/>
    <xf numFmtId="0" fontId="59" fillId="0" borderId="0" xfId="0" applyNumberFormat="1" applyFont="1" applyAlignment="1"/>
    <xf numFmtId="0" fontId="60" fillId="0" borderId="0" xfId="0" applyFont="1" applyAlignment="1"/>
    <xf numFmtId="164" fontId="60" fillId="0" borderId="0" xfId="29" applyNumberFormat="1" applyFont="1" applyAlignment="1"/>
    <xf numFmtId="0" fontId="62" fillId="0" borderId="0" xfId="0" applyNumberFormat="1" applyFont="1" applyAlignment="1"/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164" fontId="0" fillId="0" borderId="0" xfId="29" applyNumberFormat="1" applyFont="1"/>
    <xf numFmtId="14" fontId="9" fillId="26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NumberFormat="1" applyFont="1"/>
    <xf numFmtId="0" fontId="68" fillId="0" borderId="0" xfId="0" applyFont="1"/>
    <xf numFmtId="164" fontId="4" fillId="0" borderId="0" xfId="29" applyNumberFormat="1" applyFont="1"/>
    <xf numFmtId="0" fontId="4" fillId="0" borderId="0" xfId="0" applyFont="1" applyAlignment="1">
      <alignment horizontal="right"/>
    </xf>
    <xf numFmtId="0" fontId="17" fillId="0" borderId="0" xfId="0" applyNumberFormat="1" applyFont="1"/>
    <xf numFmtId="0" fontId="5" fillId="0" borderId="0" xfId="0" applyNumberFormat="1" applyFont="1"/>
    <xf numFmtId="0" fontId="69" fillId="0" borderId="0" xfId="0" applyFont="1" applyAlignment="1">
      <alignment horizontal="center"/>
    </xf>
    <xf numFmtId="0" fontId="69" fillId="0" borderId="0" xfId="0" applyFont="1"/>
    <xf numFmtId="0" fontId="72" fillId="0" borderId="0" xfId="0" applyFont="1" applyAlignment="1">
      <alignment horizontal="center" vertical="center"/>
    </xf>
    <xf numFmtId="0" fontId="10" fillId="0" borderId="0" xfId="0" applyFont="1" applyBorder="1"/>
    <xf numFmtId="0" fontId="6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68" fontId="4" fillId="0" borderId="14" xfId="29" applyNumberFormat="1" applyFont="1" applyBorder="1" applyAlignment="1">
      <alignment horizontal="right"/>
    </xf>
    <xf numFmtId="0" fontId="15" fillId="0" borderId="0" xfId="0" applyNumberFormat="1" applyFont="1"/>
    <xf numFmtId="0" fontId="16" fillId="0" borderId="0" xfId="0" applyNumberFormat="1" applyFont="1" applyFill="1" applyBorder="1" applyAlignment="1">
      <alignment horizontal="left"/>
    </xf>
    <xf numFmtId="0" fontId="73" fillId="0" borderId="0" xfId="0" applyFont="1" applyAlignment="1">
      <alignment horizontal="center"/>
    </xf>
    <xf numFmtId="0" fontId="73" fillId="0" borderId="0" xfId="0" applyFont="1"/>
    <xf numFmtId="0" fontId="9" fillId="0" borderId="0" xfId="47" applyNumberFormat="1" applyFont="1"/>
    <xf numFmtId="0" fontId="10" fillId="0" borderId="0" xfId="47" applyFont="1" applyAlignment="1">
      <alignment vertical="center"/>
    </xf>
    <xf numFmtId="164" fontId="10" fillId="0" borderId="0" xfId="29" applyNumberFormat="1" applyFont="1" applyAlignment="1">
      <alignment vertical="center"/>
    </xf>
    <xf numFmtId="0" fontId="74" fillId="0" borderId="0" xfId="47" applyFont="1"/>
    <xf numFmtId="164" fontId="75" fillId="0" borderId="0" xfId="29" applyNumberFormat="1" applyFont="1" applyBorder="1" applyAlignment="1">
      <alignment vertical="center"/>
    </xf>
    <xf numFmtId="0" fontId="75" fillId="0" borderId="0" xfId="47" applyFont="1" applyBorder="1" applyAlignment="1">
      <alignment vertical="center"/>
    </xf>
    <xf numFmtId="0" fontId="28" fillId="0" borderId="0" xfId="47" applyAlignment="1">
      <alignment vertical="center"/>
    </xf>
    <xf numFmtId="164" fontId="9" fillId="0" borderId="31" xfId="29" applyNumberFormat="1" applyFont="1" applyBorder="1" applyAlignment="1">
      <alignment horizontal="center" vertical="center" wrapText="1"/>
    </xf>
    <xf numFmtId="0" fontId="9" fillId="0" borderId="17" xfId="47" applyNumberFormat="1" applyFont="1" applyBorder="1" applyAlignment="1">
      <alignment horizontal="center" vertical="center" wrapText="1"/>
    </xf>
    <xf numFmtId="3" fontId="10" fillId="0" borderId="12" xfId="47" applyNumberFormat="1" applyFont="1" applyBorder="1" applyAlignment="1">
      <alignment horizontal="right" vertical="center" wrapText="1"/>
    </xf>
    <xf numFmtId="164" fontId="10" fillId="0" borderId="13" xfId="30" applyNumberFormat="1" applyFont="1" applyBorder="1" applyAlignment="1">
      <alignment horizontal="center" vertical="center" wrapText="1"/>
    </xf>
    <xf numFmtId="0" fontId="76" fillId="0" borderId="0" xfId="47" applyFont="1" applyAlignment="1">
      <alignment vertical="center"/>
    </xf>
    <xf numFmtId="3" fontId="10" fillId="0" borderId="13" xfId="47" applyNumberFormat="1" applyFont="1" applyBorder="1" applyAlignment="1">
      <alignment horizontal="right" vertical="center" wrapText="1"/>
    </xf>
    <xf numFmtId="3" fontId="4" fillId="0" borderId="13" xfId="47" applyNumberFormat="1" applyFont="1" applyBorder="1" applyAlignment="1">
      <alignment horizontal="right" vertical="center" wrapText="1"/>
    </xf>
    <xf numFmtId="3" fontId="10" fillId="24" borderId="13" xfId="47" applyNumberFormat="1" applyFont="1" applyFill="1" applyBorder="1" applyAlignment="1">
      <alignment horizontal="right" vertical="center" wrapText="1"/>
    </xf>
    <xf numFmtId="0" fontId="6" fillId="0" borderId="32" xfId="47" applyNumberFormat="1" applyFont="1" applyBorder="1" applyAlignment="1">
      <alignment horizontal="left" vertical="center"/>
    </xf>
    <xf numFmtId="0" fontId="6" fillId="0" borderId="33" xfId="47" applyNumberFormat="1" applyFont="1" applyBorder="1" applyAlignment="1">
      <alignment horizontal="left" vertical="center"/>
    </xf>
    <xf numFmtId="3" fontId="4" fillId="24" borderId="13" xfId="47" applyNumberFormat="1" applyFont="1" applyFill="1" applyBorder="1" applyAlignment="1">
      <alignment horizontal="right" vertical="center" wrapText="1"/>
    </xf>
    <xf numFmtId="0" fontId="28" fillId="0" borderId="0" xfId="47" applyFont="1" applyAlignment="1">
      <alignment vertical="center"/>
    </xf>
    <xf numFmtId="3" fontId="4" fillId="24" borderId="24" xfId="47" applyNumberFormat="1" applyFont="1" applyFill="1" applyBorder="1" applyAlignment="1">
      <alignment horizontal="right" vertical="center"/>
    </xf>
    <xf numFmtId="3" fontId="4" fillId="24" borderId="13" xfId="47" applyNumberFormat="1" applyFont="1" applyFill="1" applyBorder="1" applyAlignment="1">
      <alignment horizontal="right" vertical="center"/>
    </xf>
    <xf numFmtId="3" fontId="10" fillId="24" borderId="13" xfId="47" applyNumberFormat="1" applyFont="1" applyFill="1" applyBorder="1" applyAlignment="1">
      <alignment horizontal="right" vertical="center"/>
    </xf>
    <xf numFmtId="3" fontId="28" fillId="0" borderId="0" xfId="47" applyNumberFormat="1" applyAlignment="1">
      <alignment vertical="center"/>
    </xf>
    <xf numFmtId="0" fontId="10" fillId="0" borderId="13" xfId="47" applyFont="1" applyBorder="1" applyAlignment="1">
      <alignment horizontal="center" vertical="center" wrapText="1"/>
    </xf>
    <xf numFmtId="3" fontId="10" fillId="24" borderId="24" xfId="47" applyNumberFormat="1" applyFont="1" applyFill="1" applyBorder="1" applyAlignment="1">
      <alignment horizontal="right" vertical="center"/>
    </xf>
    <xf numFmtId="0" fontId="77" fillId="0" borderId="0" xfId="47" applyFont="1" applyAlignment="1">
      <alignment vertical="center"/>
    </xf>
    <xf numFmtId="0" fontId="75" fillId="0" borderId="0" xfId="47" applyFont="1" applyAlignment="1">
      <alignment vertical="center"/>
    </xf>
    <xf numFmtId="0" fontId="10" fillId="0" borderId="24" xfId="47" applyFont="1" applyBorder="1" applyAlignment="1">
      <alignment horizontal="center" vertical="center" wrapText="1"/>
    </xf>
    <xf numFmtId="3" fontId="4" fillId="0" borderId="13" xfId="47" applyNumberFormat="1" applyFont="1" applyBorder="1" applyAlignment="1">
      <alignment horizontal="right" vertical="center"/>
    </xf>
    <xf numFmtId="3" fontId="10" fillId="24" borderId="25" xfId="47" applyNumberFormat="1" applyFont="1" applyFill="1" applyBorder="1" applyAlignment="1">
      <alignment horizontal="right" vertical="center"/>
    </xf>
    <xf numFmtId="0" fontId="78" fillId="0" borderId="0" xfId="47" applyNumberFormat="1" applyFont="1" applyBorder="1" applyAlignment="1">
      <alignment horizontal="left" vertical="center" wrapText="1"/>
    </xf>
    <xf numFmtId="0" fontId="28" fillId="0" borderId="0" xfId="47" applyFont="1" applyAlignment="1">
      <alignment horizontal="left" vertical="center"/>
    </xf>
    <xf numFmtId="0" fontId="76" fillId="0" borderId="0" xfId="47" applyFont="1" applyAlignment="1">
      <alignment horizontal="left" vertical="center"/>
    </xf>
    <xf numFmtId="0" fontId="11" fillId="0" borderId="0" xfId="47" applyNumberFormat="1" applyFont="1" applyBorder="1" applyAlignment="1">
      <alignment horizontal="left" vertical="center" wrapText="1"/>
    </xf>
    <xf numFmtId="0" fontId="6" fillId="0" borderId="0" xfId="47" applyNumberFormat="1" applyFont="1" applyBorder="1" applyAlignment="1">
      <alignment horizontal="left" vertical="center" wrapText="1"/>
    </xf>
    <xf numFmtId="0" fontId="9" fillId="0" borderId="0" xfId="47" applyNumberFormat="1" applyFont="1" applyBorder="1" applyAlignment="1">
      <alignment horizontal="left" vertical="center" wrapText="1"/>
    </xf>
    <xf numFmtId="3" fontId="4" fillId="0" borderId="13" xfId="47" applyNumberFormat="1" applyFont="1" applyBorder="1" applyAlignment="1">
      <alignment vertical="center"/>
    </xf>
    <xf numFmtId="3" fontId="13" fillId="0" borderId="13" xfId="47" applyNumberFormat="1" applyFont="1" applyBorder="1" applyAlignment="1">
      <alignment vertical="center"/>
    </xf>
    <xf numFmtId="3" fontId="10" fillId="24" borderId="13" xfId="47" applyNumberFormat="1" applyFont="1" applyFill="1" applyBorder="1" applyAlignment="1">
      <alignment vertical="center"/>
    </xf>
    <xf numFmtId="3" fontId="10" fillId="0" borderId="13" xfId="47" applyNumberFormat="1" applyFont="1" applyBorder="1" applyAlignment="1">
      <alignment horizontal="center" vertical="center" wrapText="1"/>
    </xf>
    <xf numFmtId="3" fontId="10" fillId="24" borderId="24" xfId="47" applyNumberFormat="1" applyFont="1" applyFill="1" applyBorder="1" applyAlignment="1">
      <alignment vertical="center"/>
    </xf>
    <xf numFmtId="164" fontId="4" fillId="0" borderId="13" xfId="30" applyNumberFormat="1" applyFont="1" applyBorder="1" applyAlignment="1">
      <alignment horizontal="right" vertical="center"/>
    </xf>
    <xf numFmtId="164" fontId="10" fillId="24" borderId="13" xfId="30" applyNumberFormat="1" applyFont="1" applyFill="1" applyBorder="1" applyAlignment="1">
      <alignment horizontal="center" vertical="center" wrapText="1"/>
    </xf>
    <xf numFmtId="164" fontId="4" fillId="24" borderId="13" xfId="30" applyNumberFormat="1" applyFont="1" applyFill="1" applyBorder="1" applyAlignment="1">
      <alignment horizontal="right" vertical="center"/>
    </xf>
    <xf numFmtId="164" fontId="28" fillId="0" borderId="0" xfId="47" applyNumberFormat="1" applyAlignment="1">
      <alignment vertical="center"/>
    </xf>
    <xf numFmtId="164" fontId="13" fillId="24" borderId="13" xfId="30" applyNumberFormat="1" applyFont="1" applyFill="1" applyBorder="1" applyAlignment="1">
      <alignment horizontal="right" vertical="center"/>
    </xf>
    <xf numFmtId="164" fontId="28" fillId="0" borderId="0" xfId="47" applyNumberFormat="1"/>
    <xf numFmtId="164" fontId="4" fillId="24" borderId="0" xfId="30" applyNumberFormat="1" applyFont="1" applyFill="1" applyBorder="1" applyAlignment="1">
      <alignment horizontal="right" vertical="center"/>
    </xf>
    <xf numFmtId="164" fontId="10" fillId="0" borderId="13" xfId="30" applyNumberFormat="1" applyFont="1" applyBorder="1" applyAlignment="1">
      <alignment horizontal="right" vertical="center" wrapText="1"/>
    </xf>
    <xf numFmtId="164" fontId="4" fillId="0" borderId="13" xfId="30" applyNumberFormat="1" applyFont="1" applyBorder="1" applyAlignment="1">
      <alignment horizontal="right" vertical="center" wrapText="1"/>
    </xf>
    <xf numFmtId="164" fontId="10" fillId="24" borderId="14" xfId="30" applyNumberFormat="1" applyFont="1" applyFill="1" applyBorder="1" applyAlignment="1">
      <alignment horizontal="right" vertical="center" wrapText="1"/>
    </xf>
    <xf numFmtId="0" fontId="3" fillId="0" borderId="0" xfId="47" applyFont="1"/>
    <xf numFmtId="0" fontId="16" fillId="0" borderId="0" xfId="47" applyFont="1"/>
    <xf numFmtId="0" fontId="14" fillId="0" borderId="0" xfId="47" applyFont="1"/>
    <xf numFmtId="0" fontId="17" fillId="0" borderId="0" xfId="47" applyFont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vertical="center" wrapText="1"/>
    </xf>
    <xf numFmtId="164" fontId="43" fillId="0" borderId="13" xfId="29" applyNumberFormat="1" applyFont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vertical="center"/>
    </xf>
    <xf numFmtId="164" fontId="41" fillId="0" borderId="13" xfId="29" applyNumberFormat="1" applyFont="1" applyBorder="1" applyAlignment="1">
      <alignment vertical="center"/>
    </xf>
    <xf numFmtId="3" fontId="41" fillId="0" borderId="13" xfId="0" applyNumberFormat="1" applyFont="1" applyBorder="1" applyAlignment="1">
      <alignment horizontal="right" vertical="center" wrapText="1"/>
    </xf>
    <xf numFmtId="164" fontId="80" fillId="0" borderId="13" xfId="29" applyNumberFormat="1" applyFont="1" applyBorder="1" applyAlignment="1">
      <alignment vertical="center"/>
    </xf>
    <xf numFmtId="3" fontId="44" fillId="0" borderId="13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vertical="center"/>
    </xf>
    <xf numFmtId="3" fontId="41" fillId="0" borderId="13" xfId="0" applyNumberFormat="1" applyFont="1" applyFill="1" applyBorder="1" applyAlignment="1">
      <alignment horizontal="right" vertical="center" wrapText="1"/>
    </xf>
    <xf numFmtId="164" fontId="43" fillId="0" borderId="13" xfId="29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2"/>
    </xf>
    <xf numFmtId="0" fontId="10" fillId="0" borderId="13" xfId="0" applyFont="1" applyBorder="1" applyAlignment="1">
      <alignment horizontal="left" vertical="center" wrapText="1"/>
    </xf>
    <xf numFmtId="164" fontId="43" fillId="0" borderId="13" xfId="29" applyNumberFormat="1" applyFont="1" applyFill="1" applyBorder="1" applyAlignment="1">
      <alignment horizontal="center" vertical="center" wrapText="1"/>
    </xf>
    <xf numFmtId="164" fontId="41" fillId="0" borderId="13" xfId="29" applyNumberFormat="1" applyFont="1" applyFill="1" applyBorder="1" applyAlignment="1">
      <alignment horizontal="right" vertical="center" wrapText="1"/>
    </xf>
    <xf numFmtId="164" fontId="41" fillId="0" borderId="13" xfId="29" applyNumberFormat="1" applyFont="1" applyFill="1" applyBorder="1" applyAlignment="1">
      <alignment vertical="center"/>
    </xf>
    <xf numFmtId="164" fontId="44" fillId="0" borderId="13" xfId="29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3" fontId="46" fillId="0" borderId="13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82" fillId="0" borderId="0" xfId="0" applyFont="1" applyAlignment="1">
      <alignment vertical="center"/>
    </xf>
    <xf numFmtId="164" fontId="4" fillId="0" borderId="13" xfId="29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3" fillId="0" borderId="0" xfId="0" applyFont="1" applyAlignment="1">
      <alignment vertical="center"/>
    </xf>
    <xf numFmtId="0" fontId="16" fillId="0" borderId="0" xfId="47" applyNumberFormat="1" applyFont="1"/>
    <xf numFmtId="0" fontId="22" fillId="0" borderId="0" xfId="47" applyFont="1"/>
    <xf numFmtId="0" fontId="16" fillId="0" borderId="0" xfId="47" applyNumberFormat="1" applyFont="1" applyAlignment="1">
      <alignment horizontal="left" indent="1"/>
    </xf>
    <xf numFmtId="0" fontId="21" fillId="0" borderId="0" xfId="47" applyFont="1"/>
    <xf numFmtId="0" fontId="3" fillId="0" borderId="0" xfId="47" applyNumberFormat="1" applyFont="1" applyAlignment="1"/>
    <xf numFmtId="0" fontId="21" fillId="0" borderId="0" xfId="47" applyFont="1" applyAlignment="1"/>
    <xf numFmtId="0" fontId="21" fillId="0" borderId="0" xfId="47" applyFont="1" applyAlignment="1">
      <alignment wrapText="1"/>
    </xf>
    <xf numFmtId="0" fontId="3" fillId="0" borderId="0" xfId="47" applyNumberFormat="1" applyFont="1"/>
    <xf numFmtId="0" fontId="16" fillId="0" borderId="10" xfId="47" applyFont="1" applyBorder="1" applyAlignment="1">
      <alignment horizontal="center" vertical="center"/>
    </xf>
    <xf numFmtId="0" fontId="16" fillId="0" borderId="10" xfId="47" applyNumberFormat="1" applyFont="1" applyBorder="1" applyAlignment="1">
      <alignment horizontal="center" vertical="center"/>
    </xf>
    <xf numFmtId="0" fontId="16" fillId="0" borderId="10" xfId="47" applyNumberFormat="1" applyFont="1" applyBorder="1" applyAlignment="1">
      <alignment horizontal="center" vertical="center" wrapText="1"/>
    </xf>
    <xf numFmtId="0" fontId="22" fillId="0" borderId="0" xfId="47" applyFont="1" applyAlignment="1">
      <alignment horizontal="center" vertical="center"/>
    </xf>
    <xf numFmtId="0" fontId="22" fillId="0" borderId="11" xfId="47" applyFont="1" applyBorder="1" applyAlignment="1">
      <alignment horizontal="center" vertical="center"/>
    </xf>
    <xf numFmtId="14" fontId="22" fillId="0" borderId="11" xfId="47" applyNumberFormat="1" applyFont="1" applyBorder="1" applyAlignment="1">
      <alignment horizontal="center" vertical="center"/>
    </xf>
    <xf numFmtId="0" fontId="21" fillId="0" borderId="10" xfId="47" applyFont="1" applyBorder="1" applyAlignment="1">
      <alignment horizontal="center"/>
    </xf>
    <xf numFmtId="0" fontId="3" fillId="0" borderId="10" xfId="47" applyNumberFormat="1" applyFont="1" applyBorder="1"/>
    <xf numFmtId="164" fontId="21" fillId="0" borderId="10" xfId="30" applyNumberFormat="1" applyFont="1" applyBorder="1"/>
    <xf numFmtId="0" fontId="21" fillId="0" borderId="11" xfId="47" applyFont="1" applyBorder="1"/>
    <xf numFmtId="0" fontId="21" fillId="0" borderId="12" xfId="47" applyFont="1" applyBorder="1" applyAlignment="1">
      <alignment horizontal="center"/>
    </xf>
    <xf numFmtId="0" fontId="3" fillId="0" borderId="12" xfId="47" applyNumberFormat="1" applyFont="1" applyBorder="1"/>
    <xf numFmtId="164" fontId="21" fillId="0" borderId="12" xfId="30" applyNumberFormat="1" applyFont="1" applyBorder="1"/>
    <xf numFmtId="0" fontId="21" fillId="0" borderId="13" xfId="47" applyFont="1" applyBorder="1" applyAlignment="1">
      <alignment horizontal="center"/>
    </xf>
    <xf numFmtId="0" fontId="3" fillId="0" borderId="13" xfId="47" applyNumberFormat="1" applyFont="1" applyBorder="1"/>
    <xf numFmtId="164" fontId="21" fillId="0" borderId="13" xfId="30" applyNumberFormat="1" applyFont="1" applyBorder="1"/>
    <xf numFmtId="0" fontId="21" fillId="0" borderId="14" xfId="47" applyFont="1" applyBorder="1"/>
    <xf numFmtId="164" fontId="21" fillId="0" borderId="14" xfId="30" applyNumberFormat="1" applyFont="1" applyBorder="1"/>
    <xf numFmtId="164" fontId="21" fillId="0" borderId="0" xfId="30" applyNumberFormat="1" applyFont="1"/>
    <xf numFmtId="0" fontId="21" fillId="0" borderId="25" xfId="47" applyFont="1" applyBorder="1" applyAlignment="1">
      <alignment horizontal="center"/>
    </xf>
    <xf numFmtId="0" fontId="3" fillId="0" borderId="25" xfId="47" applyNumberFormat="1" applyFont="1" applyBorder="1"/>
    <xf numFmtId="164" fontId="21" fillId="0" borderId="25" xfId="30" applyNumberFormat="1" applyFont="1" applyBorder="1"/>
    <xf numFmtId="0" fontId="21" fillId="0" borderId="24" xfId="47" applyFont="1" applyBorder="1" applyAlignment="1">
      <alignment horizontal="center"/>
    </xf>
    <xf numFmtId="0" fontId="3" fillId="0" borderId="24" xfId="47" applyFont="1" applyBorder="1"/>
    <xf numFmtId="164" fontId="21" fillId="0" borderId="24" xfId="30" applyNumberFormat="1" applyFont="1" applyBorder="1"/>
    <xf numFmtId="0" fontId="21" fillId="0" borderId="22" xfId="47" applyFont="1" applyBorder="1" applyAlignment="1">
      <alignment horizontal="center"/>
    </xf>
    <xf numFmtId="0" fontId="3" fillId="0" borderId="11" xfId="47" applyFont="1" applyBorder="1"/>
    <xf numFmtId="164" fontId="21" fillId="0" borderId="34" xfId="30" applyNumberFormat="1" applyFont="1" applyBorder="1"/>
    <xf numFmtId="164" fontId="21" fillId="0" borderId="11" xfId="30" applyNumberFormat="1" applyFont="1" applyBorder="1"/>
    <xf numFmtId="0" fontId="21" fillId="0" borderId="11" xfId="47" applyFont="1" applyBorder="1" applyAlignment="1">
      <alignment horizontal="center"/>
    </xf>
    <xf numFmtId="0" fontId="15" fillId="0" borderId="0" xfId="47" applyNumberFormat="1" applyFont="1" applyAlignment="1">
      <alignment horizontal="center"/>
    </xf>
    <xf numFmtId="0" fontId="67" fillId="0" borderId="0" xfId="47" applyFont="1" applyAlignment="1">
      <alignment horizontal="center"/>
    </xf>
    <xf numFmtId="0" fontId="67" fillId="0" borderId="0" xfId="47" applyFont="1" applyAlignment="1"/>
    <xf numFmtId="0" fontId="16" fillId="0" borderId="0" xfId="47" applyNumberFormat="1" applyFont="1" applyAlignment="1">
      <alignment horizontal="center"/>
    </xf>
    <xf numFmtId="0" fontId="68" fillId="0" borderId="0" xfId="47" applyFont="1" applyAlignment="1">
      <alignment horizontal="center"/>
    </xf>
    <xf numFmtId="0" fontId="68" fillId="0" borderId="0" xfId="47" applyFont="1"/>
    <xf numFmtId="164" fontId="22" fillId="0" borderId="0" xfId="47" applyNumberFormat="1" applyFont="1"/>
    <xf numFmtId="0" fontId="70" fillId="0" borderId="0" xfId="0" applyNumberFormat="1" applyFont="1" applyFill="1" applyAlignment="1"/>
    <xf numFmtId="0" fontId="71" fillId="0" borderId="0" xfId="0" applyFont="1" applyFill="1" applyAlignment="1"/>
    <xf numFmtId="0" fontId="7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7" fontId="84" fillId="0" borderId="17" xfId="40" applyNumberFormat="1" applyFont="1" applyBorder="1" applyAlignment="1">
      <alignment vertical="center" wrapText="1"/>
    </xf>
    <xf numFmtId="37" fontId="84" fillId="0" borderId="17" xfId="66" applyNumberFormat="1" applyFont="1" applyBorder="1" applyAlignment="1">
      <alignment horizontal="center" vertical="center" wrapText="1"/>
    </xf>
    <xf numFmtId="37" fontId="85" fillId="0" borderId="0" xfId="66" applyNumberFormat="1" applyFont="1" applyFill="1" applyBorder="1" applyAlignment="1">
      <alignment horizontal="center" vertical="center" wrapText="1"/>
    </xf>
    <xf numFmtId="37" fontId="84" fillId="0" borderId="12" xfId="40" applyNumberFormat="1" applyFont="1" applyBorder="1" applyAlignment="1">
      <alignment vertical="center" wrapText="1"/>
    </xf>
    <xf numFmtId="164" fontId="86" fillId="0" borderId="12" xfId="29" applyNumberFormat="1" applyFont="1" applyBorder="1" applyAlignment="1">
      <alignment vertical="center" wrapText="1"/>
    </xf>
    <xf numFmtId="37" fontId="86" fillId="0" borderId="12" xfId="40" applyNumberFormat="1" applyFont="1" applyBorder="1" applyAlignment="1">
      <alignment vertical="center" wrapText="1"/>
    </xf>
    <xf numFmtId="0" fontId="87" fillId="0" borderId="0" xfId="66" applyFont="1"/>
    <xf numFmtId="37" fontId="86" fillId="0" borderId="13" xfId="40" applyNumberFormat="1" applyFont="1" applyBorder="1" applyAlignment="1">
      <alignment vertical="center" wrapText="1"/>
    </xf>
    <xf numFmtId="164" fontId="86" fillId="0" borderId="13" xfId="29" applyNumberFormat="1" applyFont="1" applyBorder="1" applyAlignment="1">
      <alignment vertical="center" wrapText="1"/>
    </xf>
    <xf numFmtId="37" fontId="86" fillId="0" borderId="13" xfId="66" applyNumberFormat="1" applyFont="1" applyBorder="1" applyAlignment="1">
      <alignment vertical="center" wrapText="1"/>
    </xf>
    <xf numFmtId="37" fontId="87" fillId="0" borderId="0" xfId="66" applyNumberFormat="1" applyFont="1"/>
    <xf numFmtId="37" fontId="84" fillId="0" borderId="13" xfId="40" applyNumberFormat="1" applyFont="1" applyBorder="1" applyAlignment="1">
      <alignment vertical="center" wrapText="1"/>
    </xf>
    <xf numFmtId="164" fontId="84" fillId="0" borderId="13" xfId="29" applyNumberFormat="1" applyFont="1" applyBorder="1" applyAlignment="1">
      <alignment vertical="center" wrapText="1"/>
    </xf>
    <xf numFmtId="37" fontId="86" fillId="0" borderId="14" xfId="40" applyNumberFormat="1" applyFont="1" applyBorder="1" applyAlignment="1">
      <alignment vertical="center" wrapText="1"/>
    </xf>
    <xf numFmtId="164" fontId="84" fillId="0" borderId="14" xfId="29" applyNumberFormat="1" applyFont="1" applyBorder="1" applyAlignment="1">
      <alignment vertical="center" wrapText="1"/>
    </xf>
    <xf numFmtId="37" fontId="84" fillId="0" borderId="14" xfId="40" applyNumberFormat="1" applyFont="1" applyBorder="1" applyAlignment="1">
      <alignment vertical="center" wrapText="1"/>
    </xf>
    <xf numFmtId="37" fontId="86" fillId="0" borderId="0" xfId="40" applyNumberFormat="1" applyFont="1" applyBorder="1" applyAlignment="1">
      <alignment vertical="center" wrapText="1"/>
    </xf>
    <xf numFmtId="164" fontId="84" fillId="0" borderId="0" xfId="29" applyNumberFormat="1" applyFont="1" applyBorder="1" applyAlignment="1">
      <alignment vertical="center" wrapText="1"/>
    </xf>
    <xf numFmtId="37" fontId="84" fillId="0" borderId="0" xfId="40" applyNumberFormat="1" applyFont="1" applyBorder="1" applyAlignment="1">
      <alignment vertical="center" wrapText="1"/>
    </xf>
    <xf numFmtId="0" fontId="16" fillId="0" borderId="0" xfId="0" applyNumberFormat="1" applyFont="1" applyFill="1"/>
    <xf numFmtId="0" fontId="16" fillId="0" borderId="0" xfId="0" applyNumberFormat="1" applyFont="1" applyFill="1" applyBorder="1" applyAlignment="1"/>
    <xf numFmtId="0" fontId="81" fillId="0" borderId="0" xfId="0" applyFont="1"/>
    <xf numFmtId="0" fontId="88" fillId="0" borderId="0" xfId="0" applyFont="1"/>
    <xf numFmtId="0" fontId="90" fillId="0" borderId="0" xfId="0" applyFont="1"/>
    <xf numFmtId="0" fontId="2" fillId="24" borderId="10" xfId="0" applyNumberFormat="1" applyFont="1" applyFill="1" applyBorder="1" applyAlignment="1">
      <alignment horizontal="center" vertical="top" wrapText="1"/>
    </xf>
    <xf numFmtId="0" fontId="91" fillId="0" borderId="0" xfId="0" applyFont="1"/>
    <xf numFmtId="0" fontId="2" fillId="24" borderId="20" xfId="0" applyNumberFormat="1" applyFont="1" applyFill="1" applyBorder="1" applyAlignment="1">
      <alignment horizontal="center" vertical="top" wrapText="1"/>
    </xf>
    <xf numFmtId="0" fontId="92" fillId="24" borderId="11" xfId="0" applyFont="1" applyFill="1" applyBorder="1" applyAlignment="1">
      <alignment horizontal="center" vertical="top" wrapText="1"/>
    </xf>
    <xf numFmtId="0" fontId="43" fillId="24" borderId="12" xfId="0" applyNumberFormat="1" applyFont="1" applyFill="1" applyBorder="1" applyAlignment="1">
      <alignment horizontal="justify" vertical="center" wrapText="1"/>
    </xf>
    <xf numFmtId="164" fontId="44" fillId="24" borderId="12" xfId="29" applyNumberFormat="1" applyFont="1" applyFill="1" applyBorder="1" applyAlignment="1">
      <alignment vertical="center"/>
    </xf>
    <xf numFmtId="164" fontId="10" fillId="24" borderId="12" xfId="29" applyNumberFormat="1" applyFont="1" applyFill="1" applyBorder="1" applyAlignment="1">
      <alignment vertical="center"/>
    </xf>
    <xf numFmtId="164" fontId="88" fillId="0" borderId="0" xfId="0" applyNumberFormat="1" applyFont="1"/>
    <xf numFmtId="0" fontId="6" fillId="24" borderId="13" xfId="0" applyNumberFormat="1" applyFont="1" applyFill="1" applyBorder="1" applyAlignment="1">
      <alignment horizontal="justify" vertical="center" wrapText="1"/>
    </xf>
    <xf numFmtId="164" fontId="93" fillId="24" borderId="13" xfId="29" applyNumberFormat="1" applyFont="1" applyFill="1" applyBorder="1" applyAlignment="1">
      <alignment vertical="center"/>
    </xf>
    <xf numFmtId="164" fontId="94" fillId="24" borderId="13" xfId="29" applyNumberFormat="1" applyFont="1" applyFill="1" applyBorder="1" applyAlignment="1">
      <alignment vertical="center"/>
    </xf>
    <xf numFmtId="164" fontId="4" fillId="24" borderId="13" xfId="29" applyNumberFormat="1" applyFont="1" applyFill="1" applyBorder="1" applyAlignment="1">
      <alignment vertical="center"/>
    </xf>
    <xf numFmtId="0" fontId="43" fillId="24" borderId="14" xfId="0" applyNumberFormat="1" applyFont="1" applyFill="1" applyBorder="1" applyAlignment="1">
      <alignment horizontal="justify" vertical="center" wrapText="1"/>
    </xf>
    <xf numFmtId="164" fontId="44" fillId="24" borderId="14" xfId="29" applyNumberFormat="1" applyFont="1" applyFill="1" applyBorder="1" applyAlignment="1">
      <alignment vertical="center"/>
    </xf>
    <xf numFmtId="164" fontId="10" fillId="24" borderId="14" xfId="29" applyNumberFormat="1" applyFont="1" applyFill="1" applyBorder="1" applyAlignment="1">
      <alignment vertical="center"/>
    </xf>
    <xf numFmtId="164" fontId="90" fillId="0" borderId="0" xfId="0" applyNumberFormat="1" applyFont="1"/>
    <xf numFmtId="0" fontId="43" fillId="24" borderId="24" xfId="0" applyNumberFormat="1" applyFont="1" applyFill="1" applyBorder="1" applyAlignment="1">
      <alignment horizontal="justify" vertical="center" wrapText="1"/>
    </xf>
    <xf numFmtId="164" fontId="44" fillId="24" borderId="24" xfId="29" applyNumberFormat="1" applyFont="1" applyFill="1" applyBorder="1" applyAlignment="1">
      <alignment vertical="center"/>
    </xf>
    <xf numFmtId="164" fontId="9" fillId="24" borderId="35" xfId="29" applyNumberFormat="1" applyFont="1" applyFill="1" applyBorder="1" applyAlignment="1">
      <alignment horizontal="justify" vertical="center" wrapText="1"/>
    </xf>
    <xf numFmtId="0" fontId="44" fillId="24" borderId="0" xfId="0" applyFont="1" applyFill="1" applyBorder="1" applyAlignment="1">
      <alignment horizontal="justify" vertical="center" wrapText="1"/>
    </xf>
    <xf numFmtId="164" fontId="9" fillId="24" borderId="0" xfId="29" applyNumberFormat="1" applyFont="1" applyFill="1" applyBorder="1" applyAlignment="1">
      <alignment horizontal="justify" vertical="center" wrapText="1"/>
    </xf>
    <xf numFmtId="164" fontId="10" fillId="24" borderId="0" xfId="29" applyNumberFormat="1" applyFont="1" applyFill="1" applyBorder="1" applyAlignment="1">
      <alignment vertical="center"/>
    </xf>
    <xf numFmtId="0" fontId="93" fillId="0" borderId="0" xfId="0" applyFont="1"/>
    <xf numFmtId="0" fontId="22" fillId="0" borderId="0" xfId="0" applyFont="1"/>
    <xf numFmtId="164" fontId="22" fillId="0" borderId="0" xfId="0" applyNumberFormat="1" applyFont="1"/>
    <xf numFmtId="0" fontId="9" fillId="24" borderId="17" xfId="0" applyFont="1" applyFill="1" applyBorder="1" applyAlignment="1">
      <alignment horizontal="center" vertical="center"/>
    </xf>
    <xf numFmtId="0" fontId="76" fillId="0" borderId="0" xfId="0" applyFont="1"/>
    <xf numFmtId="164" fontId="10" fillId="0" borderId="33" xfId="29" applyNumberFormat="1" applyFont="1" applyBorder="1" applyAlignment="1">
      <alignment horizontal="left"/>
    </xf>
    <xf numFmtId="164" fontId="9" fillId="26" borderId="36" xfId="29" applyNumberFormat="1" applyFont="1" applyFill="1" applyBorder="1" applyAlignment="1">
      <alignment horizontal="center" vertical="center"/>
    </xf>
    <xf numFmtId="14" fontId="9" fillId="26" borderId="37" xfId="0" applyNumberFormat="1" applyFont="1" applyFill="1" applyBorder="1" applyAlignment="1">
      <alignment horizontal="center" vertical="center"/>
    </xf>
    <xf numFmtId="49" fontId="97" fillId="0" borderId="38" xfId="58" quotePrefix="1" applyNumberFormat="1" applyFont="1" applyBorder="1"/>
    <xf numFmtId="3" fontId="97" fillId="0" borderId="12" xfId="58" applyNumberFormat="1" applyFont="1" applyBorder="1"/>
    <xf numFmtId="3" fontId="97" fillId="0" borderId="39" xfId="58" applyNumberFormat="1" applyFont="1" applyBorder="1"/>
    <xf numFmtId="49" fontId="96" fillId="0" borderId="40" xfId="58" quotePrefix="1" applyNumberFormat="1" applyFont="1" applyBorder="1"/>
    <xf numFmtId="3" fontId="96" fillId="0" borderId="13" xfId="58" applyNumberFormat="1" applyFont="1" applyBorder="1"/>
    <xf numFmtId="3" fontId="96" fillId="0" borderId="41" xfId="58" applyNumberFormat="1" applyFont="1" applyBorder="1"/>
    <xf numFmtId="49" fontId="97" fillId="0" borderId="40" xfId="58" quotePrefix="1" applyNumberFormat="1" applyFont="1" applyBorder="1"/>
    <xf numFmtId="3" fontId="97" fillId="0" borderId="13" xfId="58" applyNumberFormat="1" applyFont="1" applyBorder="1"/>
    <xf numFmtId="3" fontId="97" fillId="0" borderId="41" xfId="58" applyNumberFormat="1" applyFont="1" applyBorder="1"/>
    <xf numFmtId="49" fontId="97" fillId="0" borderId="42" xfId="58" quotePrefix="1" applyNumberFormat="1" applyFont="1" applyBorder="1"/>
    <xf numFmtId="3" fontId="97" fillId="0" borderId="43" xfId="58" applyNumberFormat="1" applyFont="1" applyBorder="1"/>
    <xf numFmtId="3" fontId="96" fillId="0" borderId="24" xfId="58" applyNumberFormat="1" applyFont="1" applyBorder="1"/>
    <xf numFmtId="3" fontId="96" fillId="0" borderId="44" xfId="58" applyNumberFormat="1" applyFont="1" applyBorder="1"/>
    <xf numFmtId="49" fontId="97" fillId="0" borderId="45" xfId="58" quotePrefix="1" applyNumberFormat="1" applyFont="1" applyBorder="1"/>
    <xf numFmtId="164" fontId="6" fillId="0" borderId="12" xfId="29" applyNumberFormat="1" applyFont="1" applyBorder="1" applyAlignment="1">
      <alignment horizontal="right"/>
    </xf>
    <xf numFmtId="164" fontId="6" fillId="0" borderId="13" xfId="29" applyNumberFormat="1" applyFont="1" applyBorder="1" applyAlignment="1">
      <alignment horizontal="right"/>
    </xf>
    <xf numFmtId="3" fontId="96" fillId="0" borderId="46" xfId="59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96" fillId="0" borderId="28" xfId="50" applyNumberFormat="1" applyFont="1" applyBorder="1" applyAlignment="1">
      <alignment horizontal="right"/>
    </xf>
    <xf numFmtId="3" fontId="96" fillId="0" borderId="28" xfId="6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96" fillId="0" borderId="28" xfId="51" applyNumberFormat="1" applyFont="1" applyBorder="1" applyAlignment="1">
      <alignment horizontal="right"/>
    </xf>
    <xf numFmtId="3" fontId="96" fillId="0" borderId="28" xfId="41" applyNumberFormat="1" applyFont="1" applyBorder="1" applyAlignment="1">
      <alignment horizontal="right"/>
    </xf>
    <xf numFmtId="3" fontId="96" fillId="0" borderId="28" xfId="52" applyNumberFormat="1" applyFont="1" applyBorder="1" applyAlignment="1">
      <alignment horizontal="right"/>
    </xf>
    <xf numFmtId="3" fontId="96" fillId="0" borderId="28" xfId="42" applyNumberFormat="1" applyFont="1" applyBorder="1" applyAlignment="1">
      <alignment horizontal="right"/>
    </xf>
    <xf numFmtId="3" fontId="96" fillId="0" borderId="28" xfId="53" applyNumberFormat="1" applyFont="1" applyBorder="1" applyAlignment="1">
      <alignment horizontal="right"/>
    </xf>
    <xf numFmtId="3" fontId="96" fillId="0" borderId="28" xfId="43" applyNumberFormat="1" applyFont="1" applyBorder="1" applyAlignment="1">
      <alignment horizontal="right"/>
    </xf>
    <xf numFmtId="3" fontId="96" fillId="0" borderId="28" xfId="54" applyNumberFormat="1" applyFont="1" applyBorder="1" applyAlignment="1">
      <alignment horizontal="right"/>
    </xf>
    <xf numFmtId="3" fontId="96" fillId="0" borderId="28" xfId="44" applyNumberFormat="1" applyFont="1" applyBorder="1" applyAlignment="1">
      <alignment horizontal="right"/>
    </xf>
    <xf numFmtId="3" fontId="96" fillId="0" borderId="28" xfId="55" applyNumberFormat="1" applyFont="1" applyBorder="1" applyAlignment="1">
      <alignment horizontal="right"/>
    </xf>
    <xf numFmtId="3" fontId="96" fillId="0" borderId="28" xfId="45" applyNumberFormat="1" applyFont="1" applyBorder="1" applyAlignment="1">
      <alignment horizontal="right"/>
    </xf>
    <xf numFmtId="3" fontId="96" fillId="0" borderId="28" xfId="56" applyNumberFormat="1" applyFont="1" applyBorder="1" applyAlignment="1">
      <alignment horizontal="right"/>
    </xf>
    <xf numFmtId="3" fontId="96" fillId="0" borderId="28" xfId="46" applyNumberFormat="1" applyFont="1" applyBorder="1" applyAlignment="1">
      <alignment horizontal="right"/>
    </xf>
    <xf numFmtId="3" fontId="96" fillId="0" borderId="28" xfId="57" applyNumberFormat="1" applyFont="1" applyBorder="1" applyAlignment="1">
      <alignment horizontal="right"/>
    </xf>
    <xf numFmtId="3" fontId="96" fillId="0" borderId="28" xfId="48" applyNumberFormat="1" applyFont="1" applyBorder="1" applyAlignment="1">
      <alignment horizontal="right"/>
    </xf>
    <xf numFmtId="164" fontId="6" fillId="0" borderId="13" xfId="28" applyNumberFormat="1" applyFont="1" applyBorder="1" applyAlignment="1">
      <alignment horizontal="right"/>
    </xf>
    <xf numFmtId="3" fontId="96" fillId="0" borderId="23" xfId="59" applyNumberFormat="1" applyFont="1" applyBorder="1" applyAlignment="1">
      <alignment horizontal="right"/>
    </xf>
    <xf numFmtId="3" fontId="96" fillId="0" borderId="47" xfId="49" applyNumberFormat="1" applyFont="1" applyBorder="1" applyAlignment="1">
      <alignment horizontal="right"/>
    </xf>
    <xf numFmtId="3" fontId="96" fillId="0" borderId="13" xfId="49" applyNumberFormat="1" applyFont="1" applyBorder="1" applyAlignment="1">
      <alignment horizontal="right"/>
    </xf>
    <xf numFmtId="3" fontId="4" fillId="24" borderId="33" xfId="47" applyNumberFormat="1" applyFont="1" applyFill="1" applyBorder="1" applyAlignment="1">
      <alignment horizontal="right" vertical="center"/>
    </xf>
    <xf numFmtId="164" fontId="9" fillId="0" borderId="13" xfId="28" applyNumberFormat="1" applyFont="1" applyBorder="1" applyAlignment="1">
      <alignment vertical="center" wrapText="1"/>
    </xf>
    <xf numFmtId="164" fontId="6" fillId="0" borderId="13" xfId="28" applyNumberFormat="1" applyFont="1" applyBorder="1" applyAlignment="1">
      <alignment horizontal="left" vertical="center" wrapText="1" indent="2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4" fillId="0" borderId="13" xfId="28" applyNumberFormat="1" applyFont="1" applyBorder="1" applyAlignment="1">
      <alignment horizontal="left" vertical="center" wrapText="1" indent="2"/>
    </xf>
    <xf numFmtId="164" fontId="41" fillId="0" borderId="13" xfId="28" applyNumberFormat="1" applyFont="1" applyFill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164" fontId="41" fillId="0" borderId="13" xfId="28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94" fillId="24" borderId="13" xfId="28" applyNumberFormat="1" applyFont="1" applyFill="1" applyBorder="1" applyAlignment="1">
      <alignment vertical="center"/>
    </xf>
    <xf numFmtId="0" fontId="99" fillId="0" borderId="0" xfId="47" applyNumberFormat="1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164" fontId="75" fillId="0" borderId="13" xfId="29" applyNumberFormat="1" applyFont="1" applyFill="1" applyBorder="1"/>
    <xf numFmtId="164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164" fontId="0" fillId="0" borderId="14" xfId="29" applyNumberFormat="1" applyFont="1" applyFill="1" applyBorder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00" fillId="0" borderId="24" xfId="0" applyNumberFormat="1" applyFont="1" applyFill="1" applyBorder="1" applyAlignment="1">
      <alignment horizontal="center"/>
    </xf>
    <xf numFmtId="164" fontId="22" fillId="0" borderId="24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3" xfId="0" applyNumberFormat="1" applyFont="1" applyFill="1" applyBorder="1"/>
    <xf numFmtId="164" fontId="16" fillId="0" borderId="13" xfId="29" applyNumberFormat="1" applyFont="1" applyFill="1" applyBorder="1"/>
    <xf numFmtId="164" fontId="3" fillId="0" borderId="13" xfId="29" applyNumberFormat="1" applyFont="1" applyFill="1" applyBorder="1"/>
    <xf numFmtId="164" fontId="16" fillId="0" borderId="13" xfId="29" applyNumberFormat="1" applyFont="1" applyFill="1" applyBorder="1" applyAlignment="1"/>
    <xf numFmtId="0" fontId="16" fillId="0" borderId="13" xfId="0" applyFont="1" applyFill="1" applyBorder="1" applyAlignment="1">
      <alignment horizontal="center"/>
    </xf>
    <xf numFmtId="0" fontId="100" fillId="0" borderId="13" xfId="0" applyNumberFormat="1" applyFont="1" applyFill="1" applyBorder="1" applyAlignment="1">
      <alignment horizontal="center"/>
    </xf>
    <xf numFmtId="164" fontId="76" fillId="0" borderId="0" xfId="0" applyNumberFormat="1" applyFont="1"/>
    <xf numFmtId="164" fontId="3" fillId="0" borderId="13" xfId="29" applyNumberFormat="1" applyFont="1" applyFill="1" applyBorder="1" applyAlignment="1"/>
    <xf numFmtId="0" fontId="9" fillId="0" borderId="13" xfId="0" applyFont="1" applyFill="1" applyBorder="1" applyAlignment="1">
      <alignment horizontal="center"/>
    </xf>
    <xf numFmtId="164" fontId="9" fillId="0" borderId="13" xfId="29" applyNumberFormat="1" applyFont="1" applyFill="1" applyBorder="1" applyAlignment="1"/>
    <xf numFmtId="164" fontId="9" fillId="0" borderId="13" xfId="29" applyNumberFormat="1" applyFont="1" applyFill="1" applyBorder="1"/>
    <xf numFmtId="0" fontId="3" fillId="0" borderId="0" xfId="0" applyNumberFormat="1" applyFont="1" applyFill="1"/>
    <xf numFmtId="0" fontId="101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49" fontId="97" fillId="0" borderId="12" xfId="58" quotePrefix="1" applyNumberFormat="1" applyFont="1" applyBorder="1" applyAlignment="1">
      <alignment horizontal="center"/>
    </xf>
    <xf numFmtId="49" fontId="97" fillId="0" borderId="13" xfId="58" applyNumberFormat="1" applyFont="1" applyBorder="1" applyAlignment="1">
      <alignment horizontal="center"/>
    </xf>
    <xf numFmtId="49" fontId="97" fillId="0" borderId="13" xfId="58" quotePrefix="1" applyNumberFormat="1" applyFont="1" applyBorder="1" applyAlignment="1">
      <alignment horizontal="center"/>
    </xf>
    <xf numFmtId="49" fontId="97" fillId="0" borderId="43" xfId="58" quotePrefix="1" applyNumberFormat="1" applyFont="1" applyBorder="1" applyAlignment="1">
      <alignment horizontal="center"/>
    </xf>
    <xf numFmtId="49" fontId="97" fillId="0" borderId="24" xfId="58" quotePrefix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44" fillId="0" borderId="13" xfId="28" applyNumberFormat="1" applyFont="1" applyFill="1" applyBorder="1" applyAlignment="1">
      <alignment horizontal="right" vertical="center" wrapText="1"/>
    </xf>
    <xf numFmtId="164" fontId="10" fillId="0" borderId="13" xfId="29" applyNumberFormat="1" applyFont="1" applyBorder="1" applyAlignment="1">
      <alignment vertical="center"/>
    </xf>
    <xf numFmtId="0" fontId="103" fillId="0" borderId="0" xfId="0" applyFont="1" applyAlignment="1">
      <alignment horizontal="center" vertical="center"/>
    </xf>
    <xf numFmtId="0" fontId="102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3" fontId="97" fillId="0" borderId="48" xfId="58" applyNumberFormat="1" applyFont="1" applyBorder="1"/>
    <xf numFmtId="0" fontId="9" fillId="26" borderId="49" xfId="0" applyNumberFormat="1" applyFont="1" applyFill="1" applyBorder="1" applyAlignment="1">
      <alignment horizontal="center" vertical="center"/>
    </xf>
    <xf numFmtId="0" fontId="9" fillId="26" borderId="5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96" fillId="0" borderId="13" xfId="58" quotePrefix="1" applyNumberFormat="1" applyFont="1" applyBorder="1" applyAlignment="1">
      <alignment horizontal="center"/>
    </xf>
    <xf numFmtId="49" fontId="96" fillId="0" borderId="24" xfId="58" quotePrefix="1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right" vertical="center" wrapText="1"/>
    </xf>
    <xf numFmtId="0" fontId="68" fillId="0" borderId="0" xfId="0" applyFont="1" applyAlignment="1"/>
    <xf numFmtId="0" fontId="67" fillId="0" borderId="0" xfId="0" applyFont="1" applyAlignment="1"/>
    <xf numFmtId="164" fontId="10" fillId="0" borderId="12" xfId="29" applyNumberFormat="1" applyFont="1" applyBorder="1" applyAlignment="1">
      <alignment horizontal="left" vertical="center" wrapText="1"/>
    </xf>
    <xf numFmtId="164" fontId="10" fillId="0" borderId="13" xfId="29" applyNumberFormat="1" applyFont="1" applyBorder="1" applyAlignment="1">
      <alignment vertical="center" wrapText="1"/>
    </xf>
    <xf numFmtId="164" fontId="10" fillId="0" borderId="33" xfId="29" applyNumberFormat="1" applyFont="1" applyBorder="1" applyAlignment="1">
      <alignment vertical="center" wrapText="1"/>
    </xf>
    <xf numFmtId="164" fontId="4" fillId="0" borderId="33" xfId="29" applyNumberFormat="1" applyFont="1" applyBorder="1" applyAlignment="1">
      <alignment vertical="center" wrapText="1"/>
    </xf>
    <xf numFmtId="3" fontId="47" fillId="0" borderId="13" xfId="58" applyNumberFormat="1" applyFont="1" applyBorder="1"/>
    <xf numFmtId="164" fontId="4" fillId="0" borderId="33" xfId="29" applyNumberFormat="1" applyFont="1" applyBorder="1" applyAlignment="1">
      <alignment horizontal="left" vertical="center" wrapText="1"/>
    </xf>
    <xf numFmtId="164" fontId="10" fillId="0" borderId="33" xfId="29" applyNumberFormat="1" applyFont="1" applyBorder="1" applyAlignment="1">
      <alignment horizontal="center" vertical="center" wrapText="1"/>
    </xf>
    <xf numFmtId="164" fontId="10" fillId="0" borderId="33" xfId="29" applyNumberFormat="1" applyFont="1" applyBorder="1" applyAlignment="1">
      <alignment horizontal="left" vertical="center"/>
    </xf>
    <xf numFmtId="164" fontId="4" fillId="0" borderId="33" xfId="29" applyNumberFormat="1" applyFont="1" applyBorder="1" applyAlignment="1">
      <alignment horizontal="right" vertical="center"/>
    </xf>
    <xf numFmtId="164" fontId="10" fillId="0" borderId="33" xfId="29" applyNumberFormat="1" applyFont="1" applyBorder="1" applyAlignment="1">
      <alignment horizontal="right" vertical="center"/>
    </xf>
    <xf numFmtId="164" fontId="10" fillId="0" borderId="33" xfId="29" applyNumberFormat="1" applyFont="1" applyBorder="1" applyAlignment="1">
      <alignment horizontal="right" vertical="center" wrapText="1"/>
    </xf>
    <xf numFmtId="164" fontId="4" fillId="0" borderId="33" xfId="29" applyNumberFormat="1" applyFont="1" applyBorder="1" applyAlignment="1">
      <alignment horizontal="right" vertical="center" wrapText="1"/>
    </xf>
    <xf numFmtId="164" fontId="10" fillId="0" borderId="33" xfId="29" applyNumberFormat="1" applyFont="1" applyBorder="1" applyAlignment="1">
      <alignment horizontal="left" vertical="center" wrapText="1"/>
    </xf>
    <xf numFmtId="164" fontId="10" fillId="0" borderId="51" xfId="29" applyNumberFormat="1" applyFont="1" applyBorder="1" applyAlignment="1">
      <alignment horizontal="right" vertical="center"/>
    </xf>
    <xf numFmtId="164" fontId="10" fillId="0" borderId="51" xfId="29" applyNumberFormat="1" applyFont="1" applyBorder="1" applyAlignment="1">
      <alignment horizontal="right" vertical="center" wrapText="1"/>
    </xf>
    <xf numFmtId="164" fontId="10" fillId="0" borderId="52" xfId="29" applyNumberFormat="1" applyFont="1" applyBorder="1" applyAlignment="1">
      <alignment horizontal="right" vertical="center" wrapText="1"/>
    </xf>
    <xf numFmtId="164" fontId="10" fillId="0" borderId="24" xfId="29" applyNumberFormat="1" applyFont="1" applyBorder="1" applyAlignment="1">
      <alignment horizontal="left" vertical="center" wrapText="1"/>
    </xf>
    <xf numFmtId="164" fontId="4" fillId="0" borderId="0" xfId="29" applyNumberFormat="1" applyFont="1" applyAlignment="1">
      <alignment vertical="center"/>
    </xf>
    <xf numFmtId="164" fontId="13" fillId="0" borderId="33" xfId="29" applyNumberFormat="1" applyFont="1" applyBorder="1" applyAlignment="1">
      <alignment vertical="center" wrapText="1"/>
    </xf>
    <xf numFmtId="164" fontId="10" fillId="0" borderId="51" xfId="29" applyNumberFormat="1" applyFont="1" applyBorder="1" applyAlignment="1">
      <alignment horizontal="left" vertical="center" wrapText="1"/>
    </xf>
    <xf numFmtId="164" fontId="4" fillId="24" borderId="13" xfId="29" applyNumberFormat="1" applyFont="1" applyFill="1" applyBorder="1" applyAlignment="1">
      <alignment horizontal="left" vertical="center" wrapText="1"/>
    </xf>
    <xf numFmtId="164" fontId="13" fillId="0" borderId="13" xfId="29" applyNumberFormat="1" applyFont="1" applyBorder="1" applyAlignment="1">
      <alignment horizontal="left" vertical="center" wrapText="1"/>
    </xf>
    <xf numFmtId="164" fontId="13" fillId="0" borderId="33" xfId="29" applyNumberFormat="1" applyFont="1" applyBorder="1" applyAlignment="1">
      <alignment horizontal="left" vertical="center" wrapText="1"/>
    </xf>
    <xf numFmtId="164" fontId="10" fillId="0" borderId="13" xfId="29" applyNumberFormat="1" applyFont="1" applyBorder="1" applyAlignment="1">
      <alignment horizontal="left" vertical="center" wrapText="1" indent="1"/>
    </xf>
    <xf numFmtId="164" fontId="10" fillId="0" borderId="13" xfId="29" applyNumberFormat="1" applyFont="1" applyBorder="1" applyAlignment="1">
      <alignment horizontal="center" vertical="center" wrapText="1"/>
    </xf>
    <xf numFmtId="164" fontId="13" fillId="0" borderId="51" xfId="29" applyNumberFormat="1" applyFont="1" applyBorder="1" applyAlignment="1">
      <alignment horizontal="left" vertical="center" wrapText="1"/>
    </xf>
    <xf numFmtId="3" fontId="4" fillId="0" borderId="24" xfId="47" applyNumberFormat="1" applyFont="1" applyBorder="1" applyAlignment="1">
      <alignment horizontal="right" vertical="center" wrapText="1"/>
    </xf>
    <xf numFmtId="164" fontId="10" fillId="0" borderId="51" xfId="29" applyNumberFormat="1" applyFont="1" applyBorder="1" applyAlignment="1">
      <alignment horizontal="justify" vertical="center"/>
    </xf>
    <xf numFmtId="164" fontId="4" fillId="0" borderId="33" xfId="29" applyNumberFormat="1" applyFont="1" applyBorder="1" applyAlignment="1">
      <alignment horizontal="left" vertical="center" wrapText="1" indent="1"/>
    </xf>
    <xf numFmtId="164" fontId="21" fillId="0" borderId="0" xfId="29" applyNumberFormat="1" applyFont="1"/>
    <xf numFmtId="0" fontId="4" fillId="0" borderId="0" xfId="47" applyFont="1" applyAlignment="1">
      <alignment vertical="center"/>
    </xf>
    <xf numFmtId="0" fontId="15" fillId="0" borderId="0" xfId="47" applyFont="1" applyAlignment="1"/>
    <xf numFmtId="3" fontId="96" fillId="0" borderId="24" xfId="59" applyNumberFormat="1" applyFont="1" applyBorder="1" applyAlignment="1">
      <alignment horizontal="right"/>
    </xf>
    <xf numFmtId="0" fontId="7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98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6" fillId="0" borderId="11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9" fillId="24" borderId="20" xfId="0" applyNumberFormat="1" applyFont="1" applyFill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24" borderId="20" xfId="0" applyNumberFormat="1" applyFont="1" applyFill="1" applyBorder="1" applyAlignment="1">
      <alignment horizontal="center" vertical="center" wrapText="1"/>
    </xf>
    <xf numFmtId="0" fontId="9" fillId="2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5" fillId="0" borderId="23" xfId="47" applyFont="1" applyBorder="1" applyAlignment="1">
      <alignment vertical="center"/>
    </xf>
    <xf numFmtId="0" fontId="104" fillId="0" borderId="57" xfId="47" applyFont="1" applyBorder="1" applyAlignment="1">
      <alignment horizontal="center" vertical="center" wrapText="1"/>
    </xf>
    <xf numFmtId="0" fontId="104" fillId="0" borderId="31" xfId="47" applyFont="1" applyBorder="1" applyAlignment="1">
      <alignment horizontal="center" vertical="center" wrapText="1"/>
    </xf>
    <xf numFmtId="0" fontId="9" fillId="0" borderId="12" xfId="47" applyNumberFormat="1" applyFont="1" applyBorder="1" applyAlignment="1">
      <alignment horizontal="left" vertical="center" wrapText="1"/>
    </xf>
    <xf numFmtId="0" fontId="9" fillId="0" borderId="13" xfId="47" applyFont="1" applyBorder="1" applyAlignment="1">
      <alignment vertical="center" wrapText="1"/>
    </xf>
    <xf numFmtId="0" fontId="9" fillId="0" borderId="32" xfId="47" applyNumberFormat="1" applyFont="1" applyBorder="1" applyAlignment="1">
      <alignment vertical="center" wrapText="1"/>
    </xf>
    <xf numFmtId="0" fontId="9" fillId="0" borderId="33" xfId="47" applyNumberFormat="1" applyFont="1" applyBorder="1" applyAlignment="1">
      <alignment vertical="center" wrapText="1"/>
    </xf>
    <xf numFmtId="0" fontId="6" fillId="0" borderId="32" xfId="47" applyFont="1" applyBorder="1" applyAlignment="1">
      <alignment vertical="center" wrapText="1"/>
    </xf>
    <xf numFmtId="0" fontId="6" fillId="0" borderId="33" xfId="47" applyFont="1" applyBorder="1" applyAlignment="1">
      <alignment vertical="center" wrapText="1"/>
    </xf>
    <xf numFmtId="0" fontId="9" fillId="0" borderId="32" xfId="47" applyNumberFormat="1" applyFont="1" applyBorder="1" applyAlignment="1">
      <alignment horizontal="center" vertical="center" wrapText="1"/>
    </xf>
    <xf numFmtId="0" fontId="9" fillId="0" borderId="33" xfId="47" applyNumberFormat="1" applyFont="1" applyBorder="1" applyAlignment="1">
      <alignment horizontal="center" vertical="center" wrapText="1"/>
    </xf>
    <xf numFmtId="0" fontId="9" fillId="0" borderId="32" xfId="47" applyNumberFormat="1" applyFont="1" applyBorder="1" applyAlignment="1">
      <alignment horizontal="left" vertical="center" wrapText="1"/>
    </xf>
    <xf numFmtId="0" fontId="9" fillId="0" borderId="33" xfId="47" applyNumberFormat="1" applyFont="1" applyBorder="1" applyAlignment="1">
      <alignment horizontal="left" vertical="center" wrapText="1"/>
    </xf>
    <xf numFmtId="0" fontId="6" fillId="0" borderId="13" xfId="47" applyFont="1" applyBorder="1" applyAlignment="1">
      <alignment vertical="center" wrapText="1"/>
    </xf>
    <xf numFmtId="0" fontId="9" fillId="0" borderId="32" xfId="47" applyFont="1" applyBorder="1" applyAlignment="1">
      <alignment horizontal="center" vertical="center" wrapText="1"/>
    </xf>
    <xf numFmtId="0" fontId="9" fillId="0" borderId="33" xfId="47" applyFont="1" applyBorder="1" applyAlignment="1">
      <alignment horizontal="center" vertical="center" wrapText="1"/>
    </xf>
    <xf numFmtId="0" fontId="9" fillId="0" borderId="32" xfId="47" applyNumberFormat="1" applyFont="1" applyBorder="1" applyAlignment="1">
      <alignment horizontal="left" vertical="center"/>
    </xf>
    <xf numFmtId="0" fontId="9" fillId="0" borderId="33" xfId="47" applyNumberFormat="1" applyFont="1" applyBorder="1" applyAlignment="1">
      <alignment horizontal="left" vertical="center"/>
    </xf>
    <xf numFmtId="0" fontId="6" fillId="0" borderId="32" xfId="47" applyNumberFormat="1" applyFont="1" applyBorder="1" applyAlignment="1">
      <alignment horizontal="left" vertical="center"/>
    </xf>
    <xf numFmtId="0" fontId="6" fillId="0" borderId="33" xfId="47" applyNumberFormat="1" applyFont="1" applyBorder="1" applyAlignment="1">
      <alignment horizontal="left" vertical="center"/>
    </xf>
    <xf numFmtId="0" fontId="6" fillId="0" borderId="32" xfId="47" applyNumberFormat="1" applyFont="1" applyBorder="1" applyAlignment="1">
      <alignment vertical="center" wrapText="1"/>
    </xf>
    <xf numFmtId="0" fontId="6" fillId="0" borderId="33" xfId="47" applyNumberFormat="1" applyFont="1" applyBorder="1" applyAlignment="1">
      <alignment vertical="center" wrapText="1"/>
    </xf>
    <xf numFmtId="0" fontId="6" fillId="0" borderId="32" xfId="47" applyNumberFormat="1" applyFont="1" applyBorder="1" applyAlignment="1">
      <alignment horizontal="left" vertical="center" wrapText="1"/>
    </xf>
    <xf numFmtId="0" fontId="6" fillId="0" borderId="33" xfId="47" applyNumberFormat="1" applyFont="1" applyBorder="1" applyAlignment="1">
      <alignment horizontal="left" vertical="center" wrapText="1"/>
    </xf>
    <xf numFmtId="0" fontId="6" fillId="0" borderId="13" xfId="47" applyNumberFormat="1" applyFont="1" applyBorder="1" applyAlignment="1">
      <alignment horizontal="left" vertical="center"/>
    </xf>
    <xf numFmtId="0" fontId="9" fillId="0" borderId="32" xfId="47" applyNumberFormat="1" applyFont="1" applyBorder="1" applyAlignment="1">
      <alignment horizontal="center" vertical="center"/>
    </xf>
    <xf numFmtId="0" fontId="9" fillId="0" borderId="33" xfId="47" applyNumberFormat="1" applyFont="1" applyBorder="1" applyAlignment="1">
      <alignment horizontal="center" vertical="center"/>
    </xf>
    <xf numFmtId="0" fontId="6" fillId="0" borderId="32" xfId="47" applyFont="1" applyBorder="1" applyAlignment="1">
      <alignment horizontal="left" vertical="center" wrapText="1"/>
    </xf>
    <xf numFmtId="0" fontId="6" fillId="0" borderId="33" xfId="47" applyFont="1" applyBorder="1" applyAlignment="1">
      <alignment horizontal="left" vertical="center" wrapText="1"/>
    </xf>
    <xf numFmtId="0" fontId="9" fillId="0" borderId="32" xfId="47" applyFont="1" applyBorder="1" applyAlignment="1">
      <alignment vertical="center" wrapText="1"/>
    </xf>
    <xf numFmtId="0" fontId="9" fillId="0" borderId="33" xfId="47" applyFont="1" applyBorder="1" applyAlignment="1">
      <alignment vertical="center" wrapText="1"/>
    </xf>
    <xf numFmtId="0" fontId="9" fillId="0" borderId="32" xfId="47" applyNumberFormat="1" applyFont="1" applyBorder="1" applyAlignment="1">
      <alignment vertical="center"/>
    </xf>
    <xf numFmtId="0" fontId="9" fillId="0" borderId="33" xfId="47" applyNumberFormat="1" applyFont="1" applyBorder="1" applyAlignment="1">
      <alignment vertical="center"/>
    </xf>
    <xf numFmtId="0" fontId="6" fillId="0" borderId="32" xfId="47" applyNumberFormat="1" applyFont="1" applyBorder="1" applyAlignment="1">
      <alignment vertical="center"/>
    </xf>
    <xf numFmtId="0" fontId="6" fillId="0" borderId="33" xfId="47" applyNumberFormat="1" applyFont="1" applyBorder="1" applyAlignment="1">
      <alignment vertical="center"/>
    </xf>
    <xf numFmtId="0" fontId="9" fillId="0" borderId="55" xfId="47" applyNumberFormat="1" applyFont="1" applyBorder="1" applyAlignment="1">
      <alignment horizontal="center" vertical="center" wrapText="1"/>
    </xf>
    <xf numFmtId="0" fontId="9" fillId="0" borderId="52" xfId="47" applyNumberFormat="1" applyFont="1" applyBorder="1" applyAlignment="1">
      <alignment horizontal="center" vertical="center" wrapText="1"/>
    </xf>
    <xf numFmtId="0" fontId="78" fillId="0" borderId="32" xfId="47" applyNumberFormat="1" applyFont="1" applyBorder="1" applyAlignment="1">
      <alignment horizontal="left" vertical="center" wrapText="1"/>
    </xf>
    <xf numFmtId="0" fontId="78" fillId="0" borderId="56" xfId="47" applyNumberFormat="1" applyFont="1" applyBorder="1" applyAlignment="1">
      <alignment horizontal="left" vertical="center" wrapText="1"/>
    </xf>
    <xf numFmtId="0" fontId="78" fillId="0" borderId="33" xfId="47" applyNumberFormat="1" applyFont="1" applyBorder="1" applyAlignment="1">
      <alignment horizontal="left" vertical="center" wrapText="1"/>
    </xf>
    <xf numFmtId="0" fontId="6" fillId="0" borderId="32" xfId="47" applyNumberFormat="1" applyFont="1" applyBorder="1" applyAlignment="1">
      <alignment horizontal="justify" vertical="center" wrapText="1"/>
    </xf>
    <xf numFmtId="0" fontId="6" fillId="0" borderId="33" xfId="47" applyNumberFormat="1" applyFont="1" applyBorder="1" applyAlignment="1">
      <alignment horizontal="justify" vertical="center" wrapText="1"/>
    </xf>
    <xf numFmtId="0" fontId="99" fillId="0" borderId="0" xfId="47" applyNumberFormat="1" applyFont="1" applyBorder="1" applyAlignment="1">
      <alignment horizontal="left" vertical="center" wrapText="1"/>
    </xf>
    <xf numFmtId="0" fontId="9" fillId="0" borderId="24" xfId="47" applyNumberFormat="1" applyFont="1" applyBorder="1" applyAlignment="1">
      <alignment horizontal="left" vertical="center" wrapText="1"/>
    </xf>
    <xf numFmtId="0" fontId="78" fillId="0" borderId="32" xfId="47" applyNumberFormat="1" applyFont="1" applyBorder="1" applyAlignment="1">
      <alignment vertical="center" wrapText="1"/>
    </xf>
    <xf numFmtId="0" fontId="78" fillId="0" borderId="33" xfId="47" applyNumberFormat="1" applyFont="1" applyBorder="1" applyAlignment="1">
      <alignment vertical="center" wrapText="1"/>
    </xf>
    <xf numFmtId="0" fontId="6" fillId="0" borderId="32" xfId="47" applyFont="1" applyBorder="1" applyAlignment="1">
      <alignment vertical="center"/>
    </xf>
    <xf numFmtId="0" fontId="6" fillId="0" borderId="33" xfId="47" applyFont="1" applyBorder="1" applyAlignment="1">
      <alignment vertical="center"/>
    </xf>
    <xf numFmtId="0" fontId="9" fillId="0" borderId="32" xfId="47" applyFont="1" applyBorder="1" applyAlignment="1">
      <alignment horizontal="center" vertical="center"/>
    </xf>
    <xf numFmtId="0" fontId="9" fillId="0" borderId="33" xfId="47" applyFont="1" applyBorder="1" applyAlignment="1">
      <alignment horizontal="center" vertical="center"/>
    </xf>
    <xf numFmtId="0" fontId="9" fillId="0" borderId="53" xfId="47" applyFont="1" applyBorder="1" applyAlignment="1">
      <alignment horizontal="left" vertical="center" wrapText="1"/>
    </xf>
    <xf numFmtId="0" fontId="9" fillId="0" borderId="51" xfId="47" applyFont="1" applyBorder="1" applyAlignment="1">
      <alignment horizontal="left" vertical="center" wrapText="1"/>
    </xf>
    <xf numFmtId="0" fontId="6" fillId="0" borderId="13" xfId="47" applyNumberFormat="1" applyFont="1" applyBorder="1" applyAlignment="1">
      <alignment horizontal="left" vertical="center" wrapText="1"/>
    </xf>
    <xf numFmtId="0" fontId="6" fillId="0" borderId="13" xfId="47" applyNumberFormat="1" applyFont="1" applyBorder="1" applyAlignment="1">
      <alignment vertical="center" wrapText="1"/>
    </xf>
    <xf numFmtId="0" fontId="78" fillId="0" borderId="13" xfId="47" applyNumberFormat="1" applyFont="1" applyBorder="1" applyAlignment="1">
      <alignment horizontal="left" vertical="center" wrapText="1"/>
    </xf>
    <xf numFmtId="0" fontId="9" fillId="0" borderId="13" xfId="47" applyNumberFormat="1" applyFont="1" applyBorder="1" applyAlignment="1">
      <alignment horizontal="center" vertical="center"/>
    </xf>
    <xf numFmtId="0" fontId="9" fillId="0" borderId="32" xfId="47" applyFont="1" applyBorder="1" applyAlignment="1">
      <alignment horizontal="left" vertical="center" wrapText="1"/>
    </xf>
    <xf numFmtId="0" fontId="9" fillId="0" borderId="33" xfId="47" applyFont="1" applyBorder="1" applyAlignment="1">
      <alignment horizontal="left" vertical="center" wrapText="1"/>
    </xf>
    <xf numFmtId="0" fontId="6" fillId="0" borderId="53" xfId="47" applyFont="1" applyBorder="1" applyAlignment="1">
      <alignment horizontal="left" vertical="center" wrapText="1"/>
    </xf>
    <xf numFmtId="0" fontId="6" fillId="0" borderId="51" xfId="47" applyFont="1" applyBorder="1" applyAlignment="1">
      <alignment horizontal="left" vertical="center" wrapText="1"/>
    </xf>
    <xf numFmtId="0" fontId="9" fillId="0" borderId="13" xfId="47" applyFont="1" applyBorder="1" applyAlignment="1">
      <alignment horizontal="center" vertical="center" wrapText="1"/>
    </xf>
    <xf numFmtId="0" fontId="9" fillId="0" borderId="13" xfId="47" applyNumberFormat="1" applyFont="1" applyBorder="1" applyAlignment="1">
      <alignment vertical="center" wrapText="1"/>
    </xf>
    <xf numFmtId="0" fontId="9" fillId="0" borderId="13" xfId="47" applyNumberFormat="1" applyFont="1" applyBorder="1" applyAlignment="1">
      <alignment horizontal="left" vertical="center" wrapText="1" indent="1"/>
    </xf>
    <xf numFmtId="0" fontId="6" fillId="0" borderId="13" xfId="47" applyFont="1" applyBorder="1" applyAlignment="1">
      <alignment horizontal="left" vertical="center" wrapText="1"/>
    </xf>
    <xf numFmtId="0" fontId="6" fillId="0" borderId="32" xfId="47" applyNumberFormat="1" applyFont="1" applyBorder="1" applyAlignment="1">
      <alignment horizontal="left" vertical="center" wrapText="1" indent="1"/>
    </xf>
    <xf numFmtId="0" fontId="6" fillId="0" borderId="33" xfId="47" applyNumberFormat="1" applyFont="1" applyBorder="1" applyAlignment="1">
      <alignment horizontal="left" vertical="center" wrapText="1" indent="1"/>
    </xf>
    <xf numFmtId="0" fontId="9" fillId="0" borderId="54" xfId="47" applyNumberFormat="1" applyFont="1" applyBorder="1" applyAlignment="1">
      <alignment horizontal="center" vertical="center" wrapText="1"/>
    </xf>
    <xf numFmtId="0" fontId="9" fillId="0" borderId="35" xfId="47" applyNumberFormat="1" applyFont="1" applyBorder="1" applyAlignment="1">
      <alignment horizontal="center" vertical="center" wrapText="1"/>
    </xf>
    <xf numFmtId="0" fontId="6" fillId="0" borderId="13" xfId="47" applyNumberFormat="1" applyFont="1" applyBorder="1" applyAlignment="1">
      <alignment horizontal="left" vertical="center" wrapText="1" indent="1"/>
    </xf>
    <xf numFmtId="0" fontId="9" fillId="0" borderId="13" xfId="47" applyNumberFormat="1" applyFont="1" applyBorder="1" applyAlignment="1">
      <alignment horizontal="center" vertical="center" wrapText="1"/>
    </xf>
    <xf numFmtId="0" fontId="15" fillId="0" borderId="0" xfId="47" applyFont="1" applyAlignment="1">
      <alignment horizontal="center"/>
    </xf>
    <xf numFmtId="0" fontId="16" fillId="0" borderId="0" xfId="47" applyFont="1" applyAlignment="1">
      <alignment horizontal="center"/>
    </xf>
    <xf numFmtId="0" fontId="9" fillId="0" borderId="53" xfId="47" applyFont="1" applyBorder="1" applyAlignment="1">
      <alignment horizontal="justify" vertical="center"/>
    </xf>
    <xf numFmtId="0" fontId="9" fillId="0" borderId="51" xfId="47" applyFont="1" applyBorder="1" applyAlignment="1">
      <alignment horizontal="justify" vertical="center"/>
    </xf>
    <xf numFmtId="0" fontId="6" fillId="0" borderId="32" xfId="0" applyNumberFormat="1" applyFont="1" applyBorder="1" applyAlignment="1">
      <alignment vertical="center" wrapText="1"/>
    </xf>
    <xf numFmtId="0" fontId="6" fillId="0" borderId="33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NumberFormat="1" applyFont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58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horizontal="left" vertical="center" wrapText="1"/>
    </xf>
    <xf numFmtId="0" fontId="78" fillId="0" borderId="3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9" fillId="0" borderId="13" xfId="0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2"/>
    </xf>
    <xf numFmtId="0" fontId="6" fillId="0" borderId="13" xfId="0" applyFont="1" applyBorder="1" applyAlignment="1">
      <alignment horizontal="left" vertical="center" wrapText="1" indent="2"/>
    </xf>
    <xf numFmtId="0" fontId="6" fillId="0" borderId="13" xfId="0" applyNumberFormat="1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9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9" fillId="0" borderId="32" xfId="0" applyNumberFormat="1" applyFont="1" applyBorder="1" applyAlignment="1">
      <alignment vertical="center" wrapText="1"/>
    </xf>
    <xf numFmtId="0" fontId="9" fillId="0" borderId="33" xfId="0" applyNumberFormat="1" applyFont="1" applyBorder="1" applyAlignment="1">
      <alignment vertical="center" wrapText="1"/>
    </xf>
    <xf numFmtId="0" fontId="89" fillId="0" borderId="0" xfId="0" applyFont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0" borderId="0" xfId="47" applyNumberFormat="1" applyFont="1" applyAlignment="1">
      <alignment horizontal="left" wrapText="1"/>
    </xf>
    <xf numFmtId="0" fontId="21" fillId="0" borderId="0" xfId="47" applyFont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2" fillId="24" borderId="10" xfId="0" applyNumberFormat="1" applyFont="1" applyFill="1" applyBorder="1" applyAlignment="1">
      <alignment horizontal="center" vertical="top" wrapText="1"/>
    </xf>
    <xf numFmtId="0" fontId="92" fillId="24" borderId="20" xfId="0" applyFont="1" applyFill="1" applyBorder="1" applyAlignment="1">
      <alignment horizontal="center" vertical="top" wrapText="1"/>
    </xf>
    <xf numFmtId="0" fontId="92" fillId="24" borderId="11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95" fillId="0" borderId="0" xfId="0" applyNumberFormat="1" applyFont="1" applyAlignment="1">
      <alignment horizontal="center"/>
    </xf>
    <xf numFmtId="0" fontId="89" fillId="0" borderId="0" xfId="0" applyFont="1" applyAlignment="1">
      <alignment horizontal="left"/>
    </xf>
    <xf numFmtId="0" fontId="17" fillId="0" borderId="23" xfId="0" applyFont="1" applyBorder="1" applyAlignment="1">
      <alignment horizontal="right"/>
    </xf>
    <xf numFmtId="0" fontId="41" fillId="0" borderId="57" xfId="61" applyFont="1" applyBorder="1" applyAlignment="1">
      <alignment horizontal="center"/>
    </xf>
    <xf numFmtId="0" fontId="41" fillId="0" borderId="59" xfId="61" applyFont="1" applyBorder="1" applyAlignment="1">
      <alignment horizontal="center"/>
    </xf>
    <xf numFmtId="0" fontId="41" fillId="0" borderId="31" xfId="61" applyFont="1" applyBorder="1" applyAlignment="1">
      <alignment horizontal="center"/>
    </xf>
    <xf numFmtId="0" fontId="42" fillId="0" borderId="57" xfId="61" applyFont="1" applyBorder="1" applyAlignment="1">
      <alignment horizontal="center"/>
    </xf>
    <xf numFmtId="0" fontId="42" fillId="0" borderId="59" xfId="61" applyFont="1" applyBorder="1" applyAlignment="1">
      <alignment horizontal="center"/>
    </xf>
    <xf numFmtId="0" fontId="42" fillId="0" borderId="31" xfId="61" applyFont="1" applyBorder="1" applyAlignment="1">
      <alignment horizontal="center"/>
    </xf>
    <xf numFmtId="0" fontId="19" fillId="0" borderId="0" xfId="61" applyNumberFormat="1" applyFont="1" applyAlignment="1">
      <alignment horizontal="center"/>
    </xf>
    <xf numFmtId="0" fontId="20" fillId="0" borderId="0" xfId="61" applyFont="1" applyAlignment="1">
      <alignment horizontal="center"/>
    </xf>
    <xf numFmtId="0" fontId="3" fillId="0" borderId="0" xfId="61" applyNumberFormat="1" applyFont="1" applyAlignment="1">
      <alignment horizontal="center"/>
    </xf>
    <xf numFmtId="0" fontId="21" fillId="0" borderId="0" xfId="6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0" xfId="40"/>
    <cellStyle name="Normal 12" xfId="41"/>
    <cellStyle name="Normal 13" xfId="42"/>
    <cellStyle name="Normal 14" xfId="43"/>
    <cellStyle name="Normal 15" xfId="44"/>
    <cellStyle name="Normal 17" xfId="45"/>
    <cellStyle name="Normal 18" xfId="46"/>
    <cellStyle name="Normal 2" xfId="47"/>
    <cellStyle name="Normal 21" xfId="48"/>
    <cellStyle name="Normal 24" xfId="49"/>
    <cellStyle name="Normal 25" xfId="50"/>
    <cellStyle name="Normal 26" xfId="51"/>
    <cellStyle name="Normal 27" xfId="52"/>
    <cellStyle name="Normal 28" xfId="53"/>
    <cellStyle name="Normal 29" xfId="54"/>
    <cellStyle name="Normal 30" xfId="55"/>
    <cellStyle name="Normal 31" xfId="56"/>
    <cellStyle name="Normal 32" xfId="57"/>
    <cellStyle name="Normal 5" xfId="58"/>
    <cellStyle name="Normal 7" xfId="59"/>
    <cellStyle name="Normal 9" xfId="60"/>
    <cellStyle name="Normal_262" xfId="61"/>
    <cellStyle name="Normal_CPC PB" xfId="62"/>
    <cellStyle name="Normal_Sheet1" xfId="63"/>
    <cellStyle name="Normal_Sheet11" xfId="64"/>
    <cellStyle name="Normal_Sheet13" xfId="65"/>
    <cellStyle name="Normal_Sheet18" xfId="66"/>
    <cellStyle name="Normal_Sheet5" xfId="67"/>
    <cellStyle name="Note" xfId="68" builtinId="10" customBuiltin="1"/>
    <cellStyle name="Output" xfId="69" builtinId="21" customBuiltin="1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BCTC%20t&#259;ng%20gi&#7843;m%20T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3.15"/>
      <sheetName val="6T.15"/>
      <sheetName val="Q2.15"/>
      <sheetName val="Q1.2015"/>
    </sheetNames>
    <sheetDataSet>
      <sheetData sheetId="0" refreshError="1"/>
      <sheetData sheetId="1">
        <row r="15">
          <cell r="C15">
            <v>16985374.376533195</v>
          </cell>
          <cell r="D15">
            <v>81087365.708719432</v>
          </cell>
          <cell r="E15">
            <v>83414658.508771896</v>
          </cell>
          <cell r="F15">
            <v>4738401.5</v>
          </cell>
        </row>
        <row r="16">
          <cell r="E16">
            <v>82802729</v>
          </cell>
          <cell r="F16">
            <v>67955384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25"/>
  <sheetViews>
    <sheetView topLeftCell="A42" workbookViewId="0">
      <selection activeCell="I9" sqref="I9"/>
    </sheetView>
  </sheetViews>
  <sheetFormatPr defaultRowHeight="12.75"/>
  <cols>
    <col min="1" max="1" width="43.7109375" customWidth="1"/>
    <col min="2" max="2" width="9.7109375" style="522" customWidth="1"/>
    <col min="3" max="3" width="7.7109375" style="540" customWidth="1"/>
    <col min="4" max="4" width="17.140625" style="236" customWidth="1"/>
    <col min="5" max="5" width="16.5703125" customWidth="1"/>
  </cols>
  <sheetData>
    <row r="1" spans="1:6" ht="13.5">
      <c r="A1" s="230" t="s">
        <v>0</v>
      </c>
      <c r="B1" s="558"/>
      <c r="C1" s="539"/>
      <c r="D1" s="232"/>
      <c r="E1" s="231"/>
      <c r="F1" s="231"/>
    </row>
    <row r="2" spans="1:6" ht="13.5">
      <c r="A2" s="233" t="s">
        <v>316</v>
      </c>
      <c r="B2" s="558"/>
      <c r="C2" s="539"/>
      <c r="D2" s="232"/>
      <c r="E2" s="231"/>
      <c r="F2" s="231"/>
    </row>
    <row r="4" spans="1:6" ht="27" customHeight="1">
      <c r="A4" s="597" t="s">
        <v>317</v>
      </c>
      <c r="B4" s="598"/>
      <c r="C4" s="598"/>
      <c r="D4" s="598"/>
      <c r="E4" s="598"/>
      <c r="F4" s="234"/>
    </row>
    <row r="5" spans="1:6" ht="18.75">
      <c r="A5" s="599" t="s">
        <v>536</v>
      </c>
      <c r="B5" s="600"/>
      <c r="C5" s="600"/>
      <c r="D5" s="600"/>
      <c r="E5" s="600"/>
      <c r="F5" s="235"/>
    </row>
    <row r="6" spans="1:6" ht="13.5" thickBot="1"/>
    <row r="7" spans="1:6" ht="25.5">
      <c r="A7" s="237" t="s">
        <v>4</v>
      </c>
      <c r="B7" s="556" t="s">
        <v>5</v>
      </c>
      <c r="C7" s="557" t="s">
        <v>818</v>
      </c>
      <c r="D7" s="458" t="s">
        <v>42</v>
      </c>
      <c r="E7" s="459">
        <v>42005</v>
      </c>
    </row>
    <row r="8" spans="1:6" s="456" customFormat="1" ht="13.5" customHeight="1">
      <c r="A8" s="460" t="s">
        <v>540</v>
      </c>
      <c r="B8" s="541" t="s">
        <v>541</v>
      </c>
      <c r="C8" s="541"/>
      <c r="D8" s="461">
        <f>D9+D16+D25+D28</f>
        <v>35268235460</v>
      </c>
      <c r="E8" s="462">
        <v>28360525043</v>
      </c>
    </row>
    <row r="9" spans="1:6" s="456" customFormat="1" ht="13.5" customHeight="1">
      <c r="A9" s="466" t="s">
        <v>542</v>
      </c>
      <c r="B9" s="543" t="s">
        <v>543</v>
      </c>
      <c r="C9" s="542" t="s">
        <v>819</v>
      </c>
      <c r="D9" s="467">
        <f>D10</f>
        <v>1355694766</v>
      </c>
      <c r="E9" s="468">
        <f>E10</f>
        <v>1951449831</v>
      </c>
    </row>
    <row r="10" spans="1:6" ht="13.5" customHeight="1">
      <c r="A10" s="463" t="s">
        <v>544</v>
      </c>
      <c r="B10" s="559" t="s">
        <v>545</v>
      </c>
      <c r="C10" s="543"/>
      <c r="D10" s="464">
        <v>1355694766</v>
      </c>
      <c r="E10" s="465">
        <v>1951449831</v>
      </c>
    </row>
    <row r="11" spans="1:6" ht="13.5" customHeight="1">
      <c r="A11" s="463" t="s">
        <v>546</v>
      </c>
      <c r="B11" s="559" t="s">
        <v>547</v>
      </c>
      <c r="C11" s="543"/>
      <c r="D11" s="464">
        <v>0</v>
      </c>
      <c r="E11" s="465">
        <v>0</v>
      </c>
    </row>
    <row r="12" spans="1:6" s="456" customFormat="1" ht="13.5" customHeight="1">
      <c r="A12" s="466" t="s">
        <v>548</v>
      </c>
      <c r="B12" s="543" t="s">
        <v>549</v>
      </c>
      <c r="C12" s="543"/>
      <c r="D12" s="467">
        <v>0</v>
      </c>
      <c r="E12" s="468">
        <v>1000000000</v>
      </c>
    </row>
    <row r="13" spans="1:6" ht="13.5" customHeight="1">
      <c r="A13" s="463" t="s">
        <v>550</v>
      </c>
      <c r="B13" s="559" t="s">
        <v>551</v>
      </c>
      <c r="C13" s="543"/>
      <c r="D13" s="464">
        <v>0</v>
      </c>
      <c r="E13" s="465">
        <v>0</v>
      </c>
    </row>
    <row r="14" spans="1:6" ht="13.5" customHeight="1">
      <c r="A14" s="463" t="s">
        <v>552</v>
      </c>
      <c r="B14" s="559" t="s">
        <v>553</v>
      </c>
      <c r="C14" s="543"/>
      <c r="D14" s="464">
        <v>0</v>
      </c>
      <c r="E14" s="465">
        <v>0</v>
      </c>
    </row>
    <row r="15" spans="1:6" ht="13.5" customHeight="1">
      <c r="A15" s="463" t="s">
        <v>554</v>
      </c>
      <c r="B15" s="559" t="s">
        <v>555</v>
      </c>
      <c r="C15" s="543"/>
      <c r="D15" s="464">
        <v>0</v>
      </c>
      <c r="E15" s="465">
        <v>1000000000</v>
      </c>
    </row>
    <row r="16" spans="1:6" s="456" customFormat="1" ht="13.5" customHeight="1">
      <c r="A16" s="466" t="s">
        <v>556</v>
      </c>
      <c r="B16" s="543" t="s">
        <v>557</v>
      </c>
      <c r="C16" s="542" t="s">
        <v>820</v>
      </c>
      <c r="D16" s="467">
        <f>SUM(D17:D24)</f>
        <v>23331079161</v>
      </c>
      <c r="E16" s="468">
        <f>SUM(E17:E24)</f>
        <v>20785193612</v>
      </c>
    </row>
    <row r="17" spans="1:5" ht="13.5" customHeight="1">
      <c r="A17" s="463" t="s">
        <v>558</v>
      </c>
      <c r="B17" s="559" t="s">
        <v>559</v>
      </c>
      <c r="C17" s="543"/>
      <c r="D17" s="464">
        <v>16867276073</v>
      </c>
      <c r="E17" s="465">
        <v>18338725102</v>
      </c>
    </row>
    <row r="18" spans="1:5" ht="13.5" customHeight="1">
      <c r="A18" s="463" t="s">
        <v>560</v>
      </c>
      <c r="B18" s="559" t="s">
        <v>561</v>
      </c>
      <c r="C18" s="543"/>
      <c r="D18" s="464">
        <v>445790973</v>
      </c>
      <c r="E18" s="465">
        <v>176777636</v>
      </c>
    </row>
    <row r="19" spans="1:5" ht="13.5" customHeight="1">
      <c r="A19" s="463" t="s">
        <v>562</v>
      </c>
      <c r="B19" s="559" t="s">
        <v>563</v>
      </c>
      <c r="C19" s="543"/>
      <c r="D19" s="464">
        <v>0</v>
      </c>
      <c r="E19" s="465">
        <v>0</v>
      </c>
    </row>
    <row r="20" spans="1:5" ht="13.5" customHeight="1">
      <c r="A20" s="463" t="s">
        <v>564</v>
      </c>
      <c r="B20" s="559" t="s">
        <v>565</v>
      </c>
      <c r="C20" s="543"/>
      <c r="D20" s="464">
        <v>0</v>
      </c>
      <c r="E20" s="465">
        <v>0</v>
      </c>
    </row>
    <row r="21" spans="1:5" ht="13.5" customHeight="1">
      <c r="A21" s="463" t="s">
        <v>566</v>
      </c>
      <c r="B21" s="559" t="s">
        <v>568</v>
      </c>
      <c r="C21" s="543"/>
      <c r="D21" s="464">
        <v>0</v>
      </c>
      <c r="E21" s="465">
        <v>0</v>
      </c>
    </row>
    <row r="22" spans="1:5" ht="13.5" customHeight="1">
      <c r="A22" s="463" t="s">
        <v>569</v>
      </c>
      <c r="B22" s="559" t="s">
        <v>570</v>
      </c>
      <c r="C22" s="543"/>
      <c r="D22" s="464">
        <v>6880234623</v>
      </c>
      <c r="E22" s="465">
        <v>3131913382</v>
      </c>
    </row>
    <row r="23" spans="1:5" ht="13.5" customHeight="1">
      <c r="A23" s="463" t="s">
        <v>571</v>
      </c>
      <c r="B23" s="559" t="s">
        <v>572</v>
      </c>
      <c r="C23" s="543"/>
      <c r="D23" s="464">
        <v>-862222508</v>
      </c>
      <c r="E23" s="465">
        <v>-862222508</v>
      </c>
    </row>
    <row r="24" spans="1:5" ht="13.5" customHeight="1">
      <c r="A24" s="463" t="s">
        <v>573</v>
      </c>
      <c r="B24" s="559" t="s">
        <v>574</v>
      </c>
      <c r="C24" s="543"/>
      <c r="D24" s="464">
        <v>0</v>
      </c>
      <c r="E24" s="465">
        <v>0</v>
      </c>
    </row>
    <row r="25" spans="1:5" s="456" customFormat="1" ht="13.5" customHeight="1">
      <c r="A25" s="466" t="s">
        <v>575</v>
      </c>
      <c r="B25" s="543" t="s">
        <v>576</v>
      </c>
      <c r="C25" s="554"/>
      <c r="D25" s="467">
        <f>SUM(D26:D27)</f>
        <v>10336591619</v>
      </c>
      <c r="E25" s="468">
        <f>SUM(E26:E27)</f>
        <v>4623881600</v>
      </c>
    </row>
    <row r="26" spans="1:5" ht="13.5" customHeight="1">
      <c r="A26" s="463" t="s">
        <v>577</v>
      </c>
      <c r="B26" s="559" t="s">
        <v>578</v>
      </c>
      <c r="C26" s="542" t="s">
        <v>821</v>
      </c>
      <c r="D26" s="464">
        <v>10409553377</v>
      </c>
      <c r="E26" s="465">
        <v>4696843358</v>
      </c>
    </row>
    <row r="27" spans="1:5" ht="15" customHeight="1">
      <c r="A27" s="463" t="s">
        <v>579</v>
      </c>
      <c r="B27" s="559" t="s">
        <v>580</v>
      </c>
      <c r="C27" s="543"/>
      <c r="D27" s="464">
        <v>-72961758</v>
      </c>
      <c r="E27" s="465">
        <v>-72961758</v>
      </c>
    </row>
    <row r="28" spans="1:5" s="456" customFormat="1" ht="13.5" customHeight="1">
      <c r="A28" s="466" t="s">
        <v>581</v>
      </c>
      <c r="B28" s="543" t="s">
        <v>582</v>
      </c>
      <c r="C28" s="543"/>
      <c r="D28" s="467">
        <f>SUM(D29:D32)</f>
        <v>244869914</v>
      </c>
      <c r="E28" s="468">
        <f>SUM(E29:E32)</f>
        <v>0</v>
      </c>
    </row>
    <row r="29" spans="1:5" ht="13.5" customHeight="1">
      <c r="A29" s="463" t="s">
        <v>583</v>
      </c>
      <c r="B29" s="559" t="s">
        <v>584</v>
      </c>
      <c r="C29" s="542" t="s">
        <v>822</v>
      </c>
      <c r="D29" s="464">
        <v>244869914</v>
      </c>
      <c r="E29" s="465">
        <v>0</v>
      </c>
    </row>
    <row r="30" spans="1:5" ht="13.5" customHeight="1">
      <c r="A30" s="463" t="s">
        <v>585</v>
      </c>
      <c r="B30" s="559" t="s">
        <v>586</v>
      </c>
      <c r="C30" s="543"/>
      <c r="D30" s="464">
        <v>0</v>
      </c>
      <c r="E30" s="465">
        <v>0</v>
      </c>
    </row>
    <row r="31" spans="1:5" ht="14.25" customHeight="1">
      <c r="A31" s="463" t="s">
        <v>587</v>
      </c>
      <c r="B31" s="559" t="s">
        <v>588</v>
      </c>
      <c r="C31" s="543"/>
      <c r="D31" s="464"/>
      <c r="E31" s="465">
        <v>0</v>
      </c>
    </row>
    <row r="32" spans="1:5" ht="13.5" customHeight="1">
      <c r="A32" s="463" t="s">
        <v>589</v>
      </c>
      <c r="B32" s="559" t="s">
        <v>590</v>
      </c>
      <c r="C32" s="543"/>
      <c r="D32" s="464">
        <v>0</v>
      </c>
      <c r="E32" s="465">
        <v>0</v>
      </c>
    </row>
    <row r="33" spans="1:6" s="456" customFormat="1" ht="13.5" customHeight="1">
      <c r="A33" s="466" t="s">
        <v>591</v>
      </c>
      <c r="B33" s="543" t="s">
        <v>592</v>
      </c>
      <c r="C33" s="543"/>
      <c r="D33" s="467">
        <f>D34+D42+D46+D49+D52+D58</f>
        <v>2151154345</v>
      </c>
      <c r="E33" s="468">
        <f>E34+E42+E46+E49+E52+E58</f>
        <v>2288795863</v>
      </c>
    </row>
    <row r="34" spans="1:6" s="456" customFormat="1" ht="13.5" customHeight="1">
      <c r="A34" s="466" t="s">
        <v>593</v>
      </c>
      <c r="B34" s="543" t="s">
        <v>594</v>
      </c>
      <c r="C34" s="543"/>
      <c r="D34" s="467">
        <f>SUM(D35:D41)</f>
        <v>0</v>
      </c>
      <c r="E34" s="468">
        <v>0</v>
      </c>
    </row>
    <row r="35" spans="1:6" ht="13.5" hidden="1" customHeight="1">
      <c r="A35" s="463" t="s">
        <v>595</v>
      </c>
      <c r="B35" s="559" t="s">
        <v>596</v>
      </c>
      <c r="C35" s="543"/>
      <c r="D35" s="464">
        <v>0</v>
      </c>
      <c r="E35" s="465">
        <v>0</v>
      </c>
    </row>
    <row r="36" spans="1:6" ht="13.5" hidden="1" customHeight="1">
      <c r="A36" s="463" t="s">
        <v>597</v>
      </c>
      <c r="B36" s="559" t="s">
        <v>598</v>
      </c>
      <c r="C36" s="543"/>
      <c r="D36" s="464">
        <v>0</v>
      </c>
      <c r="E36" s="465">
        <v>0</v>
      </c>
      <c r="F36" s="457">
        <f>F37</f>
        <v>0</v>
      </c>
    </row>
    <row r="37" spans="1:6" ht="13.5" hidden="1" customHeight="1">
      <c r="A37" s="463" t="s">
        <v>599</v>
      </c>
      <c r="B37" s="559" t="s">
        <v>600</v>
      </c>
      <c r="C37" s="543"/>
      <c r="D37" s="464">
        <v>0</v>
      </c>
      <c r="E37" s="465">
        <v>0</v>
      </c>
    </row>
    <row r="38" spans="1:6" ht="13.5" hidden="1" customHeight="1">
      <c r="A38" s="463" t="s">
        <v>601</v>
      </c>
      <c r="B38" s="559" t="s">
        <v>602</v>
      </c>
      <c r="C38" s="543"/>
      <c r="D38" s="464">
        <v>0</v>
      </c>
      <c r="E38" s="465">
        <v>0</v>
      </c>
    </row>
    <row r="39" spans="1:6" ht="13.5" hidden="1" customHeight="1">
      <c r="A39" s="463" t="s">
        <v>603</v>
      </c>
      <c r="B39" s="559" t="s">
        <v>604</v>
      </c>
      <c r="C39" s="543"/>
      <c r="D39" s="464">
        <v>0</v>
      </c>
      <c r="E39" s="465">
        <v>0</v>
      </c>
    </row>
    <row r="40" spans="1:6" ht="13.5" hidden="1" customHeight="1">
      <c r="A40" s="463" t="s">
        <v>605</v>
      </c>
      <c r="B40" s="559" t="s">
        <v>606</v>
      </c>
      <c r="C40" s="543"/>
      <c r="D40" s="464">
        <v>0</v>
      </c>
      <c r="E40" s="465">
        <v>0</v>
      </c>
    </row>
    <row r="41" spans="1:6" ht="13.5" hidden="1" customHeight="1">
      <c r="A41" s="463" t="s">
        <v>607</v>
      </c>
      <c r="B41" s="559" t="s">
        <v>608</v>
      </c>
      <c r="C41" s="543"/>
      <c r="D41" s="464">
        <v>0</v>
      </c>
      <c r="E41" s="465">
        <v>0</v>
      </c>
    </row>
    <row r="42" spans="1:6" s="456" customFormat="1" ht="13.5" customHeight="1">
      <c r="A42" s="466" t="s">
        <v>609</v>
      </c>
      <c r="B42" s="543" t="s">
        <v>610</v>
      </c>
      <c r="C42" s="542" t="s">
        <v>823</v>
      </c>
      <c r="D42" s="467">
        <f>D43</f>
        <v>1758804569</v>
      </c>
      <c r="E42" s="468">
        <f>E43</f>
        <v>1857557124</v>
      </c>
    </row>
    <row r="43" spans="1:6" ht="13.5" customHeight="1">
      <c r="A43" s="463" t="s">
        <v>611</v>
      </c>
      <c r="B43" s="559" t="s">
        <v>612</v>
      </c>
      <c r="C43" s="542"/>
      <c r="D43" s="464">
        <f>SUM(D44:D45)</f>
        <v>1758804569</v>
      </c>
      <c r="E43" s="465">
        <v>1857557124</v>
      </c>
    </row>
    <row r="44" spans="1:6" ht="13.5" customHeight="1">
      <c r="A44" s="463" t="s">
        <v>613</v>
      </c>
      <c r="B44" s="559" t="s">
        <v>614</v>
      </c>
      <c r="C44" s="543"/>
      <c r="D44" s="464">
        <v>9213432803</v>
      </c>
      <c r="E44" s="465">
        <v>9182457839</v>
      </c>
    </row>
    <row r="45" spans="1:6" ht="13.5" customHeight="1">
      <c r="A45" s="463" t="s">
        <v>615</v>
      </c>
      <c r="B45" s="559" t="s">
        <v>616</v>
      </c>
      <c r="C45" s="543"/>
      <c r="D45" s="464">
        <v>-7454628234</v>
      </c>
      <c r="E45" s="465">
        <v>-7324900715</v>
      </c>
    </row>
    <row r="46" spans="1:6" s="456" customFormat="1" ht="13.5" customHeight="1">
      <c r="A46" s="466" t="s">
        <v>617</v>
      </c>
      <c r="B46" s="543" t="s">
        <v>618</v>
      </c>
      <c r="C46" s="543"/>
      <c r="D46" s="467">
        <v>0</v>
      </c>
      <c r="E46" s="468">
        <v>0</v>
      </c>
    </row>
    <row r="47" spans="1:6" ht="13.5" customHeight="1">
      <c r="A47" s="463" t="s">
        <v>613</v>
      </c>
      <c r="B47" s="559" t="s">
        <v>619</v>
      </c>
      <c r="C47" s="543"/>
      <c r="D47" s="464">
        <v>0</v>
      </c>
      <c r="E47" s="465">
        <v>0</v>
      </c>
    </row>
    <row r="48" spans="1:6" ht="13.5" customHeight="1">
      <c r="A48" s="463" t="s">
        <v>615</v>
      </c>
      <c r="B48" s="559" t="s">
        <v>620</v>
      </c>
      <c r="C48" s="543"/>
      <c r="D48" s="464">
        <v>0</v>
      </c>
      <c r="E48" s="465">
        <v>0</v>
      </c>
    </row>
    <row r="49" spans="1:5" s="456" customFormat="1" ht="12.75" customHeight="1">
      <c r="A49" s="466" t="s">
        <v>621</v>
      </c>
      <c r="B49" s="543" t="s">
        <v>622</v>
      </c>
      <c r="C49" s="543"/>
      <c r="D49" s="467">
        <v>0</v>
      </c>
      <c r="E49" s="468">
        <v>0</v>
      </c>
    </row>
    <row r="50" spans="1:5" ht="12.75" customHeight="1">
      <c r="A50" s="463" t="s">
        <v>623</v>
      </c>
      <c r="B50" s="559" t="s">
        <v>624</v>
      </c>
      <c r="C50" s="543"/>
      <c r="D50" s="464">
        <v>0</v>
      </c>
      <c r="E50" s="465">
        <v>0</v>
      </c>
    </row>
    <row r="51" spans="1:5" ht="12.75" customHeight="1">
      <c r="A51" s="463" t="s">
        <v>625</v>
      </c>
      <c r="B51" s="559" t="s">
        <v>626</v>
      </c>
      <c r="C51" s="543"/>
      <c r="D51" s="464">
        <v>0</v>
      </c>
      <c r="E51" s="465">
        <v>0</v>
      </c>
    </row>
    <row r="52" spans="1:5" s="456" customFormat="1" ht="12.75" customHeight="1">
      <c r="A52" s="466" t="s">
        <v>627</v>
      </c>
      <c r="B52" s="543" t="s">
        <v>628</v>
      </c>
      <c r="C52" s="542" t="s">
        <v>824</v>
      </c>
      <c r="D52" s="467">
        <f>SUM(D53:D57)</f>
        <v>239676403</v>
      </c>
      <c r="E52" s="468">
        <f>SUM(E53:E57)</f>
        <v>239676403</v>
      </c>
    </row>
    <row r="53" spans="1:5" ht="12.75" customHeight="1">
      <c r="A53" s="463" t="s">
        <v>629</v>
      </c>
      <c r="B53" s="559" t="s">
        <v>630</v>
      </c>
      <c r="C53" s="543"/>
      <c r="D53" s="464">
        <v>0</v>
      </c>
      <c r="E53" s="465">
        <v>0</v>
      </c>
    </row>
    <row r="54" spans="1:5" ht="12.75" customHeight="1">
      <c r="A54" s="463" t="s">
        <v>631</v>
      </c>
      <c r="B54" s="559" t="s">
        <v>632</v>
      </c>
      <c r="C54" s="543"/>
      <c r="D54" s="464">
        <v>0</v>
      </c>
      <c r="E54" s="465">
        <v>0</v>
      </c>
    </row>
    <row r="55" spans="1:5" ht="12.75" customHeight="1">
      <c r="A55" s="463" t="s">
        <v>633</v>
      </c>
      <c r="B55" s="559" t="s">
        <v>634</v>
      </c>
      <c r="C55" s="543"/>
      <c r="D55" s="464">
        <v>239676403</v>
      </c>
      <c r="E55" s="465">
        <v>239676403</v>
      </c>
    </row>
    <row r="56" spans="1:5" ht="12.75" customHeight="1">
      <c r="A56" s="463" t="s">
        <v>635</v>
      </c>
      <c r="B56" s="559" t="s">
        <v>636</v>
      </c>
      <c r="C56" s="543"/>
      <c r="D56" s="464">
        <v>0</v>
      </c>
      <c r="E56" s="465">
        <v>0</v>
      </c>
    </row>
    <row r="57" spans="1:5" ht="12.75" customHeight="1">
      <c r="A57" s="463" t="s">
        <v>637</v>
      </c>
      <c r="B57" s="559" t="s">
        <v>638</v>
      </c>
      <c r="C57" s="543"/>
      <c r="D57" s="464">
        <v>0</v>
      </c>
      <c r="E57" s="465">
        <v>0</v>
      </c>
    </row>
    <row r="58" spans="1:5" s="456" customFormat="1" ht="12.75" customHeight="1">
      <c r="A58" s="466" t="s">
        <v>639</v>
      </c>
      <c r="B58" s="543" t="s">
        <v>640</v>
      </c>
      <c r="C58" s="543"/>
      <c r="D58" s="467">
        <f>SUM(D59:D62)</f>
        <v>152673373</v>
      </c>
      <c r="E58" s="468">
        <f>SUM(E59:E62)</f>
        <v>191562336</v>
      </c>
    </row>
    <row r="59" spans="1:5" ht="12.75" customHeight="1">
      <c r="A59" s="463" t="s">
        <v>641</v>
      </c>
      <c r="B59" s="559" t="s">
        <v>642</v>
      </c>
      <c r="C59" s="542" t="s">
        <v>825</v>
      </c>
      <c r="D59" s="464">
        <v>152673373</v>
      </c>
      <c r="E59" s="465">
        <v>191562336</v>
      </c>
    </row>
    <row r="60" spans="1:5" ht="12.75" customHeight="1">
      <c r="A60" s="463" t="s">
        <v>643</v>
      </c>
      <c r="B60" s="559" t="s">
        <v>644</v>
      </c>
      <c r="C60" s="543"/>
      <c r="D60" s="464">
        <v>0</v>
      </c>
      <c r="E60" s="465">
        <v>0</v>
      </c>
    </row>
    <row r="61" spans="1:5" ht="12.75" customHeight="1">
      <c r="A61" s="463" t="s">
        <v>645</v>
      </c>
      <c r="B61" s="559" t="s">
        <v>646</v>
      </c>
      <c r="C61" s="543"/>
      <c r="D61" s="464">
        <v>0</v>
      </c>
      <c r="E61" s="465">
        <v>0</v>
      </c>
    </row>
    <row r="62" spans="1:5" ht="12.75" customHeight="1">
      <c r="A62" s="463" t="s">
        <v>647</v>
      </c>
      <c r="B62" s="559" t="s">
        <v>648</v>
      </c>
      <c r="C62" s="543"/>
      <c r="D62" s="464">
        <v>0</v>
      </c>
      <c r="E62" s="465">
        <v>0</v>
      </c>
    </row>
    <row r="63" spans="1:5" s="456" customFormat="1" ht="12.75" customHeight="1" thickBot="1">
      <c r="A63" s="469" t="s">
        <v>649</v>
      </c>
      <c r="B63" s="544" t="s">
        <v>650</v>
      </c>
      <c r="C63" s="544"/>
      <c r="D63" s="470">
        <f>D8+D33</f>
        <v>37419389805</v>
      </c>
      <c r="E63" s="555">
        <f>E8+E33</f>
        <v>30649320906</v>
      </c>
    </row>
    <row r="64" spans="1:5" ht="12.75" customHeight="1">
      <c r="A64" s="473" t="s">
        <v>651</v>
      </c>
      <c r="B64" s="560" t="s">
        <v>567</v>
      </c>
      <c r="C64" s="545"/>
      <c r="D64" s="471">
        <v>0</v>
      </c>
      <c r="E64" s="472">
        <v>0</v>
      </c>
    </row>
    <row r="65" spans="1:5" s="456" customFormat="1" ht="12.75" customHeight="1">
      <c r="A65" s="466" t="s">
        <v>652</v>
      </c>
      <c r="B65" s="543" t="s">
        <v>653</v>
      </c>
      <c r="C65" s="543"/>
      <c r="D65" s="467">
        <f>D66+D81</f>
        <v>20120636983</v>
      </c>
      <c r="E65" s="468">
        <v>12302169377</v>
      </c>
    </row>
    <row r="66" spans="1:5" s="456" customFormat="1" ht="12.75" customHeight="1">
      <c r="A66" s="466" t="s">
        <v>654</v>
      </c>
      <c r="B66" s="543" t="s">
        <v>655</v>
      </c>
      <c r="C66" s="543"/>
      <c r="D66" s="467">
        <f>SUM(D67:D80)</f>
        <v>20120636983</v>
      </c>
      <c r="E66" s="468">
        <f>SUM(E67:E80)</f>
        <v>12302169377</v>
      </c>
    </row>
    <row r="67" spans="1:5" ht="12.75" customHeight="1">
      <c r="A67" s="463" t="s">
        <v>656</v>
      </c>
      <c r="B67" s="559" t="s">
        <v>657</v>
      </c>
      <c r="C67" s="542" t="s">
        <v>826</v>
      </c>
      <c r="D67" s="464">
        <v>1334392966</v>
      </c>
      <c r="E67" s="465">
        <v>223589750</v>
      </c>
    </row>
    <row r="68" spans="1:5" ht="12.75" customHeight="1">
      <c r="A68" s="463" t="s">
        <v>658</v>
      </c>
      <c r="B68" s="559" t="s">
        <v>659</v>
      </c>
      <c r="C68" s="543"/>
      <c r="D68" s="464">
        <v>1811348326</v>
      </c>
      <c r="E68" s="465">
        <v>275255836</v>
      </c>
    </row>
    <row r="69" spans="1:5" ht="12.75" customHeight="1">
      <c r="A69" s="463" t="s">
        <v>660</v>
      </c>
      <c r="B69" s="559" t="s">
        <v>661</v>
      </c>
      <c r="C69" s="542" t="s">
        <v>827</v>
      </c>
      <c r="D69" s="298">
        <v>791434938</v>
      </c>
      <c r="E69" s="465">
        <v>1451569971</v>
      </c>
    </row>
    <row r="70" spans="1:5" ht="12.75" customHeight="1">
      <c r="A70" s="463" t="s">
        <v>662</v>
      </c>
      <c r="B70" s="559" t="s">
        <v>663</v>
      </c>
      <c r="C70" s="543"/>
      <c r="D70" s="464">
        <v>5301730557</v>
      </c>
      <c r="E70" s="465">
        <v>5743704087</v>
      </c>
    </row>
    <row r="71" spans="1:5" ht="12.75" customHeight="1">
      <c r="A71" s="463" t="s">
        <v>664</v>
      </c>
      <c r="B71" s="559" t="s">
        <v>665</v>
      </c>
      <c r="C71" s="542" t="s">
        <v>828</v>
      </c>
      <c r="D71" s="464">
        <v>0</v>
      </c>
      <c r="E71" s="465">
        <v>29280458</v>
      </c>
    </row>
    <row r="72" spans="1:5" ht="12.75" customHeight="1">
      <c r="A72" s="463" t="s">
        <v>666</v>
      </c>
      <c r="B72" s="559" t="s">
        <v>667</v>
      </c>
      <c r="C72" s="543"/>
      <c r="D72" s="464">
        <v>0</v>
      </c>
      <c r="E72" s="465">
        <v>0</v>
      </c>
    </row>
    <row r="73" spans="1:5" ht="12.75" customHeight="1">
      <c r="A73" s="463" t="s">
        <v>668</v>
      </c>
      <c r="B73" s="559" t="s">
        <v>669</v>
      </c>
      <c r="C73" s="543"/>
      <c r="D73" s="464">
        <v>0</v>
      </c>
      <c r="E73" s="465">
        <v>0</v>
      </c>
    </row>
    <row r="74" spans="1:5" ht="12.75" customHeight="1">
      <c r="A74" s="463" t="s">
        <v>670</v>
      </c>
      <c r="B74" s="559" t="s">
        <v>671</v>
      </c>
      <c r="C74" s="543"/>
      <c r="D74" s="464">
        <v>0</v>
      </c>
      <c r="E74" s="465">
        <v>0</v>
      </c>
    </row>
    <row r="75" spans="1:5" ht="12.75" customHeight="1">
      <c r="A75" s="463" t="s">
        <v>672</v>
      </c>
      <c r="B75" s="559" t="s">
        <v>673</v>
      </c>
      <c r="C75" s="542" t="s">
        <v>829</v>
      </c>
      <c r="D75" s="464">
        <v>4520534806</v>
      </c>
      <c r="E75" s="465">
        <v>3119518982</v>
      </c>
    </row>
    <row r="76" spans="1:5" ht="12.75" customHeight="1">
      <c r="A76" s="463" t="s">
        <v>674</v>
      </c>
      <c r="B76" s="559" t="s">
        <v>675</v>
      </c>
      <c r="C76" s="542" t="s">
        <v>830</v>
      </c>
      <c r="D76" s="464">
        <v>4939190823</v>
      </c>
      <c r="E76" s="465">
        <v>0</v>
      </c>
    </row>
    <row r="77" spans="1:5" ht="12.75" customHeight="1">
      <c r="A77" s="463" t="s">
        <v>676</v>
      </c>
      <c r="B77" s="559" t="s">
        <v>677</v>
      </c>
      <c r="C77" s="542" t="s">
        <v>832</v>
      </c>
      <c r="D77" s="464">
        <v>1044809051</v>
      </c>
      <c r="E77" s="465">
        <v>1224443191</v>
      </c>
    </row>
    <row r="78" spans="1:5" ht="12.75" customHeight="1">
      <c r="A78" s="463" t="s">
        <v>678</v>
      </c>
      <c r="B78" s="559" t="s">
        <v>679</v>
      </c>
      <c r="C78" s="543"/>
      <c r="D78" s="464">
        <v>377195516</v>
      </c>
      <c r="E78" s="465">
        <v>234807102</v>
      </c>
    </row>
    <row r="79" spans="1:5" ht="12.75" customHeight="1">
      <c r="A79" s="463" t="s">
        <v>680</v>
      </c>
      <c r="B79" s="559" t="s">
        <v>681</v>
      </c>
      <c r="C79" s="543"/>
      <c r="D79" s="464">
        <v>0</v>
      </c>
      <c r="E79" s="465">
        <v>0</v>
      </c>
    </row>
    <row r="80" spans="1:5" ht="12.75" customHeight="1">
      <c r="A80" s="463" t="s">
        <v>682</v>
      </c>
      <c r="B80" s="559" t="s">
        <v>683</v>
      </c>
      <c r="C80" s="543"/>
      <c r="D80" s="464">
        <v>0</v>
      </c>
      <c r="E80" s="465">
        <v>0</v>
      </c>
    </row>
    <row r="81" spans="1:5" s="456" customFormat="1" ht="12.75" customHeight="1">
      <c r="A81" s="466" t="s">
        <v>684</v>
      </c>
      <c r="B81" s="543" t="s">
        <v>685</v>
      </c>
      <c r="C81" s="543"/>
      <c r="D81" s="467">
        <f>SUM(D82:D94)</f>
        <v>0</v>
      </c>
      <c r="E81" s="468">
        <v>0</v>
      </c>
    </row>
    <row r="82" spans="1:5" ht="12.75" customHeight="1">
      <c r="A82" s="463" t="s">
        <v>686</v>
      </c>
      <c r="B82" s="559" t="s">
        <v>687</v>
      </c>
      <c r="C82" s="543"/>
      <c r="D82" s="464">
        <v>0</v>
      </c>
      <c r="E82" s="465">
        <v>0</v>
      </c>
    </row>
    <row r="83" spans="1:5" ht="12.75" customHeight="1">
      <c r="A83" s="463" t="s">
        <v>688</v>
      </c>
      <c r="B83" s="559" t="s">
        <v>689</v>
      </c>
      <c r="C83" s="543"/>
      <c r="D83" s="464">
        <v>0</v>
      </c>
      <c r="E83" s="465">
        <v>0</v>
      </c>
    </row>
    <row r="84" spans="1:5" ht="12.75" customHeight="1">
      <c r="A84" s="463" t="s">
        <v>690</v>
      </c>
      <c r="B84" s="559" t="s">
        <v>691</v>
      </c>
      <c r="C84" s="543"/>
      <c r="D84" s="464">
        <v>0</v>
      </c>
      <c r="E84" s="465">
        <v>0</v>
      </c>
    </row>
    <row r="85" spans="1:5">
      <c r="A85" s="463" t="s">
        <v>692</v>
      </c>
      <c r="B85" s="559" t="s">
        <v>693</v>
      </c>
      <c r="C85" s="543"/>
      <c r="D85" s="464">
        <v>0</v>
      </c>
      <c r="E85" s="465">
        <v>0</v>
      </c>
    </row>
    <row r="86" spans="1:5">
      <c r="A86" s="463" t="s">
        <v>694</v>
      </c>
      <c r="B86" s="559" t="s">
        <v>695</v>
      </c>
      <c r="C86" s="543"/>
      <c r="D86" s="464">
        <v>0</v>
      </c>
      <c r="E86" s="465">
        <v>0</v>
      </c>
    </row>
    <row r="87" spans="1:5">
      <c r="A87" s="463" t="s">
        <v>696</v>
      </c>
      <c r="B87" s="559" t="s">
        <v>697</v>
      </c>
      <c r="C87" s="543"/>
      <c r="D87" s="464">
        <v>0</v>
      </c>
      <c r="E87" s="465">
        <v>0</v>
      </c>
    </row>
    <row r="88" spans="1:5">
      <c r="A88" s="463" t="s">
        <v>698</v>
      </c>
      <c r="B88" s="559" t="s">
        <v>699</v>
      </c>
      <c r="C88" s="543"/>
      <c r="D88" s="464">
        <v>0</v>
      </c>
      <c r="E88" s="465">
        <v>0</v>
      </c>
    </row>
    <row r="89" spans="1:5">
      <c r="A89" s="463" t="s">
        <v>700</v>
      </c>
      <c r="B89" s="559" t="s">
        <v>701</v>
      </c>
      <c r="C89" s="543"/>
      <c r="D89" s="464">
        <v>0</v>
      </c>
      <c r="E89" s="465">
        <v>0</v>
      </c>
    </row>
    <row r="90" spans="1:5">
      <c r="A90" s="463" t="s">
        <v>702</v>
      </c>
      <c r="B90" s="559" t="s">
        <v>703</v>
      </c>
      <c r="C90" s="543"/>
      <c r="D90" s="464">
        <v>0</v>
      </c>
      <c r="E90" s="465">
        <v>0</v>
      </c>
    </row>
    <row r="91" spans="1:5">
      <c r="A91" s="463" t="s">
        <v>704</v>
      </c>
      <c r="B91" s="559" t="s">
        <v>705</v>
      </c>
      <c r="C91" s="543"/>
      <c r="D91" s="464">
        <v>0</v>
      </c>
      <c r="E91" s="465">
        <v>0</v>
      </c>
    </row>
    <row r="92" spans="1:5">
      <c r="A92" s="463" t="s">
        <v>706</v>
      </c>
      <c r="B92" s="559" t="s">
        <v>707</v>
      </c>
      <c r="C92" s="543"/>
      <c r="D92" s="464">
        <v>0</v>
      </c>
      <c r="E92" s="465">
        <v>0</v>
      </c>
    </row>
    <row r="93" spans="1:5">
      <c r="A93" s="463" t="s">
        <v>708</v>
      </c>
      <c r="B93" s="559" t="s">
        <v>709</v>
      </c>
      <c r="C93" s="543"/>
      <c r="D93" s="464">
        <v>0</v>
      </c>
      <c r="E93" s="465">
        <v>0</v>
      </c>
    </row>
    <row r="94" spans="1:5">
      <c r="A94" s="463" t="s">
        <v>710</v>
      </c>
      <c r="B94" s="559" t="s">
        <v>711</v>
      </c>
      <c r="C94" s="543"/>
      <c r="D94" s="464">
        <v>0</v>
      </c>
      <c r="E94" s="465">
        <v>0</v>
      </c>
    </row>
    <row r="95" spans="1:5" s="456" customFormat="1">
      <c r="A95" s="466" t="s">
        <v>712</v>
      </c>
      <c r="B95" s="543" t="s">
        <v>713</v>
      </c>
      <c r="C95" s="543"/>
      <c r="D95" s="467">
        <f>D96+D113</f>
        <v>17298752822</v>
      </c>
      <c r="E95" s="468">
        <f>E96+E113</f>
        <v>18347151529</v>
      </c>
    </row>
    <row r="96" spans="1:5" s="456" customFormat="1">
      <c r="A96" s="466" t="s">
        <v>714</v>
      </c>
      <c r="B96" s="543" t="s">
        <v>715</v>
      </c>
      <c r="C96" s="543"/>
      <c r="D96" s="467">
        <f>D97+D100+D101+D102+D103+D104+D105+D106+D107+D108+D109</f>
        <v>17298752822</v>
      </c>
      <c r="E96" s="468">
        <f>E97+E100+E101+E102+E103+E104+E105+E106+E107+E108+E109</f>
        <v>18347151529</v>
      </c>
    </row>
    <row r="97" spans="1:5">
      <c r="A97" s="463" t="s">
        <v>716</v>
      </c>
      <c r="B97" s="559" t="s">
        <v>717</v>
      </c>
      <c r="C97" s="542" t="s">
        <v>841</v>
      </c>
      <c r="D97" s="464">
        <v>13197100000</v>
      </c>
      <c r="E97" s="465">
        <v>13197100000</v>
      </c>
    </row>
    <row r="98" spans="1:5">
      <c r="A98" s="463" t="s">
        <v>718</v>
      </c>
      <c r="B98" s="559" t="s">
        <v>719</v>
      </c>
      <c r="C98" s="543"/>
      <c r="D98" s="464">
        <v>0</v>
      </c>
      <c r="E98" s="465">
        <v>0</v>
      </c>
    </row>
    <row r="99" spans="1:5">
      <c r="A99" s="463" t="s">
        <v>720</v>
      </c>
      <c r="B99" s="559" t="s">
        <v>721</v>
      </c>
      <c r="C99" s="543"/>
      <c r="D99" s="464">
        <v>13197100000</v>
      </c>
      <c r="E99" s="465">
        <v>13197100000</v>
      </c>
    </row>
    <row r="100" spans="1:5">
      <c r="A100" s="463" t="s">
        <v>722</v>
      </c>
      <c r="B100" s="559" t="s">
        <v>723</v>
      </c>
      <c r="C100" s="543"/>
      <c r="D100" s="464">
        <v>8860000</v>
      </c>
      <c r="E100" s="465">
        <v>8860000</v>
      </c>
    </row>
    <row r="101" spans="1:5" hidden="1">
      <c r="A101" s="463" t="s">
        <v>724</v>
      </c>
      <c r="B101" s="559" t="s">
        <v>725</v>
      </c>
      <c r="C101" s="543"/>
      <c r="D101" s="464">
        <v>0</v>
      </c>
      <c r="E101" s="465">
        <v>0</v>
      </c>
    </row>
    <row r="102" spans="1:5" hidden="1">
      <c r="A102" s="463" t="s">
        <v>726</v>
      </c>
      <c r="B102" s="559" t="s">
        <v>727</v>
      </c>
      <c r="C102" s="543"/>
      <c r="D102" s="464">
        <v>0</v>
      </c>
      <c r="E102" s="465">
        <v>0</v>
      </c>
    </row>
    <row r="103" spans="1:5" hidden="1">
      <c r="A103" s="463" t="s">
        <v>728</v>
      </c>
      <c r="B103" s="559" t="s">
        <v>729</v>
      </c>
      <c r="C103" s="543"/>
      <c r="D103" s="464">
        <v>0</v>
      </c>
      <c r="E103" s="465">
        <v>0</v>
      </c>
    </row>
    <row r="104" spans="1:5" hidden="1">
      <c r="A104" s="463" t="s">
        <v>730</v>
      </c>
      <c r="B104" s="559" t="s">
        <v>731</v>
      </c>
      <c r="C104" s="543"/>
      <c r="D104" s="464">
        <v>0</v>
      </c>
      <c r="E104" s="465">
        <v>0</v>
      </c>
    </row>
    <row r="105" spans="1:5" hidden="1">
      <c r="A105" s="463" t="s">
        <v>732</v>
      </c>
      <c r="B105" s="559" t="s">
        <v>733</v>
      </c>
      <c r="C105" s="543"/>
      <c r="D105" s="464">
        <v>0</v>
      </c>
      <c r="E105" s="465">
        <v>0</v>
      </c>
    </row>
    <row r="106" spans="1:5">
      <c r="A106" s="463" t="s">
        <v>734</v>
      </c>
      <c r="B106" s="559" t="s">
        <v>735</v>
      </c>
      <c r="C106" s="542" t="s">
        <v>842</v>
      </c>
      <c r="D106" s="464">
        <v>2018696693</v>
      </c>
      <c r="E106" s="465">
        <v>1854354860</v>
      </c>
    </row>
    <row r="107" spans="1:5">
      <c r="A107" s="463" t="s">
        <v>736</v>
      </c>
      <c r="B107" s="559" t="s">
        <v>737</v>
      </c>
      <c r="C107" s="543"/>
      <c r="D107" s="464">
        <v>0</v>
      </c>
      <c r="E107" s="465">
        <v>0</v>
      </c>
    </row>
    <row r="108" spans="1:5">
      <c r="A108" s="463" t="s">
        <v>738</v>
      </c>
      <c r="B108" s="559" t="s">
        <v>739</v>
      </c>
      <c r="C108" s="543"/>
      <c r="D108" s="464">
        <v>0</v>
      </c>
      <c r="E108" s="465">
        <v>0</v>
      </c>
    </row>
    <row r="109" spans="1:5">
      <c r="A109" s="463" t="s">
        <v>740</v>
      </c>
      <c r="B109" s="559" t="s">
        <v>741</v>
      </c>
      <c r="C109" s="543"/>
      <c r="D109" s="464">
        <v>2074096129</v>
      </c>
      <c r="E109" s="465">
        <v>3286836669</v>
      </c>
    </row>
    <row r="110" spans="1:5">
      <c r="A110" s="463" t="s">
        <v>742</v>
      </c>
      <c r="B110" s="559" t="s">
        <v>743</v>
      </c>
      <c r="C110" s="543"/>
      <c r="D110" s="464">
        <v>0</v>
      </c>
      <c r="E110" s="465">
        <v>587942</v>
      </c>
    </row>
    <row r="111" spans="1:5">
      <c r="A111" s="463" t="s">
        <v>744</v>
      </c>
      <c r="B111" s="559" t="s">
        <v>745</v>
      </c>
      <c r="C111" s="543"/>
      <c r="D111" s="464">
        <v>2074096129</v>
      </c>
      <c r="E111" s="465">
        <v>3286248727</v>
      </c>
    </row>
    <row r="112" spans="1:5">
      <c r="A112" s="463" t="s">
        <v>746</v>
      </c>
      <c r="B112" s="559" t="s">
        <v>747</v>
      </c>
      <c r="C112" s="543"/>
      <c r="D112" s="464">
        <v>0</v>
      </c>
      <c r="E112" s="465">
        <v>0</v>
      </c>
    </row>
    <row r="113" spans="1:5" s="456" customFormat="1">
      <c r="A113" s="466" t="s">
        <v>748</v>
      </c>
      <c r="B113" s="543" t="s">
        <v>749</v>
      </c>
      <c r="C113" s="543"/>
      <c r="D113" s="467">
        <v>0</v>
      </c>
      <c r="E113" s="468">
        <v>0</v>
      </c>
    </row>
    <row r="114" spans="1:5">
      <c r="A114" s="463" t="s">
        <v>750</v>
      </c>
      <c r="B114" s="559" t="s">
        <v>751</v>
      </c>
      <c r="C114" s="543"/>
      <c r="D114" s="464">
        <v>0</v>
      </c>
      <c r="E114" s="465">
        <v>0</v>
      </c>
    </row>
    <row r="115" spans="1:5">
      <c r="A115" s="463" t="s">
        <v>752</v>
      </c>
      <c r="B115" s="559" t="s">
        <v>753</v>
      </c>
      <c r="C115" s="543"/>
      <c r="D115" s="464">
        <v>0</v>
      </c>
      <c r="E115" s="465">
        <v>0</v>
      </c>
    </row>
    <row r="116" spans="1:5" s="456" customFormat="1" ht="13.5" thickBot="1">
      <c r="A116" s="469" t="s">
        <v>754</v>
      </c>
      <c r="B116" s="544" t="s">
        <v>755</v>
      </c>
      <c r="C116" s="544"/>
      <c r="D116" s="470">
        <f>D65+D95</f>
        <v>37419389805</v>
      </c>
      <c r="E116" s="555">
        <f>E65+E95</f>
        <v>30649320906</v>
      </c>
    </row>
    <row r="117" spans="1:5">
      <c r="E117" s="238"/>
    </row>
    <row r="118" spans="1:5" s="2" customFormat="1" ht="15.75">
      <c r="B118" s="601" t="s">
        <v>856</v>
      </c>
      <c r="C118" s="601"/>
      <c r="D118" s="601"/>
      <c r="E118" s="601"/>
    </row>
    <row r="119" spans="1:5" s="240" customFormat="1" ht="17.25">
      <c r="A119" s="239" t="s">
        <v>318</v>
      </c>
      <c r="B119" s="602" t="s">
        <v>319</v>
      </c>
      <c r="C119" s="602"/>
      <c r="D119" s="602"/>
      <c r="E119" s="602"/>
    </row>
    <row r="120" spans="1:5" s="2" customFormat="1">
      <c r="B120" s="205"/>
      <c r="C120" s="546"/>
      <c r="D120" s="241"/>
      <c r="E120" s="242"/>
    </row>
    <row r="121" spans="1:5">
      <c r="E121" s="238"/>
    </row>
    <row r="122" spans="1:5">
      <c r="E122" s="238"/>
    </row>
    <row r="125" spans="1:5" ht="15.75">
      <c r="A125" s="243" t="s">
        <v>320</v>
      </c>
    </row>
  </sheetData>
  <mergeCells count="4">
    <mergeCell ref="A4:E4"/>
    <mergeCell ref="A5:E5"/>
    <mergeCell ref="B118:E118"/>
    <mergeCell ref="B119:E119"/>
  </mergeCells>
  <phoneticPr fontId="18" type="noConversion"/>
  <pageMargins left="0.68" right="0.25" top="0.3" bottom="0.16" header="0.35" footer="0.2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49"/>
  <sheetViews>
    <sheetView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B19" sqref="B19:B56"/>
    </sheetView>
  </sheetViews>
  <sheetFormatPr defaultRowHeight="12"/>
  <cols>
    <col min="1" max="1" width="1.42578125" style="54" customWidth="1"/>
    <col min="2" max="2" width="26" style="161" customWidth="1"/>
    <col min="3" max="3" width="9.5703125" style="54" customWidth="1"/>
    <col min="4" max="4" width="11.7109375" style="54" hidden="1" customWidth="1"/>
    <col min="5" max="5" width="12.42578125" style="54" hidden="1" customWidth="1"/>
    <col min="6" max="6" width="11" style="54" hidden="1" customWidth="1"/>
    <col min="7" max="7" width="9.7109375" style="54" customWidth="1"/>
    <col min="8" max="8" width="0.140625" style="54" customWidth="1"/>
    <col min="9" max="9" width="10.5703125" style="54" customWidth="1"/>
    <col min="10" max="10" width="10.7109375" style="54" hidden="1" customWidth="1"/>
    <col min="11" max="11" width="0.28515625" style="54" hidden="1" customWidth="1"/>
    <col min="12" max="12" width="10.5703125" style="54" customWidth="1"/>
    <col min="13" max="13" width="10" style="54" hidden="1" customWidth="1"/>
    <col min="14" max="14" width="9.5703125" style="54" hidden="1" customWidth="1"/>
    <col min="15" max="15" width="0.140625" style="54" customWidth="1"/>
    <col min="16" max="16" width="10" style="54" hidden="1" customWidth="1"/>
    <col min="17" max="17" width="10.140625" style="54" customWidth="1"/>
    <col min="18" max="18" width="9.5703125" style="54" customWidth="1"/>
    <col min="19" max="19" width="9" style="54" hidden="1" customWidth="1"/>
    <col min="20" max="20" width="8.85546875" style="54" hidden="1" customWidth="1"/>
    <col min="21" max="21" width="9.5703125" style="54" customWidth="1"/>
    <col min="22" max="22" width="9.5703125" style="54" hidden="1" customWidth="1"/>
    <col min="23" max="23" width="9.7109375" style="54" customWidth="1"/>
    <col min="24" max="24" width="9.5703125" style="54" hidden="1" customWidth="1"/>
    <col min="25" max="25" width="9.7109375" style="54" hidden="1" customWidth="1"/>
    <col min="26" max="26" width="9.7109375" style="54" customWidth="1"/>
    <col min="27" max="27" width="10.140625" style="54" hidden="1" customWidth="1"/>
    <col min="28" max="28" width="9.85546875" style="54" hidden="1" customWidth="1"/>
    <col min="29" max="29" width="9.5703125" style="54" hidden="1" customWidth="1"/>
    <col min="30" max="30" width="10" style="54" customWidth="1"/>
    <col min="31" max="31" width="0.28515625" style="54" hidden="1" customWidth="1"/>
    <col min="32" max="32" width="9.7109375" style="54" customWidth="1"/>
    <col min="33" max="33" width="7.7109375" style="54" customWidth="1"/>
    <col min="34" max="34" width="9.5703125" style="54" customWidth="1"/>
    <col min="35" max="35" width="10.7109375" style="54" customWidth="1"/>
    <col min="36" max="36" width="0.140625" style="54" hidden="1" customWidth="1"/>
    <col min="37" max="37" width="9.28515625" style="54" hidden="1" customWidth="1"/>
    <col min="38" max="38" width="8.85546875" style="54" customWidth="1"/>
    <col min="39" max="39" width="0.140625" style="54" hidden="1" customWidth="1"/>
    <col min="40" max="40" width="10.5703125" style="54" hidden="1" customWidth="1"/>
    <col min="41" max="41" width="10.42578125" style="54" customWidth="1"/>
    <col min="42" max="42" width="11.85546875" style="54" customWidth="1"/>
    <col min="43" max="43" width="11.5703125" style="54" customWidth="1"/>
    <col min="44" max="44" width="9.140625" style="54"/>
    <col min="45" max="45" width="15" style="54" customWidth="1"/>
    <col min="46" max="16384" width="9.140625" style="54"/>
  </cols>
  <sheetData>
    <row r="1" spans="1:55" ht="18" customHeight="1">
      <c r="A1" s="770" t="s">
        <v>58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</row>
    <row r="2" spans="1:55" ht="13.5" customHeight="1">
      <c r="A2" s="772" t="s">
        <v>59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</row>
    <row r="3" spans="1:55" ht="12.75" customHeight="1">
      <c r="A3" s="55" t="s">
        <v>45</v>
      </c>
      <c r="B3" s="152" t="s">
        <v>60</v>
      </c>
      <c r="C3" s="767" t="s">
        <v>61</v>
      </c>
      <c r="D3" s="765"/>
      <c r="E3" s="766"/>
      <c r="F3" s="767" t="s">
        <v>62</v>
      </c>
      <c r="G3" s="768"/>
      <c r="H3" s="769"/>
      <c r="I3" s="764">
        <v>6272</v>
      </c>
      <c r="J3" s="765"/>
      <c r="K3" s="766"/>
      <c r="L3" s="764">
        <v>6273</v>
      </c>
      <c r="M3" s="765"/>
      <c r="N3" s="766"/>
      <c r="O3" s="764">
        <v>6274</v>
      </c>
      <c r="P3" s="765"/>
      <c r="Q3" s="766"/>
      <c r="R3" s="56">
        <v>62771</v>
      </c>
      <c r="S3" s="57">
        <v>62772</v>
      </c>
      <c r="T3" s="57">
        <v>62773</v>
      </c>
      <c r="U3" s="57">
        <v>62774</v>
      </c>
      <c r="V3" s="58" t="s">
        <v>63</v>
      </c>
      <c r="W3" s="764">
        <v>62776</v>
      </c>
      <c r="X3" s="765"/>
      <c r="Y3" s="766"/>
      <c r="Z3" s="764">
        <v>62778</v>
      </c>
      <c r="AA3" s="765"/>
      <c r="AB3" s="766"/>
      <c r="AC3" s="59" t="s">
        <v>64</v>
      </c>
      <c r="AD3" s="56">
        <v>62781</v>
      </c>
      <c r="AE3" s="56">
        <v>62782</v>
      </c>
      <c r="AF3" s="56">
        <v>62785</v>
      </c>
      <c r="AG3" s="56">
        <v>62786</v>
      </c>
      <c r="AH3" s="56">
        <v>62787</v>
      </c>
      <c r="AI3" s="764">
        <v>62788</v>
      </c>
      <c r="AJ3" s="765"/>
      <c r="AK3" s="766"/>
      <c r="AL3" s="764">
        <v>62789</v>
      </c>
      <c r="AM3" s="765"/>
      <c r="AN3" s="766"/>
      <c r="AO3" s="56">
        <v>6279</v>
      </c>
      <c r="AP3" s="60" t="s">
        <v>65</v>
      </c>
    </row>
    <row r="4" spans="1:55">
      <c r="A4" s="61"/>
      <c r="B4" s="153"/>
      <c r="C4" s="62" t="s">
        <v>66</v>
      </c>
      <c r="D4" s="62" t="s">
        <v>67</v>
      </c>
      <c r="E4" s="63" t="s">
        <v>51</v>
      </c>
      <c r="F4" s="62" t="s">
        <v>66</v>
      </c>
      <c r="G4" s="62" t="s">
        <v>67</v>
      </c>
      <c r="H4" s="63" t="s">
        <v>51</v>
      </c>
      <c r="I4" s="64" t="s">
        <v>66</v>
      </c>
      <c r="J4" s="64" t="s">
        <v>67</v>
      </c>
      <c r="K4" s="65" t="s">
        <v>68</v>
      </c>
      <c r="L4" s="64" t="s">
        <v>66</v>
      </c>
      <c r="M4" s="64" t="s">
        <v>67</v>
      </c>
      <c r="N4" s="65" t="s">
        <v>68</v>
      </c>
      <c r="O4" s="64" t="s">
        <v>66</v>
      </c>
      <c r="P4" s="64" t="s">
        <v>67</v>
      </c>
      <c r="Q4" s="65" t="s">
        <v>68</v>
      </c>
      <c r="R4" s="66" t="s">
        <v>69</v>
      </c>
      <c r="S4" s="66" t="s">
        <v>66</v>
      </c>
      <c r="T4" s="61"/>
      <c r="U4" s="62" t="s">
        <v>66</v>
      </c>
      <c r="V4" s="62"/>
      <c r="W4" s="67" t="s">
        <v>66</v>
      </c>
      <c r="X4" s="67" t="s">
        <v>67</v>
      </c>
      <c r="Y4" s="68" t="s">
        <v>68</v>
      </c>
      <c r="Z4" s="67" t="s">
        <v>66</v>
      </c>
      <c r="AA4" s="67" t="s">
        <v>67</v>
      </c>
      <c r="AB4" s="67" t="s">
        <v>68</v>
      </c>
      <c r="AC4" s="69"/>
      <c r="AD4" s="62" t="s">
        <v>70</v>
      </c>
      <c r="AE4" s="62"/>
      <c r="AF4" s="61"/>
      <c r="AG4" s="62" t="s">
        <v>66</v>
      </c>
      <c r="AH4" s="62" t="s">
        <v>66</v>
      </c>
      <c r="AI4" s="64" t="s">
        <v>66</v>
      </c>
      <c r="AJ4" s="64" t="s">
        <v>67</v>
      </c>
      <c r="AK4" s="65" t="s">
        <v>68</v>
      </c>
      <c r="AL4" s="62" t="s">
        <v>71</v>
      </c>
      <c r="AM4" s="62" t="s">
        <v>72</v>
      </c>
      <c r="AN4" s="61"/>
      <c r="AO4" s="61"/>
      <c r="AP4" s="61"/>
    </row>
    <row r="5" spans="1:55" s="73" customFormat="1" ht="15.75" customHeight="1">
      <c r="A5" s="70"/>
      <c r="B5" s="154"/>
      <c r="C5" s="71">
        <f t="shared" ref="C5:AQ5" si="0">C6+C17+C18</f>
        <v>78150000</v>
      </c>
      <c r="D5" s="71">
        <f t="shared" si="0"/>
        <v>0</v>
      </c>
      <c r="E5" s="71">
        <f t="shared" si="0"/>
        <v>0</v>
      </c>
      <c r="F5" s="71">
        <f t="shared" si="0"/>
        <v>0</v>
      </c>
      <c r="G5" s="71">
        <f t="shared" si="0"/>
        <v>18482570.173388977</v>
      </c>
      <c r="H5" s="71">
        <f t="shared" si="0"/>
        <v>0</v>
      </c>
      <c r="I5" s="71">
        <f t="shared" si="0"/>
        <v>198529999</v>
      </c>
      <c r="J5" s="71">
        <f t="shared" si="0"/>
        <v>0</v>
      </c>
      <c r="K5" s="71">
        <f t="shared" si="0"/>
        <v>0</v>
      </c>
      <c r="L5" s="71">
        <f t="shared" si="0"/>
        <v>124989279</v>
      </c>
      <c r="M5" s="71">
        <f t="shared" si="0"/>
        <v>0</v>
      </c>
      <c r="N5" s="71">
        <f t="shared" si="0"/>
        <v>0</v>
      </c>
      <c r="O5" s="71">
        <f t="shared" si="0"/>
        <v>22479492</v>
      </c>
      <c r="P5" s="71">
        <f t="shared" si="0"/>
        <v>12518731.94810136</v>
      </c>
      <c r="Q5" s="71">
        <f t="shared" si="0"/>
        <v>34998223.948101357</v>
      </c>
      <c r="R5" s="71">
        <f t="shared" si="0"/>
        <v>21283845.720889997</v>
      </c>
      <c r="S5" s="71">
        <f t="shared" si="0"/>
        <v>0</v>
      </c>
      <c r="T5" s="71">
        <f t="shared" si="0"/>
        <v>0</v>
      </c>
      <c r="U5" s="71">
        <f t="shared" si="0"/>
        <v>38700000</v>
      </c>
      <c r="V5" s="71">
        <f t="shared" si="0"/>
        <v>0</v>
      </c>
      <c r="W5" s="71">
        <f t="shared" si="0"/>
        <v>16117273</v>
      </c>
      <c r="X5" s="71">
        <f t="shared" si="0"/>
        <v>0</v>
      </c>
      <c r="Y5" s="71">
        <f t="shared" si="0"/>
        <v>0</v>
      </c>
      <c r="Z5" s="71">
        <f t="shared" si="0"/>
        <v>34572032</v>
      </c>
      <c r="AA5" s="71">
        <f t="shared" si="0"/>
        <v>0</v>
      </c>
      <c r="AB5" s="71">
        <f t="shared" si="0"/>
        <v>0</v>
      </c>
      <c r="AC5" s="71">
        <f t="shared" si="0"/>
        <v>0</v>
      </c>
      <c r="AD5" s="71">
        <f t="shared" si="0"/>
        <v>11306068</v>
      </c>
      <c r="AE5" s="71">
        <f t="shared" si="0"/>
        <v>0</v>
      </c>
      <c r="AF5" s="71">
        <f t="shared" si="0"/>
        <v>43093635</v>
      </c>
      <c r="AG5" s="71">
        <f t="shared" si="0"/>
        <v>909094</v>
      </c>
      <c r="AH5" s="71">
        <f t="shared" si="0"/>
        <v>17975000</v>
      </c>
      <c r="AI5" s="71">
        <f t="shared" si="0"/>
        <v>92643509</v>
      </c>
      <c r="AJ5" s="71">
        <f t="shared" si="0"/>
        <v>0</v>
      </c>
      <c r="AK5" s="71">
        <f t="shared" si="0"/>
        <v>0</v>
      </c>
      <c r="AL5" s="71">
        <f t="shared" si="0"/>
        <v>9874546</v>
      </c>
      <c r="AM5" s="71">
        <f t="shared" si="0"/>
        <v>0</v>
      </c>
      <c r="AN5" s="71">
        <f t="shared" si="0"/>
        <v>0</v>
      </c>
      <c r="AO5" s="71">
        <f t="shared" si="0"/>
        <v>269062208.3175416</v>
      </c>
      <c r="AP5" s="71">
        <f t="shared" si="0"/>
        <v>1010687283.159922</v>
      </c>
      <c r="AQ5" s="151">
        <f t="shared" si="0"/>
        <v>0</v>
      </c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55" s="78" customFormat="1" ht="15.75" customHeight="1">
      <c r="A6" s="74" t="s">
        <v>73</v>
      </c>
      <c r="B6" s="155" t="s">
        <v>74</v>
      </c>
      <c r="C6" s="75">
        <f t="shared" ref="C6:H6" si="1">SUM(C7:C15)</f>
        <v>78150000</v>
      </c>
      <c r="D6" s="75">
        <f t="shared" si="1"/>
        <v>0</v>
      </c>
      <c r="E6" s="75">
        <f t="shared" si="1"/>
        <v>0</v>
      </c>
      <c r="F6" s="75">
        <f t="shared" si="1"/>
        <v>0</v>
      </c>
      <c r="G6" s="75">
        <f t="shared" si="1"/>
        <v>14312819.137627359</v>
      </c>
      <c r="H6" s="75">
        <f t="shared" si="1"/>
        <v>0</v>
      </c>
      <c r="I6" s="75">
        <f t="shared" ref="I6:AP6" si="2">SUM(I7:I16)</f>
        <v>198529999</v>
      </c>
      <c r="J6" s="75">
        <f t="shared" si="2"/>
        <v>0</v>
      </c>
      <c r="K6" s="75">
        <f t="shared" si="2"/>
        <v>0</v>
      </c>
      <c r="L6" s="75">
        <f t="shared" si="2"/>
        <v>124989279</v>
      </c>
      <c r="M6" s="75">
        <f t="shared" si="2"/>
        <v>0</v>
      </c>
      <c r="N6" s="75">
        <f t="shared" si="2"/>
        <v>0</v>
      </c>
      <c r="O6" s="75">
        <f t="shared" si="2"/>
        <v>8957910</v>
      </c>
      <c r="P6" s="75">
        <f t="shared" si="2"/>
        <v>12518731.94810136</v>
      </c>
      <c r="Q6" s="75">
        <f t="shared" si="2"/>
        <v>21476641.948101357</v>
      </c>
      <c r="R6" s="75">
        <f t="shared" si="2"/>
        <v>0</v>
      </c>
      <c r="S6" s="75">
        <f t="shared" si="2"/>
        <v>0</v>
      </c>
      <c r="T6" s="75">
        <f t="shared" si="2"/>
        <v>0</v>
      </c>
      <c r="U6" s="75">
        <f t="shared" si="2"/>
        <v>38700000</v>
      </c>
      <c r="V6" s="75">
        <f t="shared" si="2"/>
        <v>0</v>
      </c>
      <c r="W6" s="75">
        <f t="shared" si="2"/>
        <v>16117273</v>
      </c>
      <c r="X6" s="75">
        <f t="shared" si="2"/>
        <v>0</v>
      </c>
      <c r="Y6" s="75">
        <f t="shared" si="2"/>
        <v>0</v>
      </c>
      <c r="Z6" s="75">
        <f t="shared" si="2"/>
        <v>31621122</v>
      </c>
      <c r="AA6" s="75">
        <f t="shared" si="2"/>
        <v>0</v>
      </c>
      <c r="AB6" s="75">
        <f t="shared" si="2"/>
        <v>0</v>
      </c>
      <c r="AC6" s="75">
        <f t="shared" si="2"/>
        <v>0</v>
      </c>
      <c r="AD6" s="75">
        <f t="shared" si="2"/>
        <v>11306068</v>
      </c>
      <c r="AE6" s="75">
        <f t="shared" si="2"/>
        <v>0</v>
      </c>
      <c r="AF6" s="75">
        <f t="shared" si="2"/>
        <v>43093635</v>
      </c>
      <c r="AG6" s="75">
        <f t="shared" si="2"/>
        <v>909094</v>
      </c>
      <c r="AH6" s="75">
        <f t="shared" si="2"/>
        <v>17975000</v>
      </c>
      <c r="AI6" s="75">
        <f t="shared" si="2"/>
        <v>89772600</v>
      </c>
      <c r="AJ6" s="75">
        <f t="shared" si="2"/>
        <v>0</v>
      </c>
      <c r="AK6" s="75">
        <f t="shared" si="2"/>
        <v>0</v>
      </c>
      <c r="AL6" s="75">
        <f t="shared" si="2"/>
        <v>9874546</v>
      </c>
      <c r="AM6" s="75">
        <f t="shared" si="2"/>
        <v>0</v>
      </c>
      <c r="AN6" s="75">
        <f t="shared" si="2"/>
        <v>0</v>
      </c>
      <c r="AO6" s="75">
        <f t="shared" si="2"/>
        <v>0</v>
      </c>
      <c r="AP6" s="75">
        <f t="shared" si="2"/>
        <v>696828077.08572876</v>
      </c>
      <c r="AQ6" s="76">
        <f>SUM(AQ7:AQ13)</f>
        <v>0</v>
      </c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</row>
    <row r="7" spans="1:55" ht="18.95" customHeight="1">
      <c r="A7" s="79">
        <v>1</v>
      </c>
      <c r="B7" s="156" t="s">
        <v>75</v>
      </c>
      <c r="C7" s="81">
        <v>18900000</v>
      </c>
      <c r="D7" s="82"/>
      <c r="E7" s="82"/>
      <c r="F7" s="83"/>
      <c r="G7" s="83">
        <v>0</v>
      </c>
      <c r="H7" s="83"/>
      <c r="I7" s="82"/>
      <c r="J7" s="82"/>
      <c r="K7" s="82"/>
      <c r="L7" s="82"/>
      <c r="M7" s="82"/>
      <c r="N7" s="82"/>
      <c r="O7" s="82"/>
      <c r="P7" s="82">
        <v>0</v>
      </c>
      <c r="Q7" s="82">
        <f>O7+P7</f>
        <v>0</v>
      </c>
      <c r="R7" s="82"/>
      <c r="S7" s="82"/>
      <c r="T7" s="82"/>
      <c r="U7" s="82"/>
      <c r="V7" s="82"/>
      <c r="W7" s="82"/>
      <c r="X7" s="83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4"/>
      <c r="AJ7" s="83"/>
      <c r="AK7" s="82"/>
      <c r="AL7" s="82"/>
      <c r="AM7" s="82"/>
      <c r="AN7" s="82"/>
      <c r="AO7" s="82"/>
      <c r="AP7" s="82">
        <f>C7+G7+I7+L7+Q7+R7+U7+W7+Z7+AC7+AD7+AF7+AG7+AH7+AI7+AL7+AO7</f>
        <v>18900000</v>
      </c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ht="18.95" customHeight="1">
      <c r="A8" s="79">
        <v>2</v>
      </c>
      <c r="B8" s="156" t="s">
        <v>76</v>
      </c>
      <c r="C8" s="81">
        <v>55200000</v>
      </c>
      <c r="D8" s="82"/>
      <c r="E8" s="82"/>
      <c r="F8" s="83"/>
      <c r="G8" s="83">
        <f>8045849.84180376+1</f>
        <v>8045850.8418037603</v>
      </c>
      <c r="H8" s="83"/>
      <c r="I8" s="81">
        <v>76000000</v>
      </c>
      <c r="J8" s="82"/>
      <c r="K8" s="82"/>
      <c r="L8" s="81">
        <v>32480191</v>
      </c>
      <c r="M8" s="82"/>
      <c r="N8" s="82"/>
      <c r="O8" s="81">
        <v>3217010</v>
      </c>
      <c r="P8" s="82">
        <v>7037319.5619127601</v>
      </c>
      <c r="Q8" s="82">
        <f t="shared" ref="Q8:Q17" si="3">O8+P8</f>
        <v>10254329.56191276</v>
      </c>
      <c r="R8" s="82"/>
      <c r="S8" s="82"/>
      <c r="T8" s="82"/>
      <c r="U8" s="82"/>
      <c r="V8" s="82"/>
      <c r="W8" s="81">
        <f>6827273+2390000</f>
        <v>9217273</v>
      </c>
      <c r="X8" s="83"/>
      <c r="Y8" s="82"/>
      <c r="Z8" s="81">
        <v>2320000</v>
      </c>
      <c r="AA8" s="82"/>
      <c r="AB8" s="82"/>
      <c r="AC8" s="82"/>
      <c r="AD8" s="82">
        <v>6160038</v>
      </c>
      <c r="AE8" s="82"/>
      <c r="AF8" s="81">
        <v>17890908</v>
      </c>
      <c r="AG8" s="82"/>
      <c r="AH8" s="82"/>
      <c r="AI8" s="81">
        <f>21100000+629091</f>
        <v>21729091</v>
      </c>
      <c r="AJ8" s="83"/>
      <c r="AK8" s="82"/>
      <c r="AL8" s="82">
        <v>4000000</v>
      </c>
      <c r="AM8" s="82"/>
      <c r="AN8" s="82"/>
      <c r="AO8" s="82"/>
      <c r="AP8" s="82">
        <f t="shared" ref="AP8:AP53" si="4">C8+G8+I8+L8+Q8+R8+U8+W8+Z8+AC8+AD8+AF8+AG8+AH8+AI8+AL8+AO8</f>
        <v>243297681.4037165</v>
      </c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</row>
    <row r="9" spans="1:55" ht="18.95" customHeight="1">
      <c r="A9" s="79">
        <v>3</v>
      </c>
      <c r="B9" s="156" t="s">
        <v>77</v>
      </c>
      <c r="C9" s="82"/>
      <c r="D9" s="82"/>
      <c r="E9" s="82"/>
      <c r="F9" s="83"/>
      <c r="G9" s="83">
        <v>0</v>
      </c>
      <c r="H9" s="83"/>
      <c r="I9" s="82"/>
      <c r="J9" s="82"/>
      <c r="K9" s="82"/>
      <c r="L9" s="82"/>
      <c r="M9" s="82"/>
      <c r="N9" s="82"/>
      <c r="O9" s="82"/>
      <c r="P9" s="82">
        <v>0</v>
      </c>
      <c r="Q9" s="82">
        <f t="shared" si="3"/>
        <v>0</v>
      </c>
      <c r="R9" s="82"/>
      <c r="S9" s="82"/>
      <c r="T9" s="82"/>
      <c r="U9" s="81">
        <v>6000000</v>
      </c>
      <c r="V9" s="82"/>
      <c r="W9" s="82"/>
      <c r="X9" s="83"/>
      <c r="Y9" s="82"/>
      <c r="Z9" s="82"/>
      <c r="AA9" s="82"/>
      <c r="AB9" s="82"/>
      <c r="AC9" s="82"/>
      <c r="AD9" s="82"/>
      <c r="AE9" s="82"/>
      <c r="AF9" s="81">
        <v>1667273</v>
      </c>
      <c r="AG9" s="82"/>
      <c r="AH9" s="82"/>
      <c r="AI9" s="81">
        <v>6975455</v>
      </c>
      <c r="AJ9" s="83"/>
      <c r="AK9" s="82"/>
      <c r="AL9" s="82"/>
      <c r="AM9" s="82"/>
      <c r="AN9" s="82"/>
      <c r="AO9" s="82"/>
      <c r="AP9" s="82">
        <f t="shared" si="4"/>
        <v>14642728</v>
      </c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ht="18.95" customHeight="1">
      <c r="A10" s="79">
        <v>4</v>
      </c>
      <c r="B10" s="156" t="s">
        <v>78</v>
      </c>
      <c r="C10" s="82"/>
      <c r="D10" s="82"/>
      <c r="E10" s="82"/>
      <c r="F10" s="83"/>
      <c r="G10" s="83">
        <v>766402.43629139988</v>
      </c>
      <c r="H10" s="83"/>
      <c r="I10" s="81">
        <v>650000</v>
      </c>
      <c r="J10" s="82"/>
      <c r="K10" s="82"/>
      <c r="L10" s="81">
        <v>835424</v>
      </c>
      <c r="M10" s="82"/>
      <c r="N10" s="82"/>
      <c r="O10" s="82"/>
      <c r="P10" s="82">
        <v>670334.93848890008</v>
      </c>
      <c r="Q10" s="82">
        <f t="shared" si="3"/>
        <v>670334.93848890008</v>
      </c>
      <c r="R10" s="82"/>
      <c r="S10" s="82"/>
      <c r="T10" s="82"/>
      <c r="U10" s="81">
        <v>7000000</v>
      </c>
      <c r="V10" s="82"/>
      <c r="W10" s="82">
        <v>2500000</v>
      </c>
      <c r="X10" s="83"/>
      <c r="Y10" s="82"/>
      <c r="Z10" s="82"/>
      <c r="AA10" s="82"/>
      <c r="AB10" s="82"/>
      <c r="AC10" s="82"/>
      <c r="AD10" s="82"/>
      <c r="AE10" s="82"/>
      <c r="AF10" s="81">
        <v>12921815</v>
      </c>
      <c r="AG10" s="82"/>
      <c r="AH10" s="82"/>
      <c r="AI10" s="81">
        <v>192600</v>
      </c>
      <c r="AJ10" s="83"/>
      <c r="AK10" s="82"/>
      <c r="AL10" s="82">
        <v>1000000</v>
      </c>
      <c r="AM10" s="82"/>
      <c r="AN10" s="82"/>
      <c r="AO10" s="82"/>
      <c r="AP10" s="82">
        <f t="shared" si="4"/>
        <v>26536576.374780301</v>
      </c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5" ht="27.75" customHeight="1">
      <c r="A11" s="79">
        <v>5</v>
      </c>
      <c r="B11" s="156" t="s">
        <v>154</v>
      </c>
      <c r="C11" s="82">
        <v>1350000</v>
      </c>
      <c r="D11" s="82"/>
      <c r="E11" s="82"/>
      <c r="F11" s="83"/>
      <c r="G11" s="83">
        <v>1709508.7854111597</v>
      </c>
      <c r="H11" s="83"/>
      <c r="I11" s="81">
        <v>5973636</v>
      </c>
      <c r="J11" s="82"/>
      <c r="K11" s="82"/>
      <c r="L11" s="81">
        <f>2427120+3000000</f>
        <v>5427120</v>
      </c>
      <c r="M11" s="82"/>
      <c r="N11" s="82"/>
      <c r="O11" s="82"/>
      <c r="P11" s="82">
        <v>1495224.19586766</v>
      </c>
      <c r="Q11" s="82">
        <f t="shared" si="3"/>
        <v>1495224.19586766</v>
      </c>
      <c r="R11" s="82"/>
      <c r="S11" s="82"/>
      <c r="T11" s="82"/>
      <c r="U11" s="81">
        <v>7000000</v>
      </c>
      <c r="V11" s="82"/>
      <c r="W11" s="82"/>
      <c r="X11" s="83"/>
      <c r="Y11" s="82"/>
      <c r="Z11" s="81">
        <v>17212941</v>
      </c>
      <c r="AA11" s="82"/>
      <c r="AB11" s="82"/>
      <c r="AC11" s="82"/>
      <c r="AD11" s="82"/>
      <c r="AE11" s="82"/>
      <c r="AF11" s="82"/>
      <c r="AG11" s="81">
        <v>322727</v>
      </c>
      <c r="AH11" s="82"/>
      <c r="AI11" s="81">
        <v>13990000</v>
      </c>
      <c r="AJ11" s="83"/>
      <c r="AK11" s="82"/>
      <c r="AL11" s="82">
        <v>2000000</v>
      </c>
      <c r="AM11" s="82"/>
      <c r="AN11" s="82"/>
      <c r="AO11" s="82"/>
      <c r="AP11" s="82">
        <f t="shared" si="4"/>
        <v>56481156.981278822</v>
      </c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</row>
    <row r="12" spans="1:55" ht="18.95" customHeight="1">
      <c r="A12" s="79">
        <v>6</v>
      </c>
      <c r="B12" s="156" t="s">
        <v>80</v>
      </c>
      <c r="C12" s="82"/>
      <c r="D12" s="82"/>
      <c r="E12" s="82"/>
      <c r="F12" s="83"/>
      <c r="G12" s="83">
        <v>0</v>
      </c>
      <c r="H12" s="83"/>
      <c r="I12" s="81">
        <v>9311000</v>
      </c>
      <c r="J12" s="82"/>
      <c r="K12" s="82"/>
      <c r="L12" s="81">
        <v>33789013</v>
      </c>
      <c r="M12" s="82"/>
      <c r="N12" s="82"/>
      <c r="O12" s="81">
        <v>5740900</v>
      </c>
      <c r="P12" s="82">
        <v>0</v>
      </c>
      <c r="Q12" s="82">
        <f t="shared" si="3"/>
        <v>5740900</v>
      </c>
      <c r="R12" s="82"/>
      <c r="S12" s="82"/>
      <c r="T12" s="82"/>
      <c r="U12" s="81">
        <v>4000000</v>
      </c>
      <c r="V12" s="82"/>
      <c r="W12" s="81">
        <v>200000</v>
      </c>
      <c r="X12" s="83"/>
      <c r="Y12" s="82"/>
      <c r="Z12" s="81">
        <v>360000</v>
      </c>
      <c r="AA12" s="82"/>
      <c r="AB12" s="82"/>
      <c r="AC12" s="82"/>
      <c r="AD12" s="82">
        <v>4046030</v>
      </c>
      <c r="AE12" s="82"/>
      <c r="AF12" s="81">
        <v>8334547</v>
      </c>
      <c r="AG12" s="82"/>
      <c r="AH12" s="82"/>
      <c r="AI12" s="81">
        <v>8490000</v>
      </c>
      <c r="AJ12" s="83"/>
      <c r="AK12" s="82"/>
      <c r="AL12" s="82"/>
      <c r="AM12" s="82"/>
      <c r="AN12" s="82"/>
      <c r="AO12" s="82"/>
      <c r="AP12" s="82">
        <f t="shared" si="4"/>
        <v>74271490</v>
      </c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ht="18.95" customHeight="1">
      <c r="A13" s="79">
        <v>7</v>
      </c>
      <c r="B13" s="156" t="s">
        <v>81</v>
      </c>
      <c r="C13" s="82">
        <v>2700000</v>
      </c>
      <c r="D13" s="82"/>
      <c r="E13" s="82"/>
      <c r="F13" s="83"/>
      <c r="G13" s="83">
        <v>3791057.0741210398</v>
      </c>
      <c r="H13" s="83"/>
      <c r="I13" s="81">
        <v>104524090</v>
      </c>
      <c r="J13" s="82"/>
      <c r="K13" s="82"/>
      <c r="L13" s="81">
        <f>47141640+2710391</f>
        <v>49852031</v>
      </c>
      <c r="M13" s="82"/>
      <c r="N13" s="82"/>
      <c r="O13" s="82"/>
      <c r="P13" s="82">
        <v>3315853.25183204</v>
      </c>
      <c r="Q13" s="82">
        <f t="shared" si="3"/>
        <v>3315853.25183204</v>
      </c>
      <c r="R13" s="82"/>
      <c r="S13" s="82"/>
      <c r="T13" s="82"/>
      <c r="U13" s="81">
        <v>14700000</v>
      </c>
      <c r="V13" s="82"/>
      <c r="W13" s="82">
        <v>4200000</v>
      </c>
      <c r="X13" s="83"/>
      <c r="Y13" s="82"/>
      <c r="Z13" s="82"/>
      <c r="AA13" s="82"/>
      <c r="AB13" s="82"/>
      <c r="AC13" s="82"/>
      <c r="AD13" s="81">
        <v>1100000</v>
      </c>
      <c r="AE13" s="82"/>
      <c r="AF13" s="81">
        <v>2279092</v>
      </c>
      <c r="AG13" s="81">
        <v>318185</v>
      </c>
      <c r="AH13" s="81">
        <v>16868182</v>
      </c>
      <c r="AI13" s="81">
        <v>28913454</v>
      </c>
      <c r="AJ13" s="83"/>
      <c r="AK13" s="82"/>
      <c r="AL13" s="82">
        <v>2874546</v>
      </c>
      <c r="AM13" s="82"/>
      <c r="AN13" s="82"/>
      <c r="AO13" s="82"/>
      <c r="AP13" s="82">
        <f t="shared" si="4"/>
        <v>235436490.3259531</v>
      </c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</row>
    <row r="14" spans="1:55" ht="18.95" customHeight="1">
      <c r="A14" s="79">
        <v>8</v>
      </c>
      <c r="B14" s="156" t="s">
        <v>82</v>
      </c>
      <c r="C14" s="82"/>
      <c r="D14" s="82"/>
      <c r="E14" s="82"/>
      <c r="F14" s="83"/>
      <c r="G14" s="83">
        <v>0</v>
      </c>
      <c r="H14" s="83"/>
      <c r="I14" s="82"/>
      <c r="J14" s="82"/>
      <c r="K14" s="82"/>
      <c r="L14" s="82"/>
      <c r="M14" s="82"/>
      <c r="N14" s="82"/>
      <c r="O14" s="82"/>
      <c r="P14" s="82">
        <v>0</v>
      </c>
      <c r="Q14" s="82">
        <f t="shared" si="3"/>
        <v>0</v>
      </c>
      <c r="R14" s="82"/>
      <c r="S14" s="82"/>
      <c r="T14" s="82"/>
      <c r="U14" s="82"/>
      <c r="V14" s="82"/>
      <c r="W14" s="82"/>
      <c r="X14" s="83"/>
      <c r="Y14" s="82"/>
      <c r="Z14" s="81">
        <v>2850909</v>
      </c>
      <c r="AA14" s="82"/>
      <c r="AB14" s="82"/>
      <c r="AC14" s="82"/>
      <c r="AD14" s="82"/>
      <c r="AE14" s="82"/>
      <c r="AF14" s="82"/>
      <c r="AG14" s="82"/>
      <c r="AH14" s="82"/>
      <c r="AI14" s="81">
        <v>1442000</v>
      </c>
      <c r="AJ14" s="83"/>
      <c r="AK14" s="82"/>
      <c r="AL14" s="82"/>
      <c r="AM14" s="82"/>
      <c r="AN14" s="82"/>
      <c r="AO14" s="82"/>
      <c r="AP14" s="82">
        <f t="shared" si="4"/>
        <v>4292909</v>
      </c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</row>
    <row r="15" spans="1:55" ht="18.95" customHeight="1">
      <c r="A15" s="79">
        <v>9</v>
      </c>
      <c r="B15" s="156" t="s">
        <v>83</v>
      </c>
      <c r="C15" s="82"/>
      <c r="D15" s="82"/>
      <c r="E15" s="82"/>
      <c r="F15" s="83"/>
      <c r="G15" s="83">
        <v>0</v>
      </c>
      <c r="H15" s="83"/>
      <c r="I15" s="82"/>
      <c r="J15" s="82"/>
      <c r="K15" s="82"/>
      <c r="L15" s="82"/>
      <c r="M15" s="82"/>
      <c r="N15" s="82"/>
      <c r="O15" s="82"/>
      <c r="P15" s="82">
        <v>0</v>
      </c>
      <c r="Q15" s="82">
        <f t="shared" si="3"/>
        <v>0</v>
      </c>
      <c r="R15" s="82"/>
      <c r="S15" s="82"/>
      <c r="T15" s="82"/>
      <c r="U15" s="82"/>
      <c r="V15" s="82"/>
      <c r="W15" s="82"/>
      <c r="X15" s="83"/>
      <c r="Y15" s="82"/>
      <c r="Z15" s="81">
        <v>6777272</v>
      </c>
      <c r="AA15" s="82"/>
      <c r="AB15" s="82"/>
      <c r="AC15" s="82"/>
      <c r="AD15" s="82"/>
      <c r="AE15" s="82"/>
      <c r="AF15" s="82"/>
      <c r="AG15" s="82"/>
      <c r="AH15" s="81">
        <v>1106818</v>
      </c>
      <c r="AI15" s="81">
        <v>6700000</v>
      </c>
      <c r="AJ15" s="83"/>
      <c r="AK15" s="82"/>
      <c r="AL15" s="82"/>
      <c r="AM15" s="82"/>
      <c r="AN15" s="82"/>
      <c r="AO15" s="82"/>
      <c r="AP15" s="82">
        <f t="shared" si="4"/>
        <v>14584090</v>
      </c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</row>
    <row r="16" spans="1:55" ht="18.95" customHeight="1">
      <c r="A16" s="79">
        <v>10</v>
      </c>
      <c r="B16" s="156" t="s">
        <v>84</v>
      </c>
      <c r="C16" s="82"/>
      <c r="D16" s="82"/>
      <c r="E16" s="82"/>
      <c r="F16" s="83"/>
      <c r="G16" s="83">
        <v>0</v>
      </c>
      <c r="H16" s="83"/>
      <c r="I16" s="81">
        <v>2071273</v>
      </c>
      <c r="J16" s="82"/>
      <c r="K16" s="82"/>
      <c r="L16" s="81">
        <v>2605500</v>
      </c>
      <c r="M16" s="82"/>
      <c r="N16" s="82"/>
      <c r="O16" s="82"/>
      <c r="P16" s="82"/>
      <c r="Q16" s="82">
        <f t="shared" si="3"/>
        <v>0</v>
      </c>
      <c r="R16" s="82"/>
      <c r="S16" s="82"/>
      <c r="T16" s="82"/>
      <c r="U16" s="82"/>
      <c r="V16" s="82"/>
      <c r="W16" s="82"/>
      <c r="X16" s="83"/>
      <c r="Y16" s="82"/>
      <c r="Z16" s="81">
        <v>2100000</v>
      </c>
      <c r="AA16" s="82"/>
      <c r="AB16" s="82"/>
      <c r="AC16" s="82"/>
      <c r="AD16" s="82"/>
      <c r="AE16" s="82"/>
      <c r="AF16" s="82"/>
      <c r="AG16" s="81">
        <v>268182</v>
      </c>
      <c r="AH16" s="82"/>
      <c r="AI16" s="81">
        <v>1340000</v>
      </c>
      <c r="AJ16" s="83"/>
      <c r="AK16" s="82"/>
      <c r="AL16" s="82"/>
      <c r="AM16" s="82"/>
      <c r="AN16" s="82"/>
      <c r="AO16" s="82"/>
      <c r="AP16" s="82">
        <f t="shared" si="4"/>
        <v>8384955</v>
      </c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1:55" s="78" customFormat="1" ht="18.95" customHeight="1">
      <c r="A17" s="74" t="s">
        <v>85</v>
      </c>
      <c r="B17" s="155" t="s">
        <v>86</v>
      </c>
      <c r="C17" s="86"/>
      <c r="D17" s="86"/>
      <c r="E17" s="86"/>
      <c r="F17" s="83"/>
      <c r="G17" s="83">
        <v>0</v>
      </c>
      <c r="H17" s="83"/>
      <c r="I17" s="86"/>
      <c r="J17" s="86"/>
      <c r="K17" s="86"/>
      <c r="L17" s="86"/>
      <c r="M17" s="86"/>
      <c r="N17" s="86"/>
      <c r="O17" s="81">
        <v>13521582</v>
      </c>
      <c r="P17" s="82"/>
      <c r="Q17" s="82">
        <f t="shared" si="3"/>
        <v>13521582</v>
      </c>
      <c r="R17" s="86"/>
      <c r="S17" s="86"/>
      <c r="T17" s="86"/>
      <c r="U17" s="86"/>
      <c r="V17" s="86"/>
      <c r="W17" s="81"/>
      <c r="X17" s="83"/>
      <c r="Y17" s="82"/>
      <c r="Z17" s="81">
        <v>2950910</v>
      </c>
      <c r="AA17" s="86"/>
      <c r="AB17" s="86"/>
      <c r="AC17" s="86"/>
      <c r="AD17" s="86"/>
      <c r="AE17" s="86"/>
      <c r="AF17" s="86"/>
      <c r="AG17" s="82"/>
      <c r="AH17" s="86"/>
      <c r="AI17" s="81">
        <v>2870909</v>
      </c>
      <c r="AJ17" s="83"/>
      <c r="AK17" s="82"/>
      <c r="AL17" s="86"/>
      <c r="AM17" s="86"/>
      <c r="AN17" s="86"/>
      <c r="AO17" s="86"/>
      <c r="AP17" s="82">
        <f t="shared" si="4"/>
        <v>19343401</v>
      </c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</row>
    <row r="18" spans="1:55" s="78" customFormat="1" ht="18.95" customHeight="1">
      <c r="A18" s="74" t="s">
        <v>87</v>
      </c>
      <c r="B18" s="157" t="s">
        <v>88</v>
      </c>
      <c r="C18" s="86"/>
      <c r="D18" s="86"/>
      <c r="E18" s="86"/>
      <c r="F18" s="86"/>
      <c r="G18" s="86">
        <f t="shared" ref="G18:AO18" si="5">SUM(G19:G53)</f>
        <v>4169751.0357616185</v>
      </c>
      <c r="H18" s="86">
        <f t="shared" si="5"/>
        <v>0</v>
      </c>
      <c r="I18" s="86">
        <f t="shared" si="5"/>
        <v>0</v>
      </c>
      <c r="J18" s="86">
        <f t="shared" si="5"/>
        <v>0</v>
      </c>
      <c r="K18" s="86">
        <f t="shared" si="5"/>
        <v>0</v>
      </c>
      <c r="L18" s="86">
        <f t="shared" si="5"/>
        <v>0</v>
      </c>
      <c r="M18" s="86">
        <f t="shared" si="5"/>
        <v>0</v>
      </c>
      <c r="N18" s="86">
        <f t="shared" si="5"/>
        <v>0</v>
      </c>
      <c r="O18" s="86">
        <f t="shared" si="5"/>
        <v>0</v>
      </c>
      <c r="P18" s="86">
        <f t="shared" si="5"/>
        <v>0</v>
      </c>
      <c r="Q18" s="86">
        <f t="shared" si="5"/>
        <v>0</v>
      </c>
      <c r="R18" s="86">
        <f t="shared" si="5"/>
        <v>21283845.720889997</v>
      </c>
      <c r="S18" s="86">
        <f t="shared" si="5"/>
        <v>0</v>
      </c>
      <c r="T18" s="86">
        <f t="shared" si="5"/>
        <v>0</v>
      </c>
      <c r="U18" s="86">
        <f t="shared" si="5"/>
        <v>0</v>
      </c>
      <c r="V18" s="86">
        <f t="shared" si="5"/>
        <v>0</v>
      </c>
      <c r="W18" s="86">
        <f t="shared" si="5"/>
        <v>0</v>
      </c>
      <c r="X18" s="86">
        <f t="shared" si="5"/>
        <v>0</v>
      </c>
      <c r="Y18" s="86">
        <f t="shared" si="5"/>
        <v>0</v>
      </c>
      <c r="Z18" s="86">
        <f t="shared" si="5"/>
        <v>0</v>
      </c>
      <c r="AA18" s="86">
        <f t="shared" si="5"/>
        <v>0</v>
      </c>
      <c r="AB18" s="86">
        <f t="shared" si="5"/>
        <v>0</v>
      </c>
      <c r="AC18" s="86">
        <f t="shared" si="5"/>
        <v>0</v>
      </c>
      <c r="AD18" s="86">
        <f t="shared" si="5"/>
        <v>0</v>
      </c>
      <c r="AE18" s="86">
        <f t="shared" si="5"/>
        <v>0</v>
      </c>
      <c r="AF18" s="86">
        <f t="shared" si="5"/>
        <v>0</v>
      </c>
      <c r="AG18" s="86">
        <f t="shared" si="5"/>
        <v>0</v>
      </c>
      <c r="AH18" s="86">
        <f t="shared" si="5"/>
        <v>0</v>
      </c>
      <c r="AI18" s="86">
        <f t="shared" si="5"/>
        <v>0</v>
      </c>
      <c r="AJ18" s="86">
        <f t="shared" si="5"/>
        <v>0</v>
      </c>
      <c r="AK18" s="86">
        <f t="shared" si="5"/>
        <v>0</v>
      </c>
      <c r="AL18" s="86">
        <f t="shared" si="5"/>
        <v>0</v>
      </c>
      <c r="AM18" s="86">
        <f t="shared" si="5"/>
        <v>0</v>
      </c>
      <c r="AN18" s="86">
        <f t="shared" si="5"/>
        <v>0</v>
      </c>
      <c r="AO18" s="86">
        <f t="shared" si="5"/>
        <v>269062208.3175416</v>
      </c>
      <c r="AP18" s="82">
        <f t="shared" si="4"/>
        <v>294515805.07419324</v>
      </c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</row>
    <row r="19" spans="1:55" s="78" customFormat="1" ht="18.95" customHeight="1">
      <c r="A19" s="74">
        <v>1</v>
      </c>
      <c r="B19" s="158" t="s">
        <v>149</v>
      </c>
      <c r="C19" s="86"/>
      <c r="D19" s="86"/>
      <c r="E19" s="86"/>
      <c r="F19" s="86"/>
      <c r="G19" s="86">
        <v>115135.53551999999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>
        <v>587550.43999999994</v>
      </c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>
        <v>7429368.5936000003</v>
      </c>
      <c r="AP19" s="82">
        <f t="shared" si="4"/>
        <v>8132054.5691200001</v>
      </c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</row>
    <row r="20" spans="1:55" s="78" customFormat="1" ht="18.95" customHeight="1">
      <c r="A20" s="74">
        <v>2</v>
      </c>
      <c r="B20" s="158" t="s">
        <v>148</v>
      </c>
      <c r="C20" s="86"/>
      <c r="D20" s="86"/>
      <c r="E20" s="86"/>
      <c r="F20" s="86"/>
      <c r="G20" s="86">
        <v>79403.817599999995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>
        <v>405307.2</v>
      </c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>
        <v>5123703.1680000005</v>
      </c>
      <c r="AP20" s="82">
        <f t="shared" si="4"/>
        <v>5608414.1856000004</v>
      </c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</row>
    <row r="21" spans="1:55" s="78" customFormat="1" ht="18.95" customHeight="1">
      <c r="A21" s="74">
        <v>8</v>
      </c>
      <c r="B21" s="158" t="s">
        <v>147</v>
      </c>
      <c r="C21" s="86"/>
      <c r="D21" s="86"/>
      <c r="E21" s="86"/>
      <c r="F21" s="86"/>
      <c r="G21" s="86">
        <v>13233.969599999999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>
        <v>67551.199999999997</v>
      </c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>
        <v>853950.52800000005</v>
      </c>
      <c r="AP21" s="82">
        <f t="shared" si="4"/>
        <v>934735.69760000007</v>
      </c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</row>
    <row r="22" spans="1:55" s="78" customFormat="1" ht="18.95" customHeight="1">
      <c r="A22" s="74">
        <v>10</v>
      </c>
      <c r="B22" s="158" t="s">
        <v>146</v>
      </c>
      <c r="C22" s="86"/>
      <c r="D22" s="86"/>
      <c r="E22" s="86"/>
      <c r="F22" s="86"/>
      <c r="G22" s="86">
        <v>0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>
        <v>0</v>
      </c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>
        <v>0</v>
      </c>
      <c r="AP22" s="82">
        <f t="shared" si="4"/>
        <v>0</v>
      </c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</row>
    <row r="23" spans="1:55" s="78" customFormat="1" ht="18.95" customHeight="1">
      <c r="A23" s="74">
        <v>88</v>
      </c>
      <c r="B23" s="158" t="s">
        <v>145</v>
      </c>
      <c r="C23" s="86"/>
      <c r="D23" s="86"/>
      <c r="E23" s="86"/>
      <c r="F23" s="86"/>
      <c r="G23" s="86">
        <v>34187.975366159997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>
        <v>174508.39251999999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>
        <v>2206053.0965088001</v>
      </c>
      <c r="AP23" s="82">
        <f t="shared" si="4"/>
        <v>2414749.4643949601</v>
      </c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</row>
    <row r="24" spans="1:55" s="78" customFormat="1" ht="18.95" customHeight="1">
      <c r="A24" s="74">
        <v>89</v>
      </c>
      <c r="B24" s="158" t="s">
        <v>144</v>
      </c>
      <c r="C24" s="86"/>
      <c r="D24" s="86"/>
      <c r="E24" s="86"/>
      <c r="F24" s="86"/>
      <c r="G24" s="86">
        <v>10353.566923979999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v>52848.532310000002</v>
      </c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>
        <v>668086.31186640006</v>
      </c>
      <c r="AP24" s="82">
        <f t="shared" si="4"/>
        <v>731288.41110038012</v>
      </c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</row>
    <row r="25" spans="1:55" s="78" customFormat="1" ht="18.95" customHeight="1">
      <c r="A25" s="74">
        <v>101</v>
      </c>
      <c r="B25" s="158" t="s">
        <v>143</v>
      </c>
      <c r="C25" s="86"/>
      <c r="D25" s="86"/>
      <c r="E25" s="86"/>
      <c r="F25" s="86"/>
      <c r="G25" s="86">
        <v>2588.3892982799998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>
        <v>13212.12066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>
        <v>167021.42099040002</v>
      </c>
      <c r="AP25" s="82">
        <f t="shared" si="4"/>
        <v>182821.93094868</v>
      </c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</row>
    <row r="26" spans="1:55" s="78" customFormat="1" ht="18.95" customHeight="1">
      <c r="A26" s="74">
        <v>113</v>
      </c>
      <c r="B26" s="158" t="s">
        <v>142</v>
      </c>
      <c r="C26" s="86"/>
      <c r="D26" s="86"/>
      <c r="E26" s="86"/>
      <c r="F26" s="86"/>
      <c r="G26" s="86">
        <v>410403.16584635997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>
        <v>2094853.4094199999</v>
      </c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>
        <v>26482152.427444801</v>
      </c>
      <c r="AP26" s="82">
        <f t="shared" si="4"/>
        <v>28987409.002711162</v>
      </c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</row>
    <row r="27" spans="1:55" s="78" customFormat="1" ht="18.95" customHeight="1">
      <c r="A27" s="74">
        <v>114</v>
      </c>
      <c r="B27" s="158" t="s">
        <v>141</v>
      </c>
      <c r="C27" s="86"/>
      <c r="D27" s="86"/>
      <c r="E27" s="86"/>
      <c r="F27" s="86"/>
      <c r="G27" s="86">
        <v>493073.70126437995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>
        <v>2516835.1761099999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>
        <v>31816647.632138401</v>
      </c>
      <c r="AP27" s="82">
        <f t="shared" si="4"/>
        <v>34826556.509512782</v>
      </c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</row>
    <row r="28" spans="1:55" s="78" customFormat="1" ht="18.95" customHeight="1">
      <c r="A28" s="74">
        <v>126</v>
      </c>
      <c r="B28" s="158" t="s">
        <v>153</v>
      </c>
      <c r="C28" s="86"/>
      <c r="D28" s="86"/>
      <c r="E28" s="86"/>
      <c r="F28" s="86"/>
      <c r="G28" s="86">
        <v>35213.987513699998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>
        <v>179745.54764999999</v>
      </c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>
        <v>2272258.7507160003</v>
      </c>
      <c r="AP28" s="82">
        <f t="shared" si="4"/>
        <v>2487218.2858797004</v>
      </c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</row>
    <row r="29" spans="1:55" s="78" customFormat="1" ht="18.95" customHeight="1">
      <c r="A29" s="74"/>
      <c r="B29" s="158" t="s">
        <v>151</v>
      </c>
      <c r="C29" s="86"/>
      <c r="D29" s="86"/>
      <c r="E29" s="86"/>
      <c r="F29" s="86"/>
      <c r="G29" s="86">
        <v>319458.49963205995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>
        <v>1630637.3410699998</v>
      </c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>
        <v>20613751.027120803</v>
      </c>
      <c r="AP29" s="82">
        <f t="shared" si="4"/>
        <v>22563846.867822863</v>
      </c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</row>
    <row r="30" spans="1:55" s="78" customFormat="1" ht="18.95" customHeight="1">
      <c r="A30" s="74"/>
      <c r="B30" s="158" t="s">
        <v>152</v>
      </c>
      <c r="C30" s="86"/>
      <c r="D30" s="86"/>
      <c r="E30" s="86"/>
      <c r="F30" s="86"/>
      <c r="G30" s="86">
        <v>142505.43786425999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>
        <v>727401.80197000003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>
        <v>9195471.7734168004</v>
      </c>
      <c r="AP30" s="82">
        <f t="shared" si="4"/>
        <v>10065379.013251061</v>
      </c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</row>
    <row r="31" spans="1:55" s="78" customFormat="1" ht="18.95" customHeight="1">
      <c r="A31" s="74"/>
      <c r="B31" s="158" t="s">
        <v>137</v>
      </c>
      <c r="C31" s="86"/>
      <c r="D31" s="86"/>
      <c r="E31" s="86"/>
      <c r="F31" s="86"/>
      <c r="G31" s="86">
        <v>27942.242336879997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>
        <v>142627.80236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>
        <v>1803033.6564384</v>
      </c>
      <c r="AP31" s="82">
        <f t="shared" si="4"/>
        <v>1973603.7011352801</v>
      </c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</row>
    <row r="32" spans="1:55" s="78" customFormat="1" ht="18.95" customHeight="1">
      <c r="A32" s="74"/>
      <c r="B32" s="158" t="s">
        <v>136</v>
      </c>
      <c r="C32" s="86"/>
      <c r="D32" s="86"/>
      <c r="E32" s="86"/>
      <c r="F32" s="86"/>
      <c r="G32" s="86">
        <v>310062.74125788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>
        <v>1582677.8268599999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>
        <v>20007469.384718399</v>
      </c>
      <c r="AP32" s="82">
        <f t="shared" si="4"/>
        <v>21900209.952836279</v>
      </c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</row>
    <row r="33" spans="1:55" s="78" customFormat="1" ht="18.95" customHeight="1">
      <c r="A33" s="74"/>
      <c r="B33" s="158" t="s">
        <v>135</v>
      </c>
      <c r="C33" s="86"/>
      <c r="D33" s="86"/>
      <c r="E33" s="86"/>
      <c r="F33" s="86"/>
      <c r="G33" s="86">
        <v>120750.33904859998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>
        <v>616355.52669999993</v>
      </c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>
        <v>7791676.9422480008</v>
      </c>
      <c r="AP33" s="82">
        <f t="shared" si="4"/>
        <v>8528782.8079966009</v>
      </c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</row>
    <row r="34" spans="1:55" s="78" customFormat="1" ht="18.95" customHeight="1">
      <c r="A34" s="74"/>
      <c r="B34" s="158" t="s">
        <v>134</v>
      </c>
      <c r="C34" s="86"/>
      <c r="D34" s="86"/>
      <c r="E34" s="86"/>
      <c r="F34" s="86"/>
      <c r="G34" s="86">
        <v>10884.375606119998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>
        <v>55557.981139999996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>
        <v>702337.89080160006</v>
      </c>
      <c r="AP34" s="82">
        <f t="shared" si="4"/>
        <v>768780.24754772009</v>
      </c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</row>
    <row r="35" spans="1:55" s="78" customFormat="1" ht="18.95" customHeight="1">
      <c r="A35" s="74"/>
      <c r="B35" s="158" t="s">
        <v>133</v>
      </c>
      <c r="C35" s="86"/>
      <c r="D35" s="86"/>
      <c r="E35" s="86"/>
      <c r="F35" s="86"/>
      <c r="G35" s="86">
        <v>176021.05945871997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>
        <v>898478.24583999999</v>
      </c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>
        <v>11358139.787769601</v>
      </c>
      <c r="AP35" s="82">
        <f t="shared" si="4"/>
        <v>12432639.09306832</v>
      </c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</row>
    <row r="36" spans="1:55" s="78" customFormat="1" ht="18.95" customHeight="1">
      <c r="A36" s="74"/>
      <c r="B36" s="158" t="s">
        <v>132</v>
      </c>
      <c r="C36" s="86"/>
      <c r="D36" s="86"/>
      <c r="E36" s="86"/>
      <c r="F36" s="86"/>
      <c r="G36" s="86">
        <v>75081.369587999987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>
        <v>383243.78599999996</v>
      </c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>
        <v>4844787.8558400003</v>
      </c>
      <c r="AP36" s="82">
        <f t="shared" si="4"/>
        <v>5303113.0114280004</v>
      </c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</row>
    <row r="37" spans="1:55" s="78" customFormat="1" ht="18.95" customHeight="1">
      <c r="A37" s="74"/>
      <c r="B37" s="158" t="s">
        <v>131</v>
      </c>
      <c r="C37" s="86"/>
      <c r="D37" s="86"/>
      <c r="E37" s="86"/>
      <c r="F37" s="86"/>
      <c r="G37" s="86">
        <v>145972.36812678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>
        <v>745098.32891000004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>
        <v>9419182.9513704013</v>
      </c>
      <c r="AP37" s="82">
        <f t="shared" si="4"/>
        <v>10310253.648407182</v>
      </c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</row>
    <row r="38" spans="1:55" s="78" customFormat="1" ht="26.25" customHeight="1">
      <c r="A38" s="74">
        <v>1</v>
      </c>
      <c r="B38" s="158" t="s">
        <v>130</v>
      </c>
      <c r="C38" s="86"/>
      <c r="D38" s="86"/>
      <c r="E38" s="86"/>
      <c r="F38" s="83"/>
      <c r="G38" s="83">
        <v>117574.95508253999</v>
      </c>
      <c r="H38" s="83"/>
      <c r="I38" s="86"/>
      <c r="J38" s="86"/>
      <c r="K38" s="86"/>
      <c r="L38" s="86"/>
      <c r="M38" s="86"/>
      <c r="N38" s="86"/>
      <c r="O38" s="86"/>
      <c r="P38" s="86"/>
      <c r="Q38" s="86"/>
      <c r="R38" s="86">
        <v>600147.16263000004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3">
        <v>7586778.4200072009</v>
      </c>
      <c r="AP38" s="82">
        <f t="shared" si="4"/>
        <v>8304500.5377197415</v>
      </c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</row>
    <row r="39" spans="1:55" s="78" customFormat="1" ht="18.95" customHeight="1">
      <c r="A39" s="74">
        <v>2</v>
      </c>
      <c r="B39" s="158" t="s">
        <v>129</v>
      </c>
      <c r="C39" s="86"/>
      <c r="D39" s="86"/>
      <c r="E39" s="86"/>
      <c r="F39" s="83"/>
      <c r="G39" s="83">
        <v>354253.25250437995</v>
      </c>
      <c r="H39" s="83"/>
      <c r="I39" s="86"/>
      <c r="J39" s="86"/>
      <c r="K39" s="86"/>
      <c r="L39" s="86"/>
      <c r="M39" s="86"/>
      <c r="N39" s="86"/>
      <c r="O39" s="86"/>
      <c r="P39" s="86"/>
      <c r="Q39" s="86"/>
      <c r="R39" s="86">
        <v>1808242.9561099999</v>
      </c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3">
        <v>22858957.755338401</v>
      </c>
      <c r="AP39" s="82">
        <f t="shared" si="4"/>
        <v>25021453.96395278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</row>
    <row r="40" spans="1:55" s="78" customFormat="1" ht="24.75" customHeight="1">
      <c r="A40" s="74">
        <v>3</v>
      </c>
      <c r="B40" s="158" t="s">
        <v>128</v>
      </c>
      <c r="C40" s="86"/>
      <c r="D40" s="86"/>
      <c r="E40" s="86"/>
      <c r="F40" s="83"/>
      <c r="G40" s="83">
        <v>76017.19612506</v>
      </c>
      <c r="H40" s="83"/>
      <c r="I40" s="86"/>
      <c r="J40" s="86"/>
      <c r="K40" s="86"/>
      <c r="L40" s="86"/>
      <c r="M40" s="86"/>
      <c r="N40" s="86"/>
      <c r="O40" s="86"/>
      <c r="P40" s="86"/>
      <c r="Q40" s="86"/>
      <c r="R40" s="86">
        <v>388020.59956999996</v>
      </c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3">
        <v>4905174.0883608004</v>
      </c>
      <c r="AP40" s="82">
        <f t="shared" si="4"/>
        <v>5369211.8840558603</v>
      </c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</row>
    <row r="41" spans="1:55" s="78" customFormat="1" ht="18.95" customHeight="1">
      <c r="A41" s="74">
        <v>4</v>
      </c>
      <c r="B41" s="158" t="s">
        <v>127</v>
      </c>
      <c r="C41" s="86"/>
      <c r="D41" s="86"/>
      <c r="E41" s="86"/>
      <c r="F41" s="83"/>
      <c r="G41" s="83">
        <v>194069.6445078</v>
      </c>
      <c r="H41" s="83"/>
      <c r="I41" s="86"/>
      <c r="J41" s="86"/>
      <c r="K41" s="86"/>
      <c r="L41" s="86"/>
      <c r="M41" s="86"/>
      <c r="N41" s="86"/>
      <c r="O41" s="86"/>
      <c r="P41" s="86"/>
      <c r="Q41" s="86"/>
      <c r="R41" s="86">
        <v>990605.06909999996</v>
      </c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3">
        <v>12522763.796904001</v>
      </c>
      <c r="AP41" s="82">
        <f t="shared" si="4"/>
        <v>13707438.510511801</v>
      </c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</row>
    <row r="42" spans="1:55" s="78" customFormat="1" ht="18.95" customHeight="1">
      <c r="A42" s="74">
        <v>5</v>
      </c>
      <c r="B42" s="158" t="s">
        <v>126</v>
      </c>
      <c r="C42" s="86"/>
      <c r="D42" s="86"/>
      <c r="E42" s="86"/>
      <c r="F42" s="83"/>
      <c r="G42" s="83">
        <v>9044.2310566799988</v>
      </c>
      <c r="H42" s="83"/>
      <c r="I42" s="86"/>
      <c r="J42" s="86"/>
      <c r="K42" s="86"/>
      <c r="L42" s="86"/>
      <c r="M42" s="86"/>
      <c r="N42" s="86"/>
      <c r="O42" s="86"/>
      <c r="P42" s="86"/>
      <c r="Q42" s="86"/>
      <c r="R42" s="86">
        <v>46165.185460000001</v>
      </c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3">
        <v>583598.58150239999</v>
      </c>
      <c r="AP42" s="82">
        <f t="shared" si="4"/>
        <v>638807.99801908003</v>
      </c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</row>
    <row r="43" spans="1:55" s="78" customFormat="1" ht="18.95" customHeight="1">
      <c r="A43" s="74">
        <v>6</v>
      </c>
      <c r="B43" s="158" t="s">
        <v>125</v>
      </c>
      <c r="C43" s="86"/>
      <c r="D43" s="86"/>
      <c r="E43" s="86"/>
      <c r="F43" s="83"/>
      <c r="G43" s="83">
        <v>106275.9767244</v>
      </c>
      <c r="H43" s="83"/>
      <c r="I43" s="86"/>
      <c r="J43" s="86"/>
      <c r="K43" s="86"/>
      <c r="L43" s="86"/>
      <c r="M43" s="86"/>
      <c r="N43" s="86"/>
      <c r="O43" s="86"/>
      <c r="P43" s="86"/>
      <c r="Q43" s="86"/>
      <c r="R43" s="86">
        <v>542472.89179999998</v>
      </c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3">
        <v>6857687.3893920006</v>
      </c>
      <c r="AP43" s="82">
        <f t="shared" si="4"/>
        <v>7506436.2579164002</v>
      </c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</row>
    <row r="44" spans="1:55" s="78" customFormat="1" ht="18.95" customHeight="1">
      <c r="A44" s="74">
        <v>7</v>
      </c>
      <c r="B44" s="158" t="s">
        <v>124</v>
      </c>
      <c r="C44" s="86"/>
      <c r="D44" s="86"/>
      <c r="E44" s="86"/>
      <c r="F44" s="83"/>
      <c r="G44" s="83">
        <v>64799.431524479995</v>
      </c>
      <c r="H44" s="83"/>
      <c r="I44" s="86"/>
      <c r="J44" s="86"/>
      <c r="K44" s="86"/>
      <c r="L44" s="86"/>
      <c r="M44" s="86"/>
      <c r="N44" s="86"/>
      <c r="O44" s="86"/>
      <c r="P44" s="86"/>
      <c r="Q44" s="86"/>
      <c r="R44" s="86">
        <v>330760.87455999997</v>
      </c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3">
        <v>4181323.5512064002</v>
      </c>
      <c r="AP44" s="82">
        <f t="shared" si="4"/>
        <v>4576883.8572908798</v>
      </c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</row>
    <row r="45" spans="1:55" s="78" customFormat="1" ht="18.95" customHeight="1">
      <c r="A45" s="74">
        <v>8</v>
      </c>
      <c r="B45" s="158" t="s">
        <v>123</v>
      </c>
      <c r="C45" s="86"/>
      <c r="D45" s="86"/>
      <c r="E45" s="86"/>
      <c r="F45" s="83"/>
      <c r="G45" s="83">
        <v>16092.507033599999</v>
      </c>
      <c r="H45" s="83"/>
      <c r="I45" s="86"/>
      <c r="J45" s="86"/>
      <c r="K45" s="86"/>
      <c r="L45" s="86"/>
      <c r="M45" s="86"/>
      <c r="N45" s="86"/>
      <c r="O45" s="86"/>
      <c r="P45" s="86"/>
      <c r="Q45" s="86"/>
      <c r="R45" s="86">
        <v>82142.2592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3">
        <v>1038403.8420480001</v>
      </c>
      <c r="AP45" s="82">
        <f t="shared" si="4"/>
        <v>1136638.6082816001</v>
      </c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</row>
    <row r="46" spans="1:55" s="78" customFormat="1" ht="18.95" customHeight="1">
      <c r="A46" s="74">
        <v>9</v>
      </c>
      <c r="B46" s="158" t="s">
        <v>122</v>
      </c>
      <c r="C46" s="86"/>
      <c r="D46" s="86"/>
      <c r="E46" s="86"/>
      <c r="F46" s="83"/>
      <c r="G46" s="83">
        <v>21343.746170879996</v>
      </c>
      <c r="H46" s="83"/>
      <c r="I46" s="86"/>
      <c r="J46" s="86"/>
      <c r="K46" s="86"/>
      <c r="L46" s="86"/>
      <c r="M46" s="86"/>
      <c r="N46" s="86"/>
      <c r="O46" s="86"/>
      <c r="P46" s="86"/>
      <c r="Q46" s="86"/>
      <c r="R46" s="86">
        <v>108946.57536</v>
      </c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3">
        <v>1377251.4115584001</v>
      </c>
      <c r="AP46" s="82">
        <f t="shared" si="4"/>
        <v>1507541.7330892801</v>
      </c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</row>
    <row r="47" spans="1:55" s="78" customFormat="1" ht="18.95" customHeight="1">
      <c r="A47" s="74">
        <v>10</v>
      </c>
      <c r="B47" s="158" t="s">
        <v>121</v>
      </c>
      <c r="C47" s="86"/>
      <c r="D47" s="86"/>
      <c r="E47" s="86"/>
      <c r="F47" s="83"/>
      <c r="G47" s="83">
        <v>14603.948186819998</v>
      </c>
      <c r="H47" s="83"/>
      <c r="I47" s="86"/>
      <c r="J47" s="86"/>
      <c r="K47" s="86"/>
      <c r="L47" s="86"/>
      <c r="M47" s="86"/>
      <c r="N47" s="86"/>
      <c r="O47" s="86"/>
      <c r="P47" s="86"/>
      <c r="Q47" s="86"/>
      <c r="R47" s="86">
        <v>74544.090289999993</v>
      </c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3">
        <v>942351.36107760004</v>
      </c>
      <c r="AP47" s="82">
        <f t="shared" si="4"/>
        <v>1031499.39955442</v>
      </c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</row>
    <row r="48" spans="1:55" s="78" customFormat="1" ht="18.95" customHeight="1">
      <c r="A48" s="74">
        <v>11</v>
      </c>
      <c r="B48" s="158" t="s">
        <v>150</v>
      </c>
      <c r="C48" s="86"/>
      <c r="D48" s="86"/>
      <c r="E48" s="86"/>
      <c r="F48" s="83"/>
      <c r="G48" s="83">
        <v>14081.683199759998</v>
      </c>
      <c r="H48" s="83"/>
      <c r="I48" s="86"/>
      <c r="J48" s="86"/>
      <c r="K48" s="86"/>
      <c r="L48" s="86"/>
      <c r="M48" s="86"/>
      <c r="N48" s="86"/>
      <c r="O48" s="86"/>
      <c r="P48" s="86"/>
      <c r="Q48" s="86"/>
      <c r="R48" s="86">
        <v>71878.25172</v>
      </c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3">
        <v>908651.0825568001</v>
      </c>
      <c r="AP48" s="82">
        <f t="shared" si="4"/>
        <v>994611.01747656008</v>
      </c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</row>
    <row r="49" spans="1:55" s="78" customFormat="1" ht="18.95" customHeight="1">
      <c r="A49" s="74">
        <v>12</v>
      </c>
      <c r="B49" s="158" t="s">
        <v>120</v>
      </c>
      <c r="C49" s="86"/>
      <c r="D49" s="86"/>
      <c r="E49" s="86"/>
      <c r="F49" s="83"/>
      <c r="G49" s="83">
        <v>17712.666031019999</v>
      </c>
      <c r="H49" s="83"/>
      <c r="I49" s="86"/>
      <c r="J49" s="86"/>
      <c r="K49" s="86"/>
      <c r="L49" s="86"/>
      <c r="M49" s="86"/>
      <c r="N49" s="86"/>
      <c r="O49" s="86"/>
      <c r="P49" s="86"/>
      <c r="Q49" s="86"/>
      <c r="R49" s="86">
        <v>90412.16519</v>
      </c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3">
        <v>1142948.1075336002</v>
      </c>
      <c r="AP49" s="82">
        <f t="shared" si="4"/>
        <v>1251072.9387546203</v>
      </c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</row>
    <row r="50" spans="1:55" s="78" customFormat="1" ht="18.95" customHeight="1">
      <c r="A50" s="74">
        <v>13</v>
      </c>
      <c r="B50" s="158" t="s">
        <v>119</v>
      </c>
      <c r="C50" s="86"/>
      <c r="D50" s="86"/>
      <c r="E50" s="86"/>
      <c r="F50" s="83"/>
      <c r="G50" s="83">
        <v>36864.146752499997</v>
      </c>
      <c r="H50" s="83"/>
      <c r="I50" s="86"/>
      <c r="J50" s="86"/>
      <c r="K50" s="86"/>
      <c r="L50" s="86"/>
      <c r="M50" s="86"/>
      <c r="N50" s="86"/>
      <c r="O50" s="86"/>
      <c r="P50" s="86"/>
      <c r="Q50" s="86"/>
      <c r="R50" s="82">
        <v>188168.58624999999</v>
      </c>
      <c r="S50" s="86"/>
      <c r="T50" s="86"/>
      <c r="U50" s="86"/>
      <c r="V50" s="86"/>
      <c r="W50" s="86"/>
      <c r="X50" s="86"/>
      <c r="Y50" s="82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2"/>
      <c r="AL50" s="86"/>
      <c r="AM50" s="86"/>
      <c r="AN50" s="86"/>
      <c r="AO50" s="83">
        <v>2378738.8467000001</v>
      </c>
      <c r="AP50" s="82">
        <f t="shared" si="4"/>
        <v>2603771.5797025003</v>
      </c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</row>
    <row r="51" spans="1:55" s="78" customFormat="1" ht="23.25" customHeight="1">
      <c r="A51" s="74">
        <v>14</v>
      </c>
      <c r="B51" s="158" t="s">
        <v>118</v>
      </c>
      <c r="C51" s="86"/>
      <c r="D51" s="86"/>
      <c r="E51" s="86"/>
      <c r="F51" s="83"/>
      <c r="G51" s="83">
        <v>387581.14634771994</v>
      </c>
      <c r="H51" s="83"/>
      <c r="I51" s="86"/>
      <c r="J51" s="86"/>
      <c r="K51" s="86"/>
      <c r="L51" s="86"/>
      <c r="M51" s="86"/>
      <c r="N51" s="86"/>
      <c r="O51" s="86"/>
      <c r="P51" s="86"/>
      <c r="Q51" s="86"/>
      <c r="R51" s="82">
        <v>1978361.16634</v>
      </c>
      <c r="S51" s="86"/>
      <c r="T51" s="86"/>
      <c r="U51" s="86"/>
      <c r="V51" s="86"/>
      <c r="W51" s="86"/>
      <c r="X51" s="86"/>
      <c r="Y51" s="82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2"/>
      <c r="AL51" s="86"/>
      <c r="AM51" s="86"/>
      <c r="AN51" s="86"/>
      <c r="AO51" s="83">
        <v>25009512.230289601</v>
      </c>
      <c r="AP51" s="82">
        <f t="shared" si="4"/>
        <v>27375454.542977322</v>
      </c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</row>
    <row r="52" spans="1:55" s="78" customFormat="1" ht="18.95" customHeight="1">
      <c r="A52" s="74">
        <v>15</v>
      </c>
      <c r="B52" s="158" t="s">
        <v>117</v>
      </c>
      <c r="C52" s="86"/>
      <c r="D52" s="86"/>
      <c r="E52" s="86"/>
      <c r="F52" s="83"/>
      <c r="G52" s="83">
        <v>88884.954539819999</v>
      </c>
      <c r="H52" s="83"/>
      <c r="I52" s="86"/>
      <c r="J52" s="86"/>
      <c r="K52" s="86"/>
      <c r="L52" s="86"/>
      <c r="M52" s="86"/>
      <c r="N52" s="86"/>
      <c r="O52" s="86"/>
      <c r="P52" s="86"/>
      <c r="Q52" s="86"/>
      <c r="R52" s="82">
        <v>453702.51879</v>
      </c>
      <c r="S52" s="86"/>
      <c r="T52" s="86"/>
      <c r="U52" s="86"/>
      <c r="V52" s="86"/>
      <c r="W52" s="86"/>
      <c r="X52" s="86"/>
      <c r="Y52" s="82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2"/>
      <c r="AL52" s="86"/>
      <c r="AM52" s="86"/>
      <c r="AN52" s="86"/>
      <c r="AO52" s="83">
        <v>5735494.0471176002</v>
      </c>
      <c r="AP52" s="82">
        <f t="shared" si="4"/>
        <v>6278081.52044742</v>
      </c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1:55" s="78" customFormat="1" ht="18.95" customHeight="1">
      <c r="A53" s="74">
        <v>16</v>
      </c>
      <c r="B53" s="158" t="s">
        <v>116</v>
      </c>
      <c r="C53" s="86"/>
      <c r="D53" s="86"/>
      <c r="E53" s="86"/>
      <c r="F53" s="83"/>
      <c r="G53" s="83">
        <v>128279.00812199998</v>
      </c>
      <c r="H53" s="83"/>
      <c r="I53" s="86"/>
      <c r="J53" s="86"/>
      <c r="K53" s="86"/>
      <c r="L53" s="86"/>
      <c r="M53" s="86"/>
      <c r="N53" s="86"/>
      <c r="O53" s="86"/>
      <c r="P53" s="86"/>
      <c r="Q53" s="86"/>
      <c r="R53" s="82">
        <v>654784.70900000003</v>
      </c>
      <c r="S53" s="86"/>
      <c r="T53" s="86"/>
      <c r="U53" s="86"/>
      <c r="V53" s="86"/>
      <c r="W53" s="86"/>
      <c r="X53" s="86"/>
      <c r="Y53" s="82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2"/>
      <c r="AL53" s="86"/>
      <c r="AM53" s="86"/>
      <c r="AN53" s="86"/>
      <c r="AO53" s="83">
        <v>8277480.6069600005</v>
      </c>
      <c r="AP53" s="82">
        <f t="shared" si="4"/>
        <v>9060544.3240820002</v>
      </c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1:55" s="78" customFormat="1" ht="18.95" customHeight="1">
      <c r="A54" s="74">
        <v>17</v>
      </c>
      <c r="B54" s="158" t="s">
        <v>115</v>
      </c>
      <c r="C54" s="86"/>
      <c r="D54" s="86"/>
      <c r="E54" s="86"/>
      <c r="F54" s="83"/>
      <c r="G54" s="83"/>
      <c r="H54" s="83"/>
      <c r="I54" s="86"/>
      <c r="J54" s="86"/>
      <c r="K54" s="86"/>
      <c r="L54" s="86"/>
      <c r="M54" s="86"/>
      <c r="N54" s="86"/>
      <c r="O54" s="86"/>
      <c r="P54" s="86"/>
      <c r="Q54" s="86"/>
      <c r="R54" s="82">
        <v>0</v>
      </c>
      <c r="S54" s="86"/>
      <c r="T54" s="86"/>
      <c r="U54" s="86"/>
      <c r="V54" s="86"/>
      <c r="W54" s="86"/>
      <c r="X54" s="86"/>
      <c r="Y54" s="82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2"/>
      <c r="AL54" s="86"/>
      <c r="AM54" s="86"/>
      <c r="AN54" s="86"/>
      <c r="AO54" s="83">
        <v>0</v>
      </c>
      <c r="AP54" s="82">
        <f>C54+F54+I54+L54+Q54+R54+S54+T54+U54+V54+Y54+Z54+AC54+AD54+AF54+AG54+AH54+AI54+AL54+AO54</f>
        <v>0</v>
      </c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1:55" s="78" customFormat="1" ht="18.95" customHeight="1">
      <c r="A55" s="74">
        <v>18</v>
      </c>
      <c r="B55" s="158" t="s">
        <v>114</v>
      </c>
      <c r="C55" s="86"/>
      <c r="D55" s="86"/>
      <c r="E55" s="86"/>
      <c r="F55" s="83"/>
      <c r="G55" s="83"/>
      <c r="H55" s="83"/>
      <c r="I55" s="86"/>
      <c r="J55" s="86"/>
      <c r="K55" s="86"/>
      <c r="L55" s="86"/>
      <c r="M55" s="86"/>
      <c r="N55" s="86"/>
      <c r="O55" s="86"/>
      <c r="P55" s="86"/>
      <c r="Q55" s="86"/>
      <c r="R55" s="82"/>
      <c r="S55" s="86"/>
      <c r="T55" s="86"/>
      <c r="U55" s="86"/>
      <c r="V55" s="86"/>
      <c r="W55" s="86"/>
      <c r="X55" s="86"/>
      <c r="Y55" s="82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2"/>
      <c r="AL55" s="86"/>
      <c r="AM55" s="86"/>
      <c r="AN55" s="86"/>
      <c r="AO55" s="83">
        <v>0</v>
      </c>
      <c r="AP55" s="82">
        <f>C55+F55+I55+L55+Q55+R55+S55+T55+U55+V55+Y55+Z55+AC55+AD55+AF55+AG55+AH55+AI55+AL55+AO55</f>
        <v>0</v>
      </c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</row>
    <row r="56" spans="1:55" s="78" customFormat="1" ht="18.95" customHeight="1" thickBot="1">
      <c r="A56" s="74">
        <v>19</v>
      </c>
      <c r="B56" s="159" t="s">
        <v>113</v>
      </c>
      <c r="C56" s="86"/>
      <c r="D56" s="86"/>
      <c r="E56" s="86"/>
      <c r="F56" s="83"/>
      <c r="G56" s="83"/>
      <c r="H56" s="83"/>
      <c r="I56" s="86"/>
      <c r="J56" s="86"/>
      <c r="K56" s="86"/>
      <c r="L56" s="86"/>
      <c r="M56" s="86"/>
      <c r="N56" s="86"/>
      <c r="O56" s="86"/>
      <c r="P56" s="86"/>
      <c r="Q56" s="86"/>
      <c r="R56" s="82"/>
      <c r="S56" s="86"/>
      <c r="T56" s="86"/>
      <c r="U56" s="86"/>
      <c r="V56" s="86"/>
      <c r="W56" s="86"/>
      <c r="X56" s="86"/>
      <c r="Y56" s="82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2"/>
      <c r="AL56" s="86"/>
      <c r="AM56" s="86"/>
      <c r="AN56" s="86"/>
      <c r="AO56" s="83"/>
      <c r="AP56" s="82">
        <f>C56+F56+I56+L56+Q56+R56+S56+T56+U56+V56+Y56+Z56+AC56+AD56+AF56+AG56+AH56+AI56+AL56+AO56</f>
        <v>0</v>
      </c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</row>
    <row r="57" spans="1:55">
      <c r="A57" s="88"/>
      <c r="B57" s="160"/>
      <c r="C57" s="88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</row>
    <row r="58" spans="1:55"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</row>
    <row r="59" spans="1:55"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</row>
    <row r="60" spans="1:55"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</row>
    <row r="61" spans="1:55"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</row>
    <row r="62" spans="1:55"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</row>
    <row r="63" spans="1:55"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5:55"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5:55"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</row>
    <row r="67" spans="5:55"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5:55"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5:55"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5:55"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</row>
    <row r="71" spans="5:55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5:55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5:55"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5:55"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5:55"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5:55"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</row>
    <row r="77" spans="5:55"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5:55"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5:55"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5:55"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5:55"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</row>
    <row r="82" spans="5:55"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5:55"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</row>
    <row r="84" spans="5:55"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5" spans="5:55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</row>
    <row r="86" spans="5:5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</row>
    <row r="87" spans="5:55"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</row>
    <row r="88" spans="5:55"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5:55"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5:55"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</row>
    <row r="91" spans="5:55"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</row>
    <row r="92" spans="5:55"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</row>
    <row r="93" spans="5:55"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</row>
    <row r="94" spans="5:55"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</row>
    <row r="95" spans="5:55"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5:55"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5:55"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</row>
    <row r="98" spans="5:55"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</row>
    <row r="99" spans="5:55"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</row>
    <row r="100" spans="5:55"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</row>
    <row r="101" spans="5:55"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</row>
    <row r="102" spans="5:55"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</row>
    <row r="103" spans="5:55"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</row>
    <row r="104" spans="5:55"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</row>
    <row r="105" spans="5:55"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</row>
    <row r="106" spans="5:55"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</row>
    <row r="107" spans="5:55"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</row>
    <row r="108" spans="5:55"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</row>
    <row r="109" spans="5:55"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</row>
    <row r="110" spans="5:55"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</row>
    <row r="111" spans="5:55"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</row>
    <row r="112" spans="5:55"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5:55"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5:55"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</row>
    <row r="115" spans="5:55"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</row>
    <row r="116" spans="5:55"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</row>
    <row r="117" spans="5:55"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</row>
    <row r="118" spans="5:55"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</row>
    <row r="119" spans="5:55"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  <row r="120" spans="5:55"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</row>
    <row r="121" spans="5:55"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</row>
    <row r="122" spans="5:55"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</row>
    <row r="123" spans="5:55"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</row>
    <row r="124" spans="5:55"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</row>
    <row r="125" spans="5:55"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5:55"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</row>
    <row r="127" spans="5:55"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</row>
    <row r="128" spans="5:55"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5:55"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</row>
    <row r="130" spans="5:55"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</row>
    <row r="131" spans="5:55"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5:55"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</row>
    <row r="133" spans="5:55"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</row>
    <row r="134" spans="5:55"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</row>
    <row r="135" spans="5:55"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</row>
    <row r="136" spans="5:55"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5:55"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</row>
    <row r="138" spans="5:55"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</row>
    <row r="139" spans="5:55"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</row>
    <row r="140" spans="5:55"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</row>
    <row r="141" spans="5:55"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</row>
    <row r="142" spans="5:55"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</row>
    <row r="143" spans="5:55"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</row>
    <row r="144" spans="5:55"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</row>
    <row r="145" spans="5:55"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</row>
    <row r="146" spans="5:55"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</row>
    <row r="147" spans="5:55"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</row>
    <row r="148" spans="5:55"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</row>
    <row r="149" spans="5:55"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5:55"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</row>
    <row r="151" spans="5:55"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</row>
    <row r="152" spans="5:55"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</row>
    <row r="153" spans="5:55"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</row>
    <row r="154" spans="5:55"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</row>
    <row r="155" spans="5:55"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</row>
    <row r="156" spans="5:55"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</row>
    <row r="157" spans="5:55"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</row>
    <row r="158" spans="5:55"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</row>
    <row r="159" spans="5:55"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</row>
    <row r="160" spans="5:55"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</row>
    <row r="161" spans="5:55"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</row>
    <row r="162" spans="5:55"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</row>
    <row r="163" spans="5:55"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</row>
    <row r="164" spans="5:55"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</row>
    <row r="165" spans="5:55"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</row>
    <row r="166" spans="5:55"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</row>
    <row r="167" spans="5:55"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</row>
    <row r="168" spans="5:55"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</row>
    <row r="169" spans="5:55"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</row>
    <row r="170" spans="5:55"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</row>
    <row r="171" spans="5:55"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</row>
    <row r="172" spans="5:55"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</row>
    <row r="173" spans="5:55"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</row>
    <row r="174" spans="5:55"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</row>
    <row r="175" spans="5:55"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</row>
    <row r="176" spans="5:55"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</row>
    <row r="177" spans="5:55"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</row>
    <row r="178" spans="5:55"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</row>
    <row r="179" spans="5:55"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</row>
    <row r="180" spans="5:55"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</row>
    <row r="181" spans="5:55"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</row>
    <row r="182" spans="5:55"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</row>
    <row r="183" spans="5:55"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</row>
    <row r="184" spans="5:55"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</row>
    <row r="185" spans="5:55"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</row>
    <row r="186" spans="5:55"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</row>
    <row r="187" spans="5:55"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</row>
    <row r="188" spans="5:55"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</row>
    <row r="189" spans="5:55"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</row>
    <row r="190" spans="5:55"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</row>
    <row r="191" spans="5:55"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</row>
    <row r="192" spans="5:55"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</row>
    <row r="193" spans="5:55"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</row>
    <row r="194" spans="5:55"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</row>
    <row r="195" spans="5:55"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</row>
    <row r="196" spans="5:55"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</row>
    <row r="197" spans="5:55"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</row>
    <row r="198" spans="5:55"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</row>
    <row r="199" spans="5:55"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</row>
    <row r="200" spans="5:55"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</row>
    <row r="201" spans="5:55"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</row>
    <row r="202" spans="5:55"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</row>
    <row r="203" spans="5:55"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</row>
    <row r="204" spans="5:55"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</row>
    <row r="205" spans="5:55"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</row>
    <row r="206" spans="5:55"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</row>
    <row r="207" spans="5:55"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</row>
    <row r="208" spans="5:55"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</row>
    <row r="209" spans="5:55"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</row>
    <row r="210" spans="5:55"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</row>
    <row r="211" spans="5:55"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</row>
    <row r="212" spans="5:55"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</row>
    <row r="213" spans="5:55"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</row>
    <row r="214" spans="5:55"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</row>
    <row r="215" spans="5:55"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</row>
    <row r="216" spans="5:55"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</row>
    <row r="217" spans="5:55"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</row>
    <row r="218" spans="5:55"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</row>
    <row r="219" spans="5:55"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</row>
    <row r="220" spans="5:55"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</row>
    <row r="221" spans="5:55"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</row>
    <row r="222" spans="5:55"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</row>
    <row r="223" spans="5:55"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</row>
    <row r="224" spans="5:55"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</row>
    <row r="225" spans="5:55"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</row>
    <row r="226" spans="5:55"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</row>
    <row r="227" spans="5:55"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</row>
    <row r="228" spans="5:55"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</row>
    <row r="229" spans="5:55"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</row>
    <row r="230" spans="5:55"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</row>
    <row r="231" spans="5:55"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</row>
    <row r="232" spans="5:55"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</row>
    <row r="233" spans="5:55"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</row>
    <row r="234" spans="5:55"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</row>
    <row r="235" spans="5:55"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</row>
    <row r="236" spans="5:55"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</row>
    <row r="237" spans="5:55"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</row>
    <row r="238" spans="5:55"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</row>
    <row r="239" spans="5:55"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</row>
    <row r="240" spans="5:55"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</row>
    <row r="241" spans="5:55"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</row>
    <row r="242" spans="5:55"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</row>
    <row r="243" spans="5:55"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</row>
    <row r="244" spans="5:55"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</row>
    <row r="245" spans="5:55"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</row>
    <row r="246" spans="5:55"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</row>
    <row r="247" spans="5:55"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</row>
    <row r="248" spans="5:55"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</row>
    <row r="249" spans="5:55"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</row>
  </sheetData>
  <mergeCells count="11">
    <mergeCell ref="A1:AG1"/>
    <mergeCell ref="A2:AG2"/>
    <mergeCell ref="C3:E3"/>
    <mergeCell ref="I3:K3"/>
    <mergeCell ref="L3:N3"/>
    <mergeCell ref="O3:Q3"/>
    <mergeCell ref="W3:Y3"/>
    <mergeCell ref="Z3:AB3"/>
    <mergeCell ref="F3:H3"/>
    <mergeCell ref="AI3:AK3"/>
    <mergeCell ref="AL3:AN3"/>
  </mergeCells>
  <phoneticPr fontId="28" type="noConversion"/>
  <pageMargins left="0.2" right="0.2" top="0.24" bottom="0.24" header="0.17" footer="0.16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75"/>
  <sheetViews>
    <sheetView topLeftCell="B1" workbookViewId="0">
      <pane xSplit="3" ySplit="10" topLeftCell="R52" activePane="bottomRight" state="frozen"/>
      <selection activeCell="B1" sqref="B1"/>
      <selection pane="topRight" activeCell="E1" sqref="E1"/>
      <selection pane="bottomLeft" activeCell="B11" sqref="B11"/>
      <selection pane="bottomRight" activeCell="S23" sqref="S23:S59"/>
    </sheetView>
  </sheetViews>
  <sheetFormatPr defaultRowHeight="12"/>
  <cols>
    <col min="1" max="1" width="3.85546875" style="114" customWidth="1"/>
    <col min="2" max="2" width="35.7109375" style="114" customWidth="1"/>
    <col min="3" max="3" width="0.140625" style="114" customWidth="1"/>
    <col min="4" max="4" width="13.140625" style="114" customWidth="1"/>
    <col min="5" max="5" width="12.28515625" style="114" customWidth="1"/>
    <col min="6" max="6" width="12.140625" style="114" customWidth="1"/>
    <col min="7" max="7" width="9.42578125" style="114" customWidth="1"/>
    <col min="8" max="8" width="10.140625" style="114" customWidth="1"/>
    <col min="9" max="9" width="8.140625" style="114" customWidth="1"/>
    <col min="10" max="10" width="10.85546875" style="114" customWidth="1"/>
    <col min="11" max="11" width="10.5703125" style="114" customWidth="1"/>
    <col min="12" max="12" width="10.42578125" style="114" customWidth="1"/>
    <col min="13" max="13" width="10.85546875" style="114" customWidth="1"/>
    <col min="14" max="14" width="12.28515625" style="114" customWidth="1"/>
    <col min="15" max="15" width="7.42578125" style="114" customWidth="1"/>
    <col min="16" max="16" width="10.5703125" style="114" customWidth="1"/>
    <col min="17" max="17" width="14.28515625" style="114" customWidth="1"/>
    <col min="18" max="18" width="14" style="114" customWidth="1"/>
    <col min="19" max="19" width="15.5703125" style="114" customWidth="1"/>
    <col min="20" max="20" width="9.140625" style="114"/>
    <col min="21" max="21" width="12" style="114" customWidth="1"/>
    <col min="22" max="16384" width="9.140625" style="114"/>
  </cols>
  <sheetData>
    <row r="1" spans="1:37" ht="20.25">
      <c r="A1" s="774" t="s">
        <v>58</v>
      </c>
      <c r="B1" s="775"/>
      <c r="C1" s="775"/>
      <c r="D1" s="775"/>
      <c r="E1" s="113"/>
      <c r="F1" s="113"/>
    </row>
    <row r="2" spans="1:37" ht="15.75">
      <c r="A2" s="776" t="s">
        <v>107</v>
      </c>
      <c r="B2" s="626"/>
      <c r="C2" s="626"/>
      <c r="D2" s="626"/>
      <c r="E2" s="53"/>
      <c r="F2" s="53"/>
    </row>
    <row r="4" spans="1:37" ht="12.75" customHeight="1">
      <c r="A4" s="115" t="s">
        <v>45</v>
      </c>
      <c r="B4" s="116" t="s">
        <v>60</v>
      </c>
      <c r="C4" s="116"/>
      <c r="D4" s="116" t="s">
        <v>108</v>
      </c>
      <c r="E4" s="117"/>
      <c r="F4" s="777"/>
      <c r="G4" s="778"/>
      <c r="H4" s="115">
        <v>62712</v>
      </c>
      <c r="I4" s="115">
        <v>6272</v>
      </c>
      <c r="J4" s="115">
        <v>6273</v>
      </c>
      <c r="K4" s="115">
        <v>6274</v>
      </c>
      <c r="L4" s="115">
        <v>62771</v>
      </c>
      <c r="M4" s="115">
        <v>62775</v>
      </c>
      <c r="N4" s="115">
        <v>62776</v>
      </c>
      <c r="O4" s="115">
        <v>62778</v>
      </c>
      <c r="P4" s="115">
        <v>62781</v>
      </c>
      <c r="Q4" s="114">
        <v>62788</v>
      </c>
      <c r="R4" s="114">
        <v>62789</v>
      </c>
      <c r="S4" s="114">
        <v>6279</v>
      </c>
    </row>
    <row r="5" spans="1:37">
      <c r="A5" s="118"/>
      <c r="B5" s="118"/>
      <c r="C5" s="118"/>
      <c r="D5" s="118"/>
      <c r="E5" s="118">
        <v>62711</v>
      </c>
      <c r="F5" s="118">
        <v>62712</v>
      </c>
      <c r="G5" s="118"/>
      <c r="H5" s="118"/>
      <c r="I5" s="118"/>
      <c r="J5" s="119"/>
      <c r="K5" s="119"/>
      <c r="L5" s="118"/>
      <c r="M5" s="118"/>
      <c r="N5" s="118"/>
      <c r="O5" s="118"/>
      <c r="P5" s="118"/>
      <c r="S5" s="120"/>
    </row>
    <row r="6" spans="1:37" ht="16.5" customHeight="1">
      <c r="A6" s="115"/>
      <c r="B6" s="115"/>
      <c r="C6" s="115"/>
      <c r="D6" s="115"/>
      <c r="E6" s="121"/>
      <c r="F6" s="121">
        <v>18482570</v>
      </c>
      <c r="G6" s="121"/>
      <c r="H6" s="120"/>
      <c r="I6" s="120"/>
      <c r="J6" s="120"/>
      <c r="K6" s="120">
        <v>12518732</v>
      </c>
      <c r="L6" s="120">
        <v>21283846</v>
      </c>
      <c r="M6" s="120">
        <v>54630000</v>
      </c>
      <c r="N6" s="120">
        <v>21726855</v>
      </c>
      <c r="O6" s="120"/>
      <c r="P6" s="120"/>
      <c r="Q6" s="120">
        <v>30005908</v>
      </c>
      <c r="R6" s="120"/>
      <c r="S6" s="120">
        <v>269062208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</row>
    <row r="7" spans="1:37" ht="16.5" customHeight="1">
      <c r="A7" s="122"/>
      <c r="B7" s="122"/>
      <c r="C7" s="122"/>
      <c r="D7" s="122"/>
      <c r="E7" s="123"/>
      <c r="F7" s="124">
        <f>F6/D9</f>
        <v>9.7308604352011902E-3</v>
      </c>
      <c r="G7" s="125"/>
      <c r="H7" s="126"/>
      <c r="I7" s="126"/>
      <c r="J7" s="127"/>
      <c r="K7" s="127">
        <f>K6/D10</f>
        <v>8.5111141145061599E-3</v>
      </c>
      <c r="L7" s="128">
        <f>L6/D22</f>
        <v>4.966966226791298E-2</v>
      </c>
      <c r="M7" s="128">
        <f>M6/D9</f>
        <v>2.8762066399588424E-2</v>
      </c>
      <c r="N7" s="126">
        <f>N6/D10</f>
        <v>1.4771443485995926E-2</v>
      </c>
      <c r="O7" s="126">
        <f>O6/D9</f>
        <v>0</v>
      </c>
      <c r="P7" s="126"/>
      <c r="Q7" s="127">
        <f>Q6/D9</f>
        <v>1.5797765298845717E-2</v>
      </c>
      <c r="R7" s="128"/>
      <c r="S7" s="127">
        <f>S6/D22</f>
        <v>0.62790479692528101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</row>
    <row r="8" spans="1:37" ht="16.5" customHeight="1">
      <c r="A8" s="122"/>
      <c r="B8" s="122"/>
      <c r="C8" s="122"/>
      <c r="D8" s="122"/>
      <c r="E8" s="123"/>
      <c r="F8" s="123"/>
      <c r="G8" s="121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</row>
    <row r="9" spans="1:37" s="132" customFormat="1" ht="16.5" customHeight="1">
      <c r="A9" s="129"/>
      <c r="B9" s="129"/>
      <c r="C9" s="129"/>
      <c r="D9" s="130">
        <f t="shared" ref="D9:K9" si="0">D10+D22</f>
        <v>1899376743</v>
      </c>
      <c r="E9" s="130">
        <f t="shared" si="0"/>
        <v>0</v>
      </c>
      <c r="F9" s="130">
        <f t="shared" si="0"/>
        <v>18482569.173388977</v>
      </c>
      <c r="G9" s="130">
        <f t="shared" si="0"/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0">
        <f t="shared" si="0"/>
        <v>12518731.94810136</v>
      </c>
      <c r="L9" s="130">
        <f t="shared" ref="L9:T9" si="1">L10+L21+L22</f>
        <v>21283845.720889997</v>
      </c>
      <c r="M9" s="130">
        <f t="shared" si="1"/>
        <v>0</v>
      </c>
      <c r="N9" s="130">
        <f t="shared" si="1"/>
        <v>1018921.2468894001</v>
      </c>
      <c r="O9" s="130">
        <f t="shared" si="1"/>
        <v>0</v>
      </c>
      <c r="P9" s="130">
        <f t="shared" si="1"/>
        <v>0</v>
      </c>
      <c r="Q9" s="130">
        <f t="shared" si="1"/>
        <v>1295575.4326450201</v>
      </c>
      <c r="R9" s="130">
        <f t="shared" si="1"/>
        <v>0</v>
      </c>
      <c r="S9" s="130" t="e">
        <f t="shared" si="1"/>
        <v>#REF!</v>
      </c>
      <c r="T9" s="130">
        <f t="shared" si="1"/>
        <v>0</v>
      </c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</row>
    <row r="10" spans="1:37" s="132" customFormat="1" ht="16.5" customHeight="1">
      <c r="A10" s="133" t="s">
        <v>73</v>
      </c>
      <c r="B10" s="134" t="s">
        <v>74</v>
      </c>
      <c r="C10" s="134"/>
      <c r="D10" s="135">
        <f>SUM(D11:D20)</f>
        <v>1470868776</v>
      </c>
      <c r="E10" s="135">
        <f t="shared" ref="E10:M10" si="2">SUM(E11:E20)</f>
        <v>0</v>
      </c>
      <c r="F10" s="135">
        <f t="shared" si="2"/>
        <v>14312818.137627359</v>
      </c>
      <c r="G10" s="135">
        <f t="shared" si="2"/>
        <v>0</v>
      </c>
      <c r="H10" s="135">
        <f t="shared" si="2"/>
        <v>0</v>
      </c>
      <c r="I10" s="135">
        <f t="shared" si="2"/>
        <v>0</v>
      </c>
      <c r="J10" s="135">
        <f t="shared" si="2"/>
        <v>0</v>
      </c>
      <c r="K10" s="135">
        <f t="shared" si="2"/>
        <v>12518731.94810136</v>
      </c>
      <c r="L10" s="135">
        <f t="shared" si="2"/>
        <v>0</v>
      </c>
      <c r="M10" s="135">
        <f t="shared" si="2"/>
        <v>0</v>
      </c>
      <c r="N10" s="135">
        <f>SUM(N14:N20)</f>
        <v>1018921.2468894001</v>
      </c>
      <c r="O10" s="135">
        <f>SUM(O14:O20)</f>
        <v>0</v>
      </c>
      <c r="P10" s="135">
        <f>SUM(P14:P20)</f>
        <v>0</v>
      </c>
      <c r="Q10" s="135">
        <f>SUM(Q14:Q20)</f>
        <v>1295575.4326450201</v>
      </c>
      <c r="R10" s="135">
        <f>SUM(R14:R14)</f>
        <v>0</v>
      </c>
      <c r="S10" s="135" t="e">
        <f>SUM(#REF!)</f>
        <v>#REF!</v>
      </c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</row>
    <row r="11" spans="1:37" s="132" customFormat="1" ht="16.5" customHeight="1">
      <c r="A11" s="129">
        <v>1</v>
      </c>
      <c r="B11" s="80" t="s">
        <v>75</v>
      </c>
      <c r="C11" s="150"/>
      <c r="D11" s="135"/>
      <c r="E11" s="138"/>
      <c r="F11" s="121">
        <f>D11*0.00973086</f>
        <v>0</v>
      </c>
      <c r="G11" s="138"/>
      <c r="H11" s="138"/>
      <c r="I11" s="138"/>
      <c r="J11" s="138"/>
      <c r="K11" s="138">
        <f>D11*0.00851111</f>
        <v>0</v>
      </c>
      <c r="L11" s="138"/>
      <c r="M11" s="138"/>
      <c r="N11" s="138"/>
      <c r="O11" s="138"/>
      <c r="P11" s="138"/>
      <c r="Q11" s="138"/>
      <c r="R11" s="138"/>
      <c r="S11" s="138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</row>
    <row r="12" spans="1:37" s="132" customFormat="1" ht="16.5" customHeight="1">
      <c r="A12" s="129">
        <v>2</v>
      </c>
      <c r="B12" s="80" t="s">
        <v>76</v>
      </c>
      <c r="C12" s="150"/>
      <c r="D12" s="83">
        <v>826838516</v>
      </c>
      <c r="E12" s="138"/>
      <c r="F12" s="121">
        <f t="shared" ref="F12:F57" si="3">D12*0.00973086</f>
        <v>8045849.8418037593</v>
      </c>
      <c r="G12" s="138"/>
      <c r="H12" s="138"/>
      <c r="I12" s="138"/>
      <c r="J12" s="138"/>
      <c r="K12" s="138">
        <f>D12*0.00851111+6</f>
        <v>7037319.5619127601</v>
      </c>
      <c r="L12" s="138"/>
      <c r="M12" s="138"/>
      <c r="N12" s="138"/>
      <c r="O12" s="138"/>
      <c r="P12" s="138"/>
      <c r="Q12" s="138"/>
      <c r="R12" s="138"/>
      <c r="S12" s="138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</row>
    <row r="13" spans="1:37" s="132" customFormat="1" ht="16.5" customHeight="1">
      <c r="A13" s="129">
        <v>3</v>
      </c>
      <c r="B13" s="80" t="s">
        <v>77</v>
      </c>
      <c r="C13" s="150"/>
      <c r="D13" s="135"/>
      <c r="E13" s="138"/>
      <c r="F13" s="121">
        <f t="shared" si="3"/>
        <v>0</v>
      </c>
      <c r="G13" s="138"/>
      <c r="H13" s="138"/>
      <c r="I13" s="138"/>
      <c r="J13" s="138"/>
      <c r="K13" s="138">
        <f t="shared" ref="K13:K20" si="4">D13*0.00851111</f>
        <v>0</v>
      </c>
      <c r="L13" s="138"/>
      <c r="M13" s="138"/>
      <c r="N13" s="138"/>
      <c r="O13" s="138"/>
      <c r="P13" s="138"/>
      <c r="Q13" s="138"/>
      <c r="R13" s="138"/>
      <c r="S13" s="138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</row>
    <row r="14" spans="1:37" ht="16.5" customHeight="1">
      <c r="A14" s="129">
        <v>4</v>
      </c>
      <c r="B14" s="80" t="s">
        <v>78</v>
      </c>
      <c r="C14" s="144"/>
      <c r="D14" s="83">
        <v>78759990</v>
      </c>
      <c r="E14" s="121"/>
      <c r="F14" s="121">
        <f t="shared" si="3"/>
        <v>766402.43629139988</v>
      </c>
      <c r="G14" s="121"/>
      <c r="H14" s="121"/>
      <c r="I14" s="121"/>
      <c r="J14" s="121"/>
      <c r="K14" s="138">
        <f t="shared" si="4"/>
        <v>670334.93848890008</v>
      </c>
      <c r="L14" s="121"/>
      <c r="M14" s="121"/>
      <c r="N14" s="121"/>
      <c r="O14" s="121"/>
      <c r="P14" s="121"/>
      <c r="Q14" s="121"/>
      <c r="R14" s="121"/>
      <c r="S14" s="121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</row>
    <row r="15" spans="1:37" ht="16.5" customHeight="1">
      <c r="A15" s="129">
        <v>5</v>
      </c>
      <c r="B15" s="80" t="s">
        <v>79</v>
      </c>
      <c r="C15" s="136"/>
      <c r="D15" s="83">
        <v>175679106</v>
      </c>
      <c r="E15" s="121"/>
      <c r="F15" s="121">
        <f t="shared" si="3"/>
        <v>1709508.7854111597</v>
      </c>
      <c r="G15" s="120"/>
      <c r="H15" s="121"/>
      <c r="I15" s="120"/>
      <c r="J15" s="121"/>
      <c r="K15" s="138">
        <f t="shared" si="4"/>
        <v>1495224.19586766</v>
      </c>
      <c r="L15" s="120"/>
      <c r="M15" s="121"/>
      <c r="N15" s="121">
        <f t="shared" ref="N15:N20" si="5">D15*0.0057999</f>
        <v>1018921.2468894001</v>
      </c>
      <c r="O15" s="121"/>
      <c r="P15" s="120"/>
      <c r="Q15" s="121">
        <f>D15*0.00737467</f>
        <v>1295575.4326450201</v>
      </c>
      <c r="R15" s="121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</row>
    <row r="16" spans="1:37" ht="16.5" customHeight="1">
      <c r="A16" s="129">
        <v>6</v>
      </c>
      <c r="B16" s="80" t="s">
        <v>80</v>
      </c>
      <c r="C16" s="136"/>
      <c r="D16" s="83"/>
      <c r="E16" s="121"/>
      <c r="F16" s="121">
        <f t="shared" si="3"/>
        <v>0</v>
      </c>
      <c r="G16" s="120"/>
      <c r="H16" s="121"/>
      <c r="I16" s="120"/>
      <c r="J16" s="121"/>
      <c r="K16" s="138">
        <f t="shared" si="4"/>
        <v>0</v>
      </c>
      <c r="L16" s="120"/>
      <c r="M16" s="121"/>
      <c r="N16" s="121">
        <f t="shared" si="5"/>
        <v>0</v>
      </c>
      <c r="O16" s="121"/>
      <c r="P16" s="120"/>
      <c r="Q16" s="121">
        <f>D16*0.00737467</f>
        <v>0</v>
      </c>
      <c r="R16" s="121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</row>
    <row r="17" spans="1:37" ht="16.5" customHeight="1">
      <c r="A17" s="129">
        <v>7</v>
      </c>
      <c r="B17" s="80" t="s">
        <v>81</v>
      </c>
      <c r="C17" s="136"/>
      <c r="D17" s="83">
        <f>300314165+89276999</f>
        <v>389591164</v>
      </c>
      <c r="E17" s="121"/>
      <c r="F17" s="121">
        <f t="shared" si="3"/>
        <v>3791057.0741210398</v>
      </c>
      <c r="G17" s="120"/>
      <c r="H17" s="121"/>
      <c r="I17" s="120"/>
      <c r="J17" s="121"/>
      <c r="K17" s="138">
        <f t="shared" si="4"/>
        <v>3315853.25183204</v>
      </c>
      <c r="L17" s="120"/>
      <c r="M17" s="121"/>
      <c r="N17" s="121"/>
      <c r="O17" s="121"/>
      <c r="P17" s="120"/>
      <c r="Q17" s="121"/>
      <c r="R17" s="121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</row>
    <row r="18" spans="1:37" ht="16.5" customHeight="1">
      <c r="A18" s="129">
        <v>8</v>
      </c>
      <c r="B18" s="80" t="s">
        <v>82</v>
      </c>
      <c r="C18" s="136"/>
      <c r="D18" s="83"/>
      <c r="E18" s="121"/>
      <c r="F18" s="121">
        <f t="shared" si="3"/>
        <v>0</v>
      </c>
      <c r="G18" s="120"/>
      <c r="H18" s="121"/>
      <c r="I18" s="120"/>
      <c r="J18" s="121"/>
      <c r="K18" s="138">
        <f t="shared" si="4"/>
        <v>0</v>
      </c>
      <c r="L18" s="120"/>
      <c r="M18" s="121"/>
      <c r="N18" s="121">
        <f t="shared" si="5"/>
        <v>0</v>
      </c>
      <c r="O18" s="121"/>
      <c r="P18" s="120"/>
      <c r="Q18" s="121">
        <f>D18*0.00737467</f>
        <v>0</v>
      </c>
      <c r="R18" s="121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</row>
    <row r="19" spans="1:37" ht="16.5" customHeight="1">
      <c r="A19" s="129">
        <v>9</v>
      </c>
      <c r="B19" s="80" t="s">
        <v>83</v>
      </c>
      <c r="C19" s="136"/>
      <c r="D19" s="83"/>
      <c r="E19" s="121"/>
      <c r="F19" s="121">
        <f t="shared" si="3"/>
        <v>0</v>
      </c>
      <c r="G19" s="120"/>
      <c r="H19" s="121"/>
      <c r="I19" s="120"/>
      <c r="J19" s="121"/>
      <c r="K19" s="138">
        <f t="shared" si="4"/>
        <v>0</v>
      </c>
      <c r="L19" s="120"/>
      <c r="M19" s="121"/>
      <c r="N19" s="121"/>
      <c r="O19" s="121"/>
      <c r="P19" s="120"/>
      <c r="Q19" s="121"/>
      <c r="R19" s="121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</row>
    <row r="20" spans="1:37" ht="16.5" customHeight="1">
      <c r="A20" s="129">
        <v>10</v>
      </c>
      <c r="B20" s="80" t="s">
        <v>84</v>
      </c>
      <c r="C20" s="136"/>
      <c r="D20" s="83"/>
      <c r="E20" s="121"/>
      <c r="F20" s="121">
        <f t="shared" si="3"/>
        <v>0</v>
      </c>
      <c r="G20" s="120"/>
      <c r="H20" s="121"/>
      <c r="I20" s="120"/>
      <c r="J20" s="121"/>
      <c r="K20" s="138">
        <f t="shared" si="4"/>
        <v>0</v>
      </c>
      <c r="L20" s="120"/>
      <c r="M20" s="121"/>
      <c r="N20" s="121">
        <f t="shared" si="5"/>
        <v>0</v>
      </c>
      <c r="O20" s="121"/>
      <c r="P20" s="120"/>
      <c r="Q20" s="121">
        <f>D20*0.00737467</f>
        <v>0</v>
      </c>
      <c r="R20" s="121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</row>
    <row r="21" spans="1:37" s="132" customFormat="1" ht="16.5" customHeight="1">
      <c r="A21" s="133" t="s">
        <v>85</v>
      </c>
      <c r="B21" s="136"/>
      <c r="C21" s="136"/>
      <c r="D21" s="135"/>
      <c r="E21" s="121"/>
      <c r="F21" s="121">
        <f t="shared" si="3"/>
        <v>0</v>
      </c>
      <c r="G21" s="131"/>
      <c r="H21" s="138"/>
      <c r="I21" s="131"/>
      <c r="J21" s="131"/>
      <c r="K21" s="121">
        <f>D21*0.00545801</f>
        <v>0</v>
      </c>
      <c r="L21" s="131"/>
      <c r="M21" s="121"/>
      <c r="N21" s="121"/>
      <c r="O21" s="121"/>
      <c r="P21" s="131"/>
      <c r="Q21" s="121">
        <f>D21*0.00737467</f>
        <v>0</v>
      </c>
      <c r="R21" s="138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</row>
    <row r="22" spans="1:37" s="132" customFormat="1" ht="16.5" customHeight="1">
      <c r="A22" s="133" t="s">
        <v>87</v>
      </c>
      <c r="B22" s="133" t="s">
        <v>88</v>
      </c>
      <c r="C22" s="133"/>
      <c r="D22" s="135">
        <f>SUM(D23:D58)</f>
        <v>428507967</v>
      </c>
      <c r="E22" s="135">
        <f t="shared" ref="E22:L22" si="6">SUM(E23:E60)</f>
        <v>0</v>
      </c>
      <c r="F22" s="135">
        <f t="shared" si="6"/>
        <v>4169751.0357616185</v>
      </c>
      <c r="G22" s="135">
        <f t="shared" si="6"/>
        <v>0</v>
      </c>
      <c r="H22" s="135">
        <f t="shared" si="6"/>
        <v>0</v>
      </c>
      <c r="I22" s="135">
        <f t="shared" si="6"/>
        <v>0</v>
      </c>
      <c r="J22" s="135">
        <f t="shared" si="6"/>
        <v>0</v>
      </c>
      <c r="K22" s="135">
        <f t="shared" si="6"/>
        <v>0</v>
      </c>
      <c r="L22" s="135">
        <f t="shared" si="6"/>
        <v>21283845.720889997</v>
      </c>
      <c r="M22" s="135">
        <f t="shared" ref="M22:S22" si="7">SUM(M23:M60)</f>
        <v>0</v>
      </c>
      <c r="N22" s="135">
        <f t="shared" si="7"/>
        <v>0</v>
      </c>
      <c r="O22" s="135">
        <f t="shared" si="7"/>
        <v>0</v>
      </c>
      <c r="P22" s="135">
        <f t="shared" si="7"/>
        <v>0</v>
      </c>
      <c r="Q22" s="135">
        <f t="shared" si="7"/>
        <v>0</v>
      </c>
      <c r="R22" s="135">
        <f t="shared" si="7"/>
        <v>0</v>
      </c>
      <c r="S22" s="135">
        <f t="shared" si="7"/>
        <v>269062208.3175416</v>
      </c>
      <c r="T22" s="135">
        <f>SUM(T39:T63)</f>
        <v>0</v>
      </c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</row>
    <row r="23" spans="1:37" s="132" customFormat="1" ht="16.5" customHeight="1">
      <c r="A23" s="133"/>
      <c r="B23" s="148" t="s">
        <v>149</v>
      </c>
      <c r="C23" s="147"/>
      <c r="D23" s="83">
        <v>11832000</v>
      </c>
      <c r="E23" s="138"/>
      <c r="F23" s="121">
        <f t="shared" si="3"/>
        <v>115135.53551999999</v>
      </c>
      <c r="G23" s="138"/>
      <c r="H23" s="138"/>
      <c r="I23" s="138"/>
      <c r="J23" s="138"/>
      <c r="K23" s="138"/>
      <c r="L23" s="138">
        <f>D23*0.04967-145</f>
        <v>587550.43999999994</v>
      </c>
      <c r="M23" s="138"/>
      <c r="N23" s="138"/>
      <c r="O23" s="138"/>
      <c r="P23" s="138"/>
      <c r="Q23" s="138"/>
      <c r="R23" s="138"/>
      <c r="S23" s="138">
        <f>D23*0.6279048-1</f>
        <v>7429368.5936000003</v>
      </c>
      <c r="T23" s="138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</row>
    <row r="24" spans="1:37" s="132" customFormat="1" ht="16.5" customHeight="1">
      <c r="A24" s="133"/>
      <c r="B24" s="148" t="s">
        <v>148</v>
      </c>
      <c r="C24" s="147"/>
      <c r="D24" s="83">
        <v>8160000</v>
      </c>
      <c r="E24" s="138"/>
      <c r="F24" s="121">
        <f t="shared" si="3"/>
        <v>79403.817599999995</v>
      </c>
      <c r="G24" s="138"/>
      <c r="H24" s="138"/>
      <c r="I24" s="138"/>
      <c r="J24" s="138"/>
      <c r="K24" s="138"/>
      <c r="L24" s="138">
        <f t="shared" ref="L24:L57" si="8">D24*0.04967</f>
        <v>405307.2</v>
      </c>
      <c r="M24" s="138"/>
      <c r="N24" s="138"/>
      <c r="O24" s="138"/>
      <c r="P24" s="138"/>
      <c r="Q24" s="138"/>
      <c r="R24" s="138"/>
      <c r="S24" s="138">
        <f t="shared" ref="S24:S60" si="9">D24*0.6279048</f>
        <v>5123703.1680000005</v>
      </c>
      <c r="T24" s="138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</row>
    <row r="25" spans="1:37" s="132" customFormat="1" ht="16.5" customHeight="1">
      <c r="A25" s="133"/>
      <c r="B25" s="148" t="s">
        <v>147</v>
      </c>
      <c r="C25" s="147"/>
      <c r="D25" s="83">
        <v>1360000</v>
      </c>
      <c r="E25" s="138"/>
      <c r="F25" s="121">
        <f t="shared" si="3"/>
        <v>13233.969599999999</v>
      </c>
      <c r="G25" s="138"/>
      <c r="H25" s="138"/>
      <c r="I25" s="138"/>
      <c r="J25" s="138"/>
      <c r="K25" s="138"/>
      <c r="L25" s="138">
        <f t="shared" si="8"/>
        <v>67551.199999999997</v>
      </c>
      <c r="M25" s="138"/>
      <c r="N25" s="138"/>
      <c r="O25" s="138"/>
      <c r="P25" s="138"/>
      <c r="Q25" s="138"/>
      <c r="R25" s="138"/>
      <c r="S25" s="138">
        <f t="shared" si="9"/>
        <v>853950.52800000005</v>
      </c>
      <c r="T25" s="138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</row>
    <row r="26" spans="1:37" s="132" customFormat="1" ht="16.5" customHeight="1">
      <c r="A26" s="133"/>
      <c r="B26" s="148" t="s">
        <v>146</v>
      </c>
      <c r="C26" s="147"/>
      <c r="D26" s="83"/>
      <c r="E26" s="138"/>
      <c r="F26" s="121">
        <f t="shared" si="3"/>
        <v>0</v>
      </c>
      <c r="G26" s="138"/>
      <c r="H26" s="138"/>
      <c r="I26" s="138"/>
      <c r="J26" s="138"/>
      <c r="K26" s="138"/>
      <c r="L26" s="138">
        <f t="shared" si="8"/>
        <v>0</v>
      </c>
      <c r="M26" s="138"/>
      <c r="N26" s="138"/>
      <c r="O26" s="138"/>
      <c r="P26" s="138"/>
      <c r="Q26" s="138"/>
      <c r="R26" s="138"/>
      <c r="S26" s="138">
        <f t="shared" si="9"/>
        <v>0</v>
      </c>
      <c r="T26" s="138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</row>
    <row r="27" spans="1:37" s="132" customFormat="1" ht="16.5" customHeight="1">
      <c r="A27" s="133"/>
      <c r="B27" s="148" t="s">
        <v>145</v>
      </c>
      <c r="C27" s="147"/>
      <c r="D27" s="83">
        <v>3513356</v>
      </c>
      <c r="E27" s="138"/>
      <c r="F27" s="121">
        <f t="shared" si="3"/>
        <v>34187.975366159997</v>
      </c>
      <c r="G27" s="138"/>
      <c r="H27" s="138"/>
      <c r="I27" s="138"/>
      <c r="J27" s="138"/>
      <c r="K27" s="138"/>
      <c r="L27" s="138">
        <f t="shared" si="8"/>
        <v>174508.39251999999</v>
      </c>
      <c r="M27" s="138"/>
      <c r="N27" s="138"/>
      <c r="O27" s="138"/>
      <c r="P27" s="138"/>
      <c r="Q27" s="138"/>
      <c r="R27" s="138"/>
      <c r="S27" s="138">
        <f t="shared" si="9"/>
        <v>2206053.0965088001</v>
      </c>
      <c r="T27" s="138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</row>
    <row r="28" spans="1:37" s="132" customFormat="1" ht="16.5" customHeight="1">
      <c r="A28" s="133"/>
      <c r="B28" s="148" t="s">
        <v>144</v>
      </c>
      <c r="C28" s="147"/>
      <c r="D28" s="83">
        <v>1063993</v>
      </c>
      <c r="E28" s="138"/>
      <c r="F28" s="121">
        <f t="shared" si="3"/>
        <v>10353.566923979999</v>
      </c>
      <c r="G28" s="138"/>
      <c r="H28" s="138"/>
      <c r="I28" s="138"/>
      <c r="J28" s="138"/>
      <c r="K28" s="138"/>
      <c r="L28" s="138">
        <f t="shared" si="8"/>
        <v>52848.532310000002</v>
      </c>
      <c r="M28" s="138"/>
      <c r="N28" s="138"/>
      <c r="O28" s="138"/>
      <c r="P28" s="138"/>
      <c r="Q28" s="138"/>
      <c r="R28" s="138"/>
      <c r="S28" s="138">
        <f t="shared" si="9"/>
        <v>668086.31186640006</v>
      </c>
      <c r="T28" s="138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</row>
    <row r="29" spans="1:37" s="132" customFormat="1" ht="16.5" customHeight="1">
      <c r="A29" s="133"/>
      <c r="B29" s="148" t="s">
        <v>143</v>
      </c>
      <c r="C29" s="147"/>
      <c r="D29" s="83">
        <v>265998</v>
      </c>
      <c r="E29" s="138"/>
      <c r="F29" s="121">
        <f t="shared" si="3"/>
        <v>2588.3892982799998</v>
      </c>
      <c r="G29" s="138"/>
      <c r="H29" s="138"/>
      <c r="I29" s="138"/>
      <c r="J29" s="138"/>
      <c r="K29" s="138"/>
      <c r="L29" s="138">
        <f t="shared" si="8"/>
        <v>13212.12066</v>
      </c>
      <c r="M29" s="138"/>
      <c r="N29" s="138"/>
      <c r="O29" s="138"/>
      <c r="P29" s="138"/>
      <c r="Q29" s="138"/>
      <c r="R29" s="138"/>
      <c r="S29" s="138">
        <f t="shared" si="9"/>
        <v>167021.42099040002</v>
      </c>
      <c r="T29" s="138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</row>
    <row r="30" spans="1:37" s="132" customFormat="1" ht="16.5" customHeight="1">
      <c r="A30" s="133"/>
      <c r="B30" s="148" t="s">
        <v>142</v>
      </c>
      <c r="C30" s="147"/>
      <c r="D30" s="83">
        <v>42175426</v>
      </c>
      <c r="E30" s="138"/>
      <c r="F30" s="121">
        <f t="shared" si="3"/>
        <v>410403.16584635997</v>
      </c>
      <c r="G30" s="138"/>
      <c r="H30" s="138"/>
      <c r="I30" s="138"/>
      <c r="J30" s="138"/>
      <c r="K30" s="138"/>
      <c r="L30" s="138">
        <f t="shared" si="8"/>
        <v>2094853.4094199999</v>
      </c>
      <c r="M30" s="138"/>
      <c r="N30" s="138"/>
      <c r="O30" s="138"/>
      <c r="P30" s="138"/>
      <c r="Q30" s="138"/>
      <c r="R30" s="138"/>
      <c r="S30" s="138">
        <f t="shared" si="9"/>
        <v>26482152.427444801</v>
      </c>
      <c r="T30" s="138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</row>
    <row r="31" spans="1:37" s="132" customFormat="1" ht="16.5" customHeight="1">
      <c r="A31" s="133"/>
      <c r="B31" s="148" t="s">
        <v>141</v>
      </c>
      <c r="C31" s="147"/>
      <c r="D31" s="83">
        <v>50671133</v>
      </c>
      <c r="E31" s="138"/>
      <c r="F31" s="121">
        <f t="shared" si="3"/>
        <v>493073.70126437995</v>
      </c>
      <c r="G31" s="138"/>
      <c r="H31" s="138"/>
      <c r="I31" s="138"/>
      <c r="J31" s="138"/>
      <c r="K31" s="138"/>
      <c r="L31" s="138">
        <f t="shared" si="8"/>
        <v>2516835.1761099999</v>
      </c>
      <c r="M31" s="138"/>
      <c r="N31" s="138"/>
      <c r="O31" s="138"/>
      <c r="P31" s="138"/>
      <c r="Q31" s="138"/>
      <c r="R31" s="138"/>
      <c r="S31" s="138">
        <f t="shared" si="9"/>
        <v>31816647.632138401</v>
      </c>
      <c r="T31" s="138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</row>
    <row r="32" spans="1:37" s="132" customFormat="1" ht="16.5" customHeight="1">
      <c r="A32" s="133"/>
      <c r="B32" s="148" t="s">
        <v>140</v>
      </c>
      <c r="C32" s="147"/>
      <c r="D32" s="83">
        <v>3618795</v>
      </c>
      <c r="E32" s="138"/>
      <c r="F32" s="121">
        <f t="shared" si="3"/>
        <v>35213.987513699998</v>
      </c>
      <c r="G32" s="138"/>
      <c r="H32" s="138"/>
      <c r="I32" s="138"/>
      <c r="J32" s="138"/>
      <c r="K32" s="138"/>
      <c r="L32" s="138">
        <f t="shared" si="8"/>
        <v>179745.54764999999</v>
      </c>
      <c r="M32" s="138"/>
      <c r="N32" s="138"/>
      <c r="O32" s="138"/>
      <c r="P32" s="138"/>
      <c r="Q32" s="138"/>
      <c r="R32" s="138"/>
      <c r="S32" s="138">
        <f t="shared" si="9"/>
        <v>2272258.7507160003</v>
      </c>
      <c r="T32" s="138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</row>
    <row r="33" spans="1:37" s="132" customFormat="1" ht="16.5" customHeight="1">
      <c r="A33" s="133"/>
      <c r="B33" s="148" t="s">
        <v>139</v>
      </c>
      <c r="C33" s="147"/>
      <c r="D33" s="83">
        <v>32829421</v>
      </c>
      <c r="E33" s="138"/>
      <c r="F33" s="121">
        <f t="shared" si="3"/>
        <v>319458.49963205995</v>
      </c>
      <c r="G33" s="138"/>
      <c r="H33" s="138"/>
      <c r="I33" s="138"/>
      <c r="J33" s="138"/>
      <c r="K33" s="138"/>
      <c r="L33" s="138">
        <f t="shared" si="8"/>
        <v>1630637.3410699998</v>
      </c>
      <c r="M33" s="138"/>
      <c r="N33" s="138"/>
      <c r="O33" s="138"/>
      <c r="P33" s="138"/>
      <c r="Q33" s="138"/>
      <c r="R33" s="138"/>
      <c r="S33" s="138">
        <f t="shared" si="9"/>
        <v>20613751.027120803</v>
      </c>
      <c r="T33" s="138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</row>
    <row r="34" spans="1:37" s="132" customFormat="1" ht="16.5" customHeight="1">
      <c r="A34" s="133"/>
      <c r="B34" s="148" t="s">
        <v>138</v>
      </c>
      <c r="C34" s="147"/>
      <c r="D34" s="83">
        <v>14644691</v>
      </c>
      <c r="E34" s="138"/>
      <c r="F34" s="121">
        <f t="shared" si="3"/>
        <v>142505.43786425999</v>
      </c>
      <c r="G34" s="138"/>
      <c r="H34" s="138"/>
      <c r="I34" s="138"/>
      <c r="J34" s="138"/>
      <c r="K34" s="138"/>
      <c r="L34" s="138">
        <f t="shared" si="8"/>
        <v>727401.80197000003</v>
      </c>
      <c r="M34" s="138"/>
      <c r="N34" s="138"/>
      <c r="O34" s="138"/>
      <c r="P34" s="138"/>
      <c r="Q34" s="138"/>
      <c r="R34" s="138"/>
      <c r="S34" s="138">
        <f t="shared" si="9"/>
        <v>9195471.7734168004</v>
      </c>
      <c r="T34" s="138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</row>
    <row r="35" spans="1:37" s="132" customFormat="1" ht="16.5" customHeight="1">
      <c r="A35" s="133"/>
      <c r="B35" s="148" t="s">
        <v>137</v>
      </c>
      <c r="C35" s="147"/>
      <c r="D35" s="83">
        <v>2871508</v>
      </c>
      <c r="E35" s="138"/>
      <c r="F35" s="121">
        <f t="shared" si="3"/>
        <v>27942.242336879997</v>
      </c>
      <c r="G35" s="138"/>
      <c r="H35" s="138"/>
      <c r="I35" s="138"/>
      <c r="J35" s="138"/>
      <c r="K35" s="138"/>
      <c r="L35" s="138">
        <f t="shared" si="8"/>
        <v>142627.80236</v>
      </c>
      <c r="M35" s="138"/>
      <c r="N35" s="138"/>
      <c r="O35" s="138"/>
      <c r="P35" s="138"/>
      <c r="Q35" s="138"/>
      <c r="R35" s="138"/>
      <c r="S35" s="138">
        <f t="shared" si="9"/>
        <v>1803033.6564384</v>
      </c>
      <c r="T35" s="138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</row>
    <row r="36" spans="1:37" s="132" customFormat="1" ht="16.5" customHeight="1">
      <c r="A36" s="133"/>
      <c r="B36" s="148" t="s">
        <v>136</v>
      </c>
      <c r="C36" s="147"/>
      <c r="D36" s="83">
        <v>31863858</v>
      </c>
      <c r="E36" s="138"/>
      <c r="F36" s="121">
        <f t="shared" si="3"/>
        <v>310062.74125788</v>
      </c>
      <c r="G36" s="138"/>
      <c r="H36" s="138"/>
      <c r="I36" s="138"/>
      <c r="J36" s="138"/>
      <c r="K36" s="138"/>
      <c r="L36" s="138">
        <f t="shared" si="8"/>
        <v>1582677.8268599999</v>
      </c>
      <c r="M36" s="138"/>
      <c r="N36" s="138"/>
      <c r="O36" s="138"/>
      <c r="P36" s="138"/>
      <c r="Q36" s="138"/>
      <c r="R36" s="138"/>
      <c r="S36" s="138">
        <f t="shared" si="9"/>
        <v>20007469.384718399</v>
      </c>
      <c r="T36" s="138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</row>
    <row r="37" spans="1:37" s="132" customFormat="1" ht="16.5" customHeight="1">
      <c r="A37" s="133"/>
      <c r="B37" s="148" t="s">
        <v>135</v>
      </c>
      <c r="C37" s="147"/>
      <c r="D37" s="83">
        <v>12409010</v>
      </c>
      <c r="E37" s="138"/>
      <c r="F37" s="121">
        <f t="shared" si="3"/>
        <v>120750.33904859998</v>
      </c>
      <c r="G37" s="138"/>
      <c r="H37" s="138"/>
      <c r="I37" s="138"/>
      <c r="J37" s="138"/>
      <c r="K37" s="138"/>
      <c r="L37" s="138">
        <f t="shared" si="8"/>
        <v>616355.52669999993</v>
      </c>
      <c r="M37" s="138"/>
      <c r="N37" s="138"/>
      <c r="O37" s="138"/>
      <c r="P37" s="138"/>
      <c r="Q37" s="138"/>
      <c r="R37" s="138"/>
      <c r="S37" s="138">
        <f t="shared" si="9"/>
        <v>7791676.9422480008</v>
      </c>
      <c r="T37" s="138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</row>
    <row r="38" spans="1:37" s="132" customFormat="1" ht="16.5" customHeight="1">
      <c r="A38" s="133"/>
      <c r="B38" s="148" t="s">
        <v>134</v>
      </c>
      <c r="C38" s="147"/>
      <c r="D38" s="83">
        <v>1118542</v>
      </c>
      <c r="E38" s="138"/>
      <c r="F38" s="121">
        <f t="shared" si="3"/>
        <v>10884.375606119998</v>
      </c>
      <c r="G38" s="138"/>
      <c r="H38" s="138"/>
      <c r="I38" s="138"/>
      <c r="J38" s="138"/>
      <c r="K38" s="138"/>
      <c r="L38" s="138">
        <f t="shared" si="8"/>
        <v>55557.981139999996</v>
      </c>
      <c r="M38" s="138"/>
      <c r="N38" s="138"/>
      <c r="O38" s="138"/>
      <c r="P38" s="138"/>
      <c r="Q38" s="138"/>
      <c r="R38" s="138"/>
      <c r="S38" s="138">
        <f t="shared" si="9"/>
        <v>702337.89080160006</v>
      </c>
      <c r="T38" s="138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</row>
    <row r="39" spans="1:37" ht="16.5" customHeight="1">
      <c r="A39" s="137">
        <v>1</v>
      </c>
      <c r="B39" s="148" t="s">
        <v>133</v>
      </c>
      <c r="C39" s="139"/>
      <c r="D39" s="83">
        <v>18088952</v>
      </c>
      <c r="E39" s="121"/>
      <c r="F39" s="121">
        <f t="shared" si="3"/>
        <v>176021.05945871997</v>
      </c>
      <c r="G39" s="120"/>
      <c r="H39" s="121"/>
      <c r="I39" s="120"/>
      <c r="J39" s="120"/>
      <c r="K39" s="121"/>
      <c r="L39" s="138">
        <f t="shared" si="8"/>
        <v>898478.24583999999</v>
      </c>
      <c r="M39" s="121"/>
      <c r="N39" s="121"/>
      <c r="O39" s="121"/>
      <c r="P39" s="120"/>
      <c r="Q39" s="121"/>
      <c r="R39" s="121"/>
      <c r="S39" s="138">
        <f t="shared" si="9"/>
        <v>11358139.787769601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</row>
    <row r="40" spans="1:37" ht="16.5" customHeight="1">
      <c r="A40" s="137">
        <v>2</v>
      </c>
      <c r="B40" s="148" t="s">
        <v>132</v>
      </c>
      <c r="C40" s="139"/>
      <c r="D40" s="83">
        <v>7715800</v>
      </c>
      <c r="E40" s="121"/>
      <c r="F40" s="121">
        <f t="shared" si="3"/>
        <v>75081.369587999987</v>
      </c>
      <c r="G40" s="120"/>
      <c r="H40" s="121"/>
      <c r="I40" s="120"/>
      <c r="J40" s="120"/>
      <c r="K40" s="121"/>
      <c r="L40" s="138">
        <f t="shared" si="8"/>
        <v>383243.78599999996</v>
      </c>
      <c r="M40" s="121"/>
      <c r="N40" s="121"/>
      <c r="O40" s="121"/>
      <c r="P40" s="120"/>
      <c r="Q40" s="121"/>
      <c r="R40" s="121"/>
      <c r="S40" s="138">
        <f t="shared" si="9"/>
        <v>4844787.8558400003</v>
      </c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</row>
    <row r="41" spans="1:37" ht="16.5" customHeight="1">
      <c r="A41" s="137">
        <v>3</v>
      </c>
      <c r="B41" s="148" t="s">
        <v>131</v>
      </c>
      <c r="C41" s="139"/>
      <c r="D41" s="83">
        <v>15000973</v>
      </c>
      <c r="E41" s="121"/>
      <c r="F41" s="121">
        <f t="shared" si="3"/>
        <v>145972.36812678</v>
      </c>
      <c r="G41" s="120"/>
      <c r="H41" s="121"/>
      <c r="I41" s="120"/>
      <c r="J41" s="120"/>
      <c r="K41" s="121"/>
      <c r="L41" s="138">
        <f t="shared" si="8"/>
        <v>745098.32891000004</v>
      </c>
      <c r="M41" s="121"/>
      <c r="N41" s="121"/>
      <c r="O41" s="121"/>
      <c r="P41" s="120"/>
      <c r="Q41" s="121"/>
      <c r="R41" s="121"/>
      <c r="S41" s="138">
        <f t="shared" si="9"/>
        <v>9419182.9513704013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</row>
    <row r="42" spans="1:37" ht="16.5" customHeight="1">
      <c r="A42" s="137">
        <v>4</v>
      </c>
      <c r="B42" s="148" t="s">
        <v>130</v>
      </c>
      <c r="C42" s="139"/>
      <c r="D42" s="83">
        <v>12082689</v>
      </c>
      <c r="E42" s="121"/>
      <c r="F42" s="121">
        <f t="shared" si="3"/>
        <v>117574.95508253999</v>
      </c>
      <c r="G42" s="120"/>
      <c r="H42" s="121"/>
      <c r="I42" s="120"/>
      <c r="J42" s="120"/>
      <c r="K42" s="121"/>
      <c r="L42" s="138">
        <f t="shared" si="8"/>
        <v>600147.16263000004</v>
      </c>
      <c r="M42" s="121"/>
      <c r="N42" s="121"/>
      <c r="O42" s="121"/>
      <c r="P42" s="120"/>
      <c r="Q42" s="121"/>
      <c r="R42" s="121"/>
      <c r="S42" s="138">
        <f t="shared" si="9"/>
        <v>7586778.4200072009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</row>
    <row r="43" spans="1:37" ht="16.5" customHeight="1">
      <c r="A43" s="137">
        <v>5</v>
      </c>
      <c r="B43" s="148" t="s">
        <v>129</v>
      </c>
      <c r="C43" s="139"/>
      <c r="D43" s="83">
        <v>36405133</v>
      </c>
      <c r="E43" s="121"/>
      <c r="F43" s="121">
        <f t="shared" si="3"/>
        <v>354253.25250437995</v>
      </c>
      <c r="G43" s="120"/>
      <c r="H43" s="121"/>
      <c r="I43" s="120"/>
      <c r="J43" s="120"/>
      <c r="K43" s="121"/>
      <c r="L43" s="138">
        <f t="shared" si="8"/>
        <v>1808242.9561099999</v>
      </c>
      <c r="M43" s="121"/>
      <c r="N43" s="121"/>
      <c r="O43" s="121"/>
      <c r="P43" s="120"/>
      <c r="Q43" s="121"/>
      <c r="R43" s="121"/>
      <c r="S43" s="138">
        <f t="shared" si="9"/>
        <v>22858957.755338401</v>
      </c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</row>
    <row r="44" spans="1:37" ht="16.5" customHeight="1">
      <c r="A44" s="137">
        <v>6</v>
      </c>
      <c r="B44" s="148" t="s">
        <v>128</v>
      </c>
      <c r="C44" s="139"/>
      <c r="D44" s="83">
        <v>7811971</v>
      </c>
      <c r="E44" s="121"/>
      <c r="F44" s="121">
        <f t="shared" si="3"/>
        <v>76017.19612506</v>
      </c>
      <c r="G44" s="120"/>
      <c r="H44" s="121"/>
      <c r="I44" s="120"/>
      <c r="J44" s="120"/>
      <c r="K44" s="121"/>
      <c r="L44" s="138">
        <f t="shared" si="8"/>
        <v>388020.59956999996</v>
      </c>
      <c r="M44" s="121"/>
      <c r="N44" s="121"/>
      <c r="O44" s="121"/>
      <c r="P44" s="120"/>
      <c r="Q44" s="121"/>
      <c r="R44" s="121"/>
      <c r="S44" s="138">
        <f t="shared" si="9"/>
        <v>4905174.0883608004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</row>
    <row r="45" spans="1:37" ht="16.5" customHeight="1">
      <c r="A45" s="137">
        <v>7</v>
      </c>
      <c r="B45" s="148" t="s">
        <v>127</v>
      </c>
      <c r="C45" s="139"/>
      <c r="D45" s="83">
        <v>19943730</v>
      </c>
      <c r="E45" s="121"/>
      <c r="F45" s="121">
        <f t="shared" si="3"/>
        <v>194069.6445078</v>
      </c>
      <c r="G45" s="120"/>
      <c r="H45" s="121"/>
      <c r="I45" s="120"/>
      <c r="J45" s="120"/>
      <c r="K45" s="121"/>
      <c r="L45" s="138">
        <f t="shared" si="8"/>
        <v>990605.06909999996</v>
      </c>
      <c r="M45" s="121"/>
      <c r="N45" s="121"/>
      <c r="O45" s="121"/>
      <c r="P45" s="120"/>
      <c r="Q45" s="121"/>
      <c r="R45" s="121"/>
      <c r="S45" s="138">
        <f t="shared" si="9"/>
        <v>12522763.796904001</v>
      </c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</row>
    <row r="46" spans="1:37" ht="16.5" customHeight="1">
      <c r="A46" s="137">
        <v>8</v>
      </c>
      <c r="B46" s="148" t="s">
        <v>126</v>
      </c>
      <c r="C46" s="139"/>
      <c r="D46" s="83">
        <v>929438</v>
      </c>
      <c r="E46" s="121"/>
      <c r="F46" s="121">
        <f t="shared" si="3"/>
        <v>9044.2310566799988</v>
      </c>
      <c r="G46" s="120"/>
      <c r="H46" s="121"/>
      <c r="I46" s="120"/>
      <c r="J46" s="120"/>
      <c r="K46" s="121"/>
      <c r="L46" s="138">
        <f t="shared" si="8"/>
        <v>46165.185460000001</v>
      </c>
      <c r="M46" s="121"/>
      <c r="N46" s="121"/>
      <c r="O46" s="121"/>
      <c r="P46" s="120"/>
      <c r="Q46" s="121"/>
      <c r="R46" s="121"/>
      <c r="S46" s="138">
        <f t="shared" si="9"/>
        <v>583598.58150239999</v>
      </c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</row>
    <row r="47" spans="1:37" ht="16.5" customHeight="1">
      <c r="A47" s="137">
        <v>9</v>
      </c>
      <c r="B47" s="148" t="s">
        <v>125</v>
      </c>
      <c r="C47" s="139"/>
      <c r="D47" s="83">
        <v>10921540</v>
      </c>
      <c r="E47" s="121"/>
      <c r="F47" s="121">
        <f t="shared" si="3"/>
        <v>106275.9767244</v>
      </c>
      <c r="G47" s="120"/>
      <c r="H47" s="121"/>
      <c r="I47" s="120"/>
      <c r="J47" s="120"/>
      <c r="K47" s="121"/>
      <c r="L47" s="138">
        <f t="shared" si="8"/>
        <v>542472.89179999998</v>
      </c>
      <c r="M47" s="121"/>
      <c r="N47" s="121"/>
      <c r="O47" s="121"/>
      <c r="P47" s="120"/>
      <c r="Q47" s="121"/>
      <c r="R47" s="121"/>
      <c r="S47" s="138">
        <f t="shared" si="9"/>
        <v>6857687.3893920006</v>
      </c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</row>
    <row r="48" spans="1:37" ht="16.5" customHeight="1">
      <c r="A48" s="137">
        <v>10</v>
      </c>
      <c r="B48" s="148" t="s">
        <v>124</v>
      </c>
      <c r="C48" s="139"/>
      <c r="D48" s="83">
        <v>6659168</v>
      </c>
      <c r="E48" s="121"/>
      <c r="F48" s="121">
        <f t="shared" si="3"/>
        <v>64799.431524479995</v>
      </c>
      <c r="G48" s="120"/>
      <c r="H48" s="121"/>
      <c r="I48" s="120"/>
      <c r="J48" s="120"/>
      <c r="K48" s="121"/>
      <c r="L48" s="138">
        <f t="shared" si="8"/>
        <v>330760.87455999997</v>
      </c>
      <c r="M48" s="121"/>
      <c r="N48" s="121"/>
      <c r="O48" s="121"/>
      <c r="P48" s="120"/>
      <c r="Q48" s="121"/>
      <c r="R48" s="121"/>
      <c r="S48" s="138">
        <f t="shared" si="9"/>
        <v>4181323.5512064002</v>
      </c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</row>
    <row r="49" spans="1:37" ht="16.5" customHeight="1">
      <c r="A49" s="137">
        <v>11</v>
      </c>
      <c r="B49" s="148" t="s">
        <v>123</v>
      </c>
      <c r="C49" s="139"/>
      <c r="D49" s="83">
        <v>1653760</v>
      </c>
      <c r="E49" s="121"/>
      <c r="F49" s="121">
        <f t="shared" si="3"/>
        <v>16092.507033599999</v>
      </c>
      <c r="G49" s="120"/>
      <c r="H49" s="121"/>
      <c r="I49" s="120"/>
      <c r="J49" s="120"/>
      <c r="K49" s="121"/>
      <c r="L49" s="138">
        <f t="shared" si="8"/>
        <v>82142.2592</v>
      </c>
      <c r="M49" s="121"/>
      <c r="N49" s="121"/>
      <c r="O49" s="121"/>
      <c r="P49" s="120"/>
      <c r="Q49" s="121"/>
      <c r="R49" s="121"/>
      <c r="S49" s="138">
        <f t="shared" si="9"/>
        <v>1038403.8420480001</v>
      </c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</row>
    <row r="50" spans="1:37" ht="16.5" customHeight="1">
      <c r="A50" s="137">
        <v>12</v>
      </c>
      <c r="B50" s="148" t="s">
        <v>122</v>
      </c>
      <c r="C50" s="139"/>
      <c r="D50" s="83">
        <v>2193408</v>
      </c>
      <c r="E50" s="121"/>
      <c r="F50" s="121">
        <f t="shared" si="3"/>
        <v>21343.746170879996</v>
      </c>
      <c r="G50" s="120"/>
      <c r="H50" s="121"/>
      <c r="I50" s="120"/>
      <c r="J50" s="120"/>
      <c r="K50" s="121"/>
      <c r="L50" s="138">
        <f t="shared" si="8"/>
        <v>108946.57536</v>
      </c>
      <c r="M50" s="121"/>
      <c r="N50" s="121"/>
      <c r="O50" s="121"/>
      <c r="P50" s="120"/>
      <c r="Q50" s="121"/>
      <c r="R50" s="121"/>
      <c r="S50" s="138">
        <f t="shared" si="9"/>
        <v>1377251.4115584001</v>
      </c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</row>
    <row r="51" spans="1:37" ht="16.5" customHeight="1">
      <c r="A51" s="137">
        <v>13</v>
      </c>
      <c r="B51" s="148" t="s">
        <v>121</v>
      </c>
      <c r="C51" s="139"/>
      <c r="D51" s="83">
        <v>1500787</v>
      </c>
      <c r="E51" s="121"/>
      <c r="F51" s="121">
        <f t="shared" si="3"/>
        <v>14603.948186819998</v>
      </c>
      <c r="G51" s="120"/>
      <c r="H51" s="121"/>
      <c r="I51" s="120"/>
      <c r="J51" s="120"/>
      <c r="K51" s="121"/>
      <c r="L51" s="138">
        <f t="shared" si="8"/>
        <v>74544.090289999993</v>
      </c>
      <c r="M51" s="121"/>
      <c r="N51" s="121"/>
      <c r="O51" s="121"/>
      <c r="P51" s="120"/>
      <c r="Q51" s="121"/>
      <c r="R51" s="121"/>
      <c r="S51" s="138">
        <f t="shared" si="9"/>
        <v>942351.36107760004</v>
      </c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ht="16.5" customHeight="1">
      <c r="A52" s="137"/>
      <c r="B52" s="148" t="s">
        <v>150</v>
      </c>
      <c r="C52" s="139"/>
      <c r="D52" s="83">
        <v>1447116</v>
      </c>
      <c r="E52" s="121"/>
      <c r="F52" s="121">
        <f t="shared" si="3"/>
        <v>14081.683199759998</v>
      </c>
      <c r="G52" s="120"/>
      <c r="H52" s="121"/>
      <c r="I52" s="120"/>
      <c r="J52" s="120"/>
      <c r="K52" s="121"/>
      <c r="L52" s="138">
        <f t="shared" si="8"/>
        <v>71878.25172</v>
      </c>
      <c r="M52" s="121"/>
      <c r="N52" s="121"/>
      <c r="O52" s="121"/>
      <c r="P52" s="120"/>
      <c r="Q52" s="121"/>
      <c r="R52" s="121"/>
      <c r="S52" s="138">
        <f t="shared" si="9"/>
        <v>908651.0825568001</v>
      </c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</row>
    <row r="53" spans="1:37" ht="16.5" customHeight="1">
      <c r="A53" s="137">
        <v>14</v>
      </c>
      <c r="B53" s="148" t="s">
        <v>120</v>
      </c>
      <c r="C53" s="139"/>
      <c r="D53" s="83">
        <v>1820257</v>
      </c>
      <c r="E53" s="121"/>
      <c r="F53" s="121">
        <f t="shared" si="3"/>
        <v>17712.666031019999</v>
      </c>
      <c r="G53" s="120"/>
      <c r="H53" s="121"/>
      <c r="I53" s="120"/>
      <c r="J53" s="120"/>
      <c r="K53" s="121"/>
      <c r="L53" s="138">
        <f t="shared" si="8"/>
        <v>90412.16519</v>
      </c>
      <c r="M53" s="121"/>
      <c r="N53" s="121"/>
      <c r="O53" s="121"/>
      <c r="P53" s="120"/>
      <c r="Q53" s="121"/>
      <c r="R53" s="121"/>
      <c r="S53" s="138">
        <f t="shared" si="9"/>
        <v>1142948.1075336002</v>
      </c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</row>
    <row r="54" spans="1:37" ht="16.5" customHeight="1">
      <c r="A54" s="137">
        <v>15</v>
      </c>
      <c r="B54" s="148" t="s">
        <v>119</v>
      </c>
      <c r="C54" s="139"/>
      <c r="D54" s="83">
        <v>3788375</v>
      </c>
      <c r="E54" s="121"/>
      <c r="F54" s="121">
        <f t="shared" si="3"/>
        <v>36864.146752499997</v>
      </c>
      <c r="G54" s="120"/>
      <c r="H54" s="121"/>
      <c r="I54" s="120"/>
      <c r="J54" s="120"/>
      <c r="K54" s="121"/>
      <c r="L54" s="138">
        <f t="shared" si="8"/>
        <v>188168.58624999999</v>
      </c>
      <c r="M54" s="121"/>
      <c r="N54" s="121"/>
      <c r="O54" s="121"/>
      <c r="P54" s="120"/>
      <c r="Q54" s="121"/>
      <c r="R54" s="121"/>
      <c r="S54" s="138">
        <f t="shared" si="9"/>
        <v>2378738.8467000001</v>
      </c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</row>
    <row r="55" spans="1:37" ht="16.5" customHeight="1">
      <c r="A55" s="137">
        <v>16</v>
      </c>
      <c r="B55" s="148" t="s">
        <v>118</v>
      </c>
      <c r="C55" s="139"/>
      <c r="D55" s="83">
        <v>39830102</v>
      </c>
      <c r="E55" s="121"/>
      <c r="F55" s="121">
        <f t="shared" si="3"/>
        <v>387581.14634771994</v>
      </c>
      <c r="G55" s="120"/>
      <c r="H55" s="121"/>
      <c r="I55" s="120"/>
      <c r="J55" s="120"/>
      <c r="K55" s="121"/>
      <c r="L55" s="138">
        <f t="shared" si="8"/>
        <v>1978361.16634</v>
      </c>
      <c r="M55" s="121"/>
      <c r="N55" s="121"/>
      <c r="O55" s="121"/>
      <c r="P55" s="120"/>
      <c r="Q55" s="121"/>
      <c r="R55" s="121"/>
      <c r="S55" s="138">
        <f t="shared" si="9"/>
        <v>25009512.230289601</v>
      </c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</row>
    <row r="56" spans="1:37" ht="16.5" customHeight="1">
      <c r="A56" s="137">
        <v>17</v>
      </c>
      <c r="B56" s="148" t="s">
        <v>117</v>
      </c>
      <c r="C56" s="139"/>
      <c r="D56" s="83">
        <v>9134337</v>
      </c>
      <c r="E56" s="121"/>
      <c r="F56" s="121">
        <f t="shared" si="3"/>
        <v>88884.954539819999</v>
      </c>
      <c r="G56" s="120"/>
      <c r="H56" s="121"/>
      <c r="I56" s="120"/>
      <c r="J56" s="120"/>
      <c r="K56" s="121"/>
      <c r="L56" s="138">
        <f t="shared" si="8"/>
        <v>453702.51879</v>
      </c>
      <c r="M56" s="121"/>
      <c r="N56" s="121"/>
      <c r="O56" s="121"/>
      <c r="P56" s="120"/>
      <c r="Q56" s="121"/>
      <c r="R56" s="121"/>
      <c r="S56" s="138">
        <f t="shared" si="9"/>
        <v>5735494.0471176002</v>
      </c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</row>
    <row r="57" spans="1:37" ht="16.5" customHeight="1">
      <c r="A57" s="137">
        <v>18</v>
      </c>
      <c r="B57" s="148" t="s">
        <v>116</v>
      </c>
      <c r="C57" s="139"/>
      <c r="D57" s="83">
        <v>13182700</v>
      </c>
      <c r="E57" s="121"/>
      <c r="F57" s="121">
        <f t="shared" si="3"/>
        <v>128279.00812199998</v>
      </c>
      <c r="G57" s="120"/>
      <c r="H57" s="121"/>
      <c r="I57" s="120"/>
      <c r="J57" s="120"/>
      <c r="K57" s="121"/>
      <c r="L57" s="138">
        <f t="shared" si="8"/>
        <v>654784.70900000003</v>
      </c>
      <c r="M57" s="121"/>
      <c r="N57" s="121"/>
      <c r="O57" s="121"/>
      <c r="P57" s="120"/>
      <c r="Q57" s="121"/>
      <c r="R57" s="121"/>
      <c r="S57" s="138">
        <f t="shared" si="9"/>
        <v>8277480.6069600005</v>
      </c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</row>
    <row r="58" spans="1:37" ht="16.5" customHeight="1">
      <c r="A58" s="137">
        <v>19</v>
      </c>
      <c r="B58" s="148" t="s">
        <v>115</v>
      </c>
      <c r="C58" s="139"/>
      <c r="D58" s="83"/>
      <c r="E58" s="121"/>
      <c r="F58" s="121"/>
      <c r="G58" s="120"/>
      <c r="H58" s="121"/>
      <c r="I58" s="120"/>
      <c r="J58" s="120"/>
      <c r="K58" s="121"/>
      <c r="L58" s="138">
        <f>D58*0.028762</f>
        <v>0</v>
      </c>
      <c r="M58" s="121"/>
      <c r="N58" s="121"/>
      <c r="O58" s="121"/>
      <c r="P58" s="120"/>
      <c r="Q58" s="121"/>
      <c r="R58" s="121"/>
      <c r="S58" s="138">
        <f t="shared" si="9"/>
        <v>0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</row>
    <row r="59" spans="1:37" ht="16.5" customHeight="1">
      <c r="A59" s="137">
        <v>20</v>
      </c>
      <c r="B59" s="148" t="s">
        <v>114</v>
      </c>
      <c r="C59" s="139"/>
      <c r="D59" s="83"/>
      <c r="E59" s="121"/>
      <c r="F59" s="121"/>
      <c r="G59" s="120"/>
      <c r="H59" s="121"/>
      <c r="I59" s="120"/>
      <c r="J59" s="120"/>
      <c r="K59" s="121"/>
      <c r="L59" s="138">
        <f>D59*0.028762</f>
        <v>0</v>
      </c>
      <c r="M59" s="121"/>
      <c r="N59" s="121"/>
      <c r="O59" s="121"/>
      <c r="P59" s="120"/>
      <c r="Q59" s="121"/>
      <c r="R59" s="121"/>
      <c r="S59" s="138">
        <f t="shared" si="9"/>
        <v>0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</row>
    <row r="60" spans="1:37" ht="16.5" customHeight="1" thickBot="1">
      <c r="A60" s="137">
        <v>21</v>
      </c>
      <c r="B60" s="149" t="s">
        <v>113</v>
      </c>
      <c r="C60" s="139"/>
      <c r="D60" s="83"/>
      <c r="E60" s="121"/>
      <c r="F60" s="121"/>
      <c r="G60" s="120"/>
      <c r="H60" s="121"/>
      <c r="I60" s="120"/>
      <c r="J60" s="120"/>
      <c r="K60" s="121"/>
      <c r="L60" s="138">
        <f>D60*0.028762</f>
        <v>0</v>
      </c>
      <c r="M60" s="121"/>
      <c r="N60" s="121"/>
      <c r="O60" s="121"/>
      <c r="P60" s="120"/>
      <c r="Q60" s="121"/>
      <c r="R60" s="121"/>
      <c r="S60" s="138">
        <f t="shared" si="9"/>
        <v>0</v>
      </c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</row>
    <row r="61" spans="1:37" ht="16.5" customHeight="1">
      <c r="A61" s="137">
        <v>22</v>
      </c>
      <c r="B61" s="139"/>
      <c r="C61" s="139"/>
      <c r="D61" s="83"/>
      <c r="E61" s="121"/>
      <c r="F61" s="121"/>
      <c r="G61" s="120"/>
      <c r="H61" s="121"/>
      <c r="I61" s="120"/>
      <c r="J61" s="120"/>
      <c r="K61" s="121"/>
      <c r="L61" s="121">
        <f>D61*0.051806</f>
        <v>0</v>
      </c>
      <c r="M61" s="121"/>
      <c r="N61" s="121"/>
      <c r="O61" s="121"/>
      <c r="P61" s="120"/>
      <c r="Q61" s="121"/>
      <c r="R61" s="121"/>
      <c r="S61" s="121">
        <f>D61*1.08621279</f>
        <v>0</v>
      </c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1:37" ht="16.5" customHeight="1">
      <c r="A62" s="137">
        <v>23</v>
      </c>
      <c r="B62" s="139"/>
      <c r="C62" s="139"/>
      <c r="D62" s="83"/>
      <c r="E62" s="121"/>
      <c r="F62" s="121"/>
      <c r="G62" s="120"/>
      <c r="H62" s="121"/>
      <c r="I62" s="120"/>
      <c r="J62" s="120"/>
      <c r="K62" s="121"/>
      <c r="L62" s="121">
        <f>D62*0.051806</f>
        <v>0</v>
      </c>
      <c r="M62" s="121"/>
      <c r="N62" s="121"/>
      <c r="O62" s="121"/>
      <c r="P62" s="120"/>
      <c r="Q62" s="121"/>
      <c r="R62" s="121"/>
      <c r="S62" s="121">
        <f>D62*1.08621279</f>
        <v>0</v>
      </c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1:37" ht="16.5" customHeight="1">
      <c r="A63" s="137">
        <v>24</v>
      </c>
      <c r="B63" s="139"/>
      <c r="C63" s="139"/>
      <c r="D63" s="83"/>
      <c r="E63" s="121"/>
      <c r="F63" s="121"/>
      <c r="G63" s="120"/>
      <c r="H63" s="121"/>
      <c r="I63" s="120"/>
      <c r="J63" s="120"/>
      <c r="K63" s="121"/>
      <c r="L63" s="121"/>
      <c r="M63" s="121"/>
      <c r="N63" s="121"/>
      <c r="O63" s="121"/>
      <c r="P63" s="120"/>
      <c r="Q63" s="121">
        <f>D63*0.00737467</f>
        <v>0</v>
      </c>
      <c r="R63" s="121"/>
      <c r="S63" s="121">
        <f>D63*0.68561454</f>
        <v>0</v>
      </c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1:37" ht="16.5" customHeight="1">
      <c r="A64" s="137"/>
      <c r="B64" s="87"/>
      <c r="C64" s="87"/>
      <c r="D64" s="83"/>
      <c r="E64" s="121"/>
      <c r="F64" s="121"/>
      <c r="G64" s="120"/>
      <c r="H64" s="121"/>
      <c r="I64" s="120"/>
      <c r="J64" s="120"/>
      <c r="K64" s="121"/>
      <c r="L64" s="121"/>
      <c r="M64" s="121"/>
      <c r="N64" s="121"/>
      <c r="O64" s="121"/>
      <c r="P64" s="120"/>
      <c r="Q64" s="120"/>
      <c r="R64" s="121"/>
      <c r="S64" s="121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1:37" ht="16.5" customHeight="1">
      <c r="A65" s="137"/>
      <c r="B65" s="87"/>
      <c r="C65" s="87"/>
      <c r="D65" s="83"/>
      <c r="E65" s="121"/>
      <c r="F65" s="121"/>
      <c r="G65" s="120"/>
      <c r="H65" s="121"/>
      <c r="I65" s="120"/>
      <c r="J65" s="120"/>
      <c r="K65" s="121"/>
      <c r="L65" s="121"/>
      <c r="M65" s="121"/>
      <c r="N65" s="121"/>
      <c r="O65" s="121"/>
      <c r="P65" s="120"/>
      <c r="Q65" s="120"/>
      <c r="R65" s="121"/>
      <c r="S65" s="121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1:37" ht="16.5" customHeight="1">
      <c r="A66" s="137"/>
      <c r="B66" s="87"/>
      <c r="C66" s="87"/>
      <c r="D66" s="83"/>
      <c r="E66" s="121"/>
      <c r="F66" s="121"/>
      <c r="G66" s="120"/>
      <c r="H66" s="121"/>
      <c r="I66" s="120"/>
      <c r="J66" s="120"/>
      <c r="K66" s="121"/>
      <c r="L66" s="121"/>
      <c r="M66" s="121"/>
      <c r="N66" s="121"/>
      <c r="O66" s="121"/>
      <c r="P66" s="120"/>
      <c r="Q66" s="120"/>
      <c r="R66" s="121"/>
      <c r="S66" s="121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1:37" ht="16.5" customHeight="1">
      <c r="A67" s="137"/>
      <c r="B67" s="87"/>
      <c r="C67" s="87"/>
      <c r="D67" s="83"/>
      <c r="E67" s="121"/>
      <c r="F67" s="121"/>
      <c r="G67" s="120"/>
      <c r="H67" s="121"/>
      <c r="I67" s="120"/>
      <c r="J67" s="120"/>
      <c r="K67" s="121"/>
      <c r="L67" s="121"/>
      <c r="M67" s="121"/>
      <c r="N67" s="121"/>
      <c r="O67" s="121"/>
      <c r="P67" s="120"/>
      <c r="Q67" s="120"/>
      <c r="R67" s="121"/>
      <c r="S67" s="121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1:37" ht="16.5" customHeight="1">
      <c r="A68" s="137"/>
      <c r="B68" s="140"/>
      <c r="C68" s="140"/>
      <c r="D68" s="83"/>
      <c r="E68" s="121"/>
      <c r="F68" s="121"/>
      <c r="G68" s="120"/>
      <c r="H68" s="120"/>
      <c r="I68" s="120"/>
      <c r="J68" s="120"/>
      <c r="K68" s="121"/>
      <c r="L68" s="121"/>
      <c r="M68" s="120"/>
      <c r="N68" s="121"/>
      <c r="O68" s="121"/>
      <c r="P68" s="120"/>
      <c r="Q68" s="120"/>
      <c r="R68" s="120"/>
      <c r="S68" s="121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1:37" ht="16.5" customHeight="1">
      <c r="A69" s="137"/>
      <c r="B69" s="140"/>
      <c r="C69" s="140"/>
      <c r="D69" s="83"/>
      <c r="E69" s="121">
        <f>D69*0.03958219</f>
        <v>0</v>
      </c>
      <c r="F69" s="121"/>
      <c r="G69" s="120"/>
      <c r="H69" s="120"/>
      <c r="I69" s="120"/>
      <c r="J69" s="120"/>
      <c r="K69" s="121"/>
      <c r="L69" s="121"/>
      <c r="M69" s="120"/>
      <c r="N69" s="121"/>
      <c r="O69" s="121"/>
      <c r="P69" s="120"/>
      <c r="Q69" s="120"/>
      <c r="R69" s="120"/>
      <c r="S69" s="121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1:37" ht="16.5" customHeight="1">
      <c r="A70" s="137"/>
      <c r="B70" s="140"/>
      <c r="C70" s="140"/>
      <c r="D70" s="83"/>
      <c r="E70" s="121">
        <f>D70*0.03958219</f>
        <v>0</v>
      </c>
      <c r="F70" s="121"/>
      <c r="G70" s="120"/>
      <c r="H70" s="120"/>
      <c r="I70" s="120"/>
      <c r="J70" s="120"/>
      <c r="K70" s="121"/>
      <c r="L70" s="121"/>
      <c r="M70" s="120"/>
      <c r="N70" s="121"/>
      <c r="O70" s="121"/>
      <c r="P70" s="120"/>
      <c r="Q70" s="120"/>
      <c r="R70" s="120"/>
      <c r="S70" s="121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1:37" ht="16.5" customHeight="1">
      <c r="A71" s="137"/>
      <c r="B71" s="140"/>
      <c r="C71" s="140"/>
      <c r="D71" s="83"/>
      <c r="E71" s="121">
        <f>D71*0.03958219</f>
        <v>0</v>
      </c>
      <c r="F71" s="121"/>
      <c r="G71" s="120"/>
      <c r="H71" s="120"/>
      <c r="I71" s="120"/>
      <c r="J71" s="120"/>
      <c r="K71" s="121"/>
      <c r="L71" s="121"/>
      <c r="M71" s="120"/>
      <c r="N71" s="121"/>
      <c r="O71" s="121"/>
      <c r="P71" s="120"/>
      <c r="Q71" s="120"/>
      <c r="R71" s="120"/>
      <c r="S71" s="121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1:37" ht="16.5" customHeight="1">
      <c r="A72" s="137"/>
      <c r="B72" s="140"/>
      <c r="C72" s="140"/>
      <c r="D72" s="83"/>
      <c r="E72" s="121">
        <f>D72*0.03958219</f>
        <v>0</v>
      </c>
      <c r="F72" s="121"/>
      <c r="G72" s="120"/>
      <c r="H72" s="120"/>
      <c r="I72" s="120"/>
      <c r="J72" s="120"/>
      <c r="K72" s="121"/>
      <c r="L72" s="121"/>
      <c r="M72" s="120"/>
      <c r="N72" s="121"/>
      <c r="O72" s="121"/>
      <c r="P72" s="120"/>
      <c r="Q72" s="120"/>
      <c r="R72" s="120"/>
      <c r="S72" s="121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1:37" ht="16.5" customHeight="1">
      <c r="A73" s="137"/>
      <c r="B73" s="140"/>
      <c r="C73" s="140"/>
      <c r="D73" s="83"/>
      <c r="E73" s="121">
        <f>D73*0.03958219</f>
        <v>0</v>
      </c>
      <c r="F73" s="121"/>
      <c r="G73" s="120"/>
      <c r="H73" s="120"/>
      <c r="I73" s="120"/>
      <c r="J73" s="120"/>
      <c r="K73" s="121"/>
      <c r="L73" s="121"/>
      <c r="M73" s="120"/>
      <c r="N73" s="120"/>
      <c r="O73" s="120"/>
      <c r="P73" s="120"/>
      <c r="Q73" s="120"/>
      <c r="R73" s="120"/>
      <c r="S73" s="121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1:37" ht="16.5" customHeight="1">
      <c r="A74" s="137"/>
      <c r="B74" s="140"/>
      <c r="C74" s="140"/>
      <c r="D74" s="83"/>
      <c r="E74" s="121"/>
      <c r="F74" s="121"/>
      <c r="G74" s="120"/>
      <c r="H74" s="120"/>
      <c r="I74" s="120"/>
      <c r="J74" s="120"/>
      <c r="K74" s="121"/>
      <c r="L74" s="121"/>
      <c r="M74" s="120"/>
      <c r="N74" s="120"/>
      <c r="O74" s="120"/>
      <c r="P74" s="120"/>
      <c r="Q74" s="120"/>
      <c r="R74" s="120"/>
      <c r="S74" s="121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1:37" ht="16.5" customHeight="1">
      <c r="A75" s="141"/>
      <c r="B75" s="142"/>
      <c r="C75" s="145"/>
      <c r="D75" s="143"/>
      <c r="E75" s="123"/>
      <c r="F75" s="123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1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</row>
    <row r="76" spans="1:37">
      <c r="A76" s="141"/>
      <c r="B76" s="136"/>
      <c r="C76" s="146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</row>
    <row r="77" spans="1:37"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</row>
    <row r="78" spans="1:37"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</row>
    <row r="79" spans="1:37"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</row>
    <row r="80" spans="1:37"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</row>
    <row r="81" spans="7:37"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</row>
    <row r="82" spans="7:37"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</row>
    <row r="83" spans="7:37"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7:37"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7:37"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7:37"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7:37"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7:37"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7:37"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7:37"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7:37"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7:37"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7:37"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  <row r="94" spans="7:37"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</row>
    <row r="95" spans="7:37"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</row>
    <row r="96" spans="7:37"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</row>
    <row r="97" spans="7:37"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</row>
    <row r="98" spans="7:37"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</row>
    <row r="99" spans="7:37"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</row>
    <row r="100" spans="7:37"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</row>
    <row r="101" spans="7:37"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</row>
    <row r="102" spans="7:37"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</row>
    <row r="103" spans="7:37"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</row>
    <row r="104" spans="7:37"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</row>
    <row r="105" spans="7:37"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</row>
    <row r="106" spans="7:37"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</row>
    <row r="107" spans="7:37"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</row>
    <row r="108" spans="7:37"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</row>
    <row r="109" spans="7:37"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</row>
    <row r="110" spans="7:37"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</row>
    <row r="111" spans="7:37"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</row>
    <row r="112" spans="7:37"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</row>
    <row r="113" spans="7:37"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</row>
    <row r="114" spans="7:37"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</row>
    <row r="115" spans="7:37"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</row>
    <row r="116" spans="7:37"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</row>
    <row r="117" spans="7:37"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</row>
    <row r="118" spans="7:37"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</row>
    <row r="119" spans="7:37"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</row>
    <row r="120" spans="7:37"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</row>
    <row r="121" spans="7:37"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</row>
    <row r="122" spans="7:37"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</row>
    <row r="123" spans="7:37"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</row>
    <row r="124" spans="7:37"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</row>
    <row r="125" spans="7:37"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</row>
    <row r="126" spans="7:37"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</row>
    <row r="127" spans="7:37"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</row>
    <row r="128" spans="7:37"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</row>
    <row r="129" spans="7:37"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</row>
    <row r="130" spans="7:37"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</row>
    <row r="131" spans="7:37"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</row>
    <row r="132" spans="7:37"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</row>
    <row r="133" spans="7:37"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</row>
    <row r="134" spans="7:37"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</row>
    <row r="135" spans="7:37"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</row>
    <row r="136" spans="7:37"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</row>
    <row r="137" spans="7:37"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</row>
    <row r="138" spans="7:37"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</row>
    <row r="139" spans="7:37"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</row>
    <row r="140" spans="7:37"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</row>
    <row r="141" spans="7:37"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</row>
    <row r="142" spans="7:37"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</row>
    <row r="143" spans="7:37"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</row>
    <row r="144" spans="7:37"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</row>
    <row r="145" spans="7:37"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</row>
    <row r="146" spans="7:37"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</row>
    <row r="147" spans="7:37"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</row>
    <row r="148" spans="7:37"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</row>
    <row r="149" spans="7:37"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</row>
    <row r="150" spans="7:37"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</row>
    <row r="151" spans="7:37"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</row>
    <row r="152" spans="7:37"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</row>
    <row r="153" spans="7:37"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</row>
    <row r="154" spans="7:37"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</row>
    <row r="155" spans="7:37"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</row>
    <row r="156" spans="7:37"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</row>
    <row r="157" spans="7:37"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</row>
    <row r="158" spans="7:37"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</row>
    <row r="159" spans="7:37"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</row>
    <row r="160" spans="7:37"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</row>
    <row r="161" spans="7:37"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</row>
    <row r="162" spans="7:37"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</row>
    <row r="163" spans="7:37"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</row>
    <row r="164" spans="7:37"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</row>
    <row r="165" spans="7:37"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</row>
    <row r="166" spans="7:37"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</row>
    <row r="167" spans="7:37"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</row>
    <row r="168" spans="7:37"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</row>
    <row r="169" spans="7:37"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</row>
    <row r="170" spans="7:37"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</row>
    <row r="171" spans="7:37"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</row>
    <row r="172" spans="7:37"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</row>
    <row r="173" spans="7:37"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</row>
    <row r="174" spans="7:37"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</row>
    <row r="175" spans="7:37"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</row>
    <row r="176" spans="7:37"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</row>
    <row r="177" spans="7:37"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</row>
    <row r="178" spans="7:37"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</row>
    <row r="179" spans="7:37"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</row>
    <row r="180" spans="7:37"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</row>
    <row r="181" spans="7:37"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</row>
    <row r="182" spans="7:37"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</row>
    <row r="183" spans="7:37"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</row>
    <row r="184" spans="7:37"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</row>
    <row r="185" spans="7:37"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</row>
    <row r="186" spans="7:37"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</row>
    <row r="187" spans="7:37"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</row>
    <row r="188" spans="7:37"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</row>
    <row r="189" spans="7:37"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</row>
    <row r="190" spans="7:37"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</row>
    <row r="191" spans="7:37"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</row>
    <row r="192" spans="7:37"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</row>
    <row r="193" spans="7:25"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</row>
    <row r="194" spans="7:25"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</row>
    <row r="195" spans="7:25"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</row>
    <row r="196" spans="7:25"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spans="7:25"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</row>
    <row r="198" spans="7:25"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7:25"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7:25"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7:25"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</row>
    <row r="202" spans="7:25"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spans="7:25"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</row>
    <row r="204" spans="7:25"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</row>
    <row r="205" spans="7:25"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</row>
    <row r="206" spans="7:25"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</row>
    <row r="207" spans="7:25"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</row>
    <row r="208" spans="7:25"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</row>
    <row r="209" spans="7:25"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</row>
    <row r="210" spans="7:25"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</row>
    <row r="211" spans="7:25"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</row>
    <row r="212" spans="7:25"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</row>
    <row r="213" spans="7:25"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spans="7:25"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</row>
    <row r="215" spans="7:25"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</row>
    <row r="216" spans="7:25"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</row>
    <row r="217" spans="7:25"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</row>
    <row r="218" spans="7:25"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</row>
    <row r="219" spans="7:25"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</row>
    <row r="220" spans="7:25"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</row>
    <row r="221" spans="7:25"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</row>
    <row r="222" spans="7:25"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</row>
    <row r="223" spans="7:25"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</row>
    <row r="224" spans="7:25"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</row>
    <row r="225" spans="7:25"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</row>
    <row r="226" spans="7:25"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</row>
    <row r="227" spans="7:25"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</row>
    <row r="228" spans="7:25"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</row>
    <row r="229" spans="7:25"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</row>
    <row r="230" spans="7:25"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</row>
    <row r="231" spans="7:25"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</row>
    <row r="232" spans="7:25"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</row>
    <row r="233" spans="7:25"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</row>
    <row r="234" spans="7:25"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</row>
    <row r="235" spans="7:25"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</row>
    <row r="236" spans="7:25"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</row>
    <row r="237" spans="7:25"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</row>
    <row r="238" spans="7:25"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</row>
    <row r="239" spans="7:25"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</row>
    <row r="240" spans="7:25"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</row>
    <row r="241" spans="7:25"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</row>
    <row r="242" spans="7:25"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</row>
    <row r="243" spans="7:25"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</row>
    <row r="244" spans="7:25"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</row>
    <row r="245" spans="7:25"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</row>
    <row r="246" spans="7:25"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</row>
    <row r="247" spans="7:25"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</row>
    <row r="248" spans="7:25"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</row>
    <row r="249" spans="7:25"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</row>
    <row r="250" spans="7:25"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</row>
    <row r="251" spans="7:25"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</row>
    <row r="252" spans="7:25"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</row>
    <row r="253" spans="7:25"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</row>
    <row r="254" spans="7:25"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</row>
    <row r="255" spans="7:25"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</row>
    <row r="256" spans="7:25"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</row>
    <row r="257" spans="7:25"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</row>
    <row r="258" spans="7:25"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</row>
    <row r="259" spans="7:25"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</row>
    <row r="260" spans="7:25"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</row>
    <row r="261" spans="7:25"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</row>
    <row r="262" spans="7:25"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</row>
    <row r="263" spans="7:25"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</row>
    <row r="264" spans="7:25"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</row>
    <row r="265" spans="7:25"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</row>
    <row r="266" spans="7:25"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</row>
    <row r="267" spans="7:25"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</row>
    <row r="268" spans="7:25"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</row>
    <row r="269" spans="7:25"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</row>
    <row r="270" spans="7:25"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</row>
    <row r="271" spans="7:25"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</row>
    <row r="272" spans="7:25"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</row>
    <row r="273" spans="7:25"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</row>
    <row r="274" spans="7:25"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</row>
    <row r="275" spans="7:25"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</row>
  </sheetData>
  <mergeCells count="3">
    <mergeCell ref="A1:D1"/>
    <mergeCell ref="A2:D2"/>
    <mergeCell ref="F4:G4"/>
  </mergeCells>
  <phoneticPr fontId="18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C8" sqref="C8"/>
    </sheetView>
  </sheetViews>
  <sheetFormatPr defaultRowHeight="12.75"/>
  <cols>
    <col min="1" max="1" width="7.85546875" style="2" customWidth="1"/>
    <col min="2" max="2" width="17.28515625" style="2" customWidth="1"/>
    <col min="3" max="3" width="29.42578125" style="2" customWidth="1"/>
    <col min="4" max="4" width="25.42578125" style="2" customWidth="1"/>
    <col min="5" max="16384" width="9.140625" style="2"/>
  </cols>
  <sheetData>
    <row r="2" spans="1:4" ht="21.75">
      <c r="A2" s="774" t="s">
        <v>44</v>
      </c>
      <c r="B2" s="779"/>
      <c r="C2" s="779"/>
      <c r="D2" s="779"/>
    </row>
    <row r="3" spans="1:4" ht="16.5">
      <c r="A3" s="776" t="s">
        <v>57</v>
      </c>
      <c r="B3" s="780"/>
      <c r="C3" s="780"/>
      <c r="D3" s="780"/>
    </row>
    <row r="4" spans="1:4" ht="15">
      <c r="A4" s="38"/>
      <c r="B4" s="38"/>
      <c r="C4" s="38"/>
      <c r="D4" s="38"/>
    </row>
    <row r="5" spans="1:4" ht="15.75">
      <c r="A5" s="39" t="s">
        <v>45</v>
      </c>
      <c r="B5" s="40" t="s">
        <v>46</v>
      </c>
      <c r="C5" s="40" t="s">
        <v>47</v>
      </c>
      <c r="D5" s="40" t="s">
        <v>48</v>
      </c>
    </row>
    <row r="6" spans="1:4" ht="15.75">
      <c r="A6" s="41"/>
      <c r="B6" s="41"/>
      <c r="C6" s="42" t="s">
        <v>49</v>
      </c>
      <c r="D6" s="42" t="s">
        <v>50</v>
      </c>
    </row>
    <row r="7" spans="1:4" ht="18.75" customHeight="1">
      <c r="A7" s="43">
        <v>1</v>
      </c>
      <c r="B7" s="44" t="s">
        <v>54</v>
      </c>
      <c r="C7" s="45">
        <v>303565500</v>
      </c>
      <c r="D7" s="45">
        <f>C7*2/100</f>
        <v>6071310</v>
      </c>
    </row>
    <row r="8" spans="1:4" ht="19.5" customHeight="1">
      <c r="A8" s="46">
        <v>2</v>
      </c>
      <c r="B8" s="44" t="s">
        <v>55</v>
      </c>
      <c r="C8" s="47">
        <v>310281500</v>
      </c>
      <c r="D8" s="45">
        <f>C8*2/100</f>
        <v>6205630</v>
      </c>
    </row>
    <row r="9" spans="1:4" ht="19.5" customHeight="1">
      <c r="A9" s="46">
        <v>3</v>
      </c>
      <c r="B9" s="44" t="s">
        <v>56</v>
      </c>
      <c r="C9" s="47">
        <v>310281500</v>
      </c>
      <c r="D9" s="45">
        <f>C9*2/100</f>
        <v>6205630</v>
      </c>
    </row>
    <row r="10" spans="1:4" s="6" customFormat="1" ht="15.75">
      <c r="A10" s="48"/>
      <c r="B10" s="49" t="s">
        <v>51</v>
      </c>
      <c r="C10" s="50">
        <f>SUM(C7:C9)</f>
        <v>924128500</v>
      </c>
      <c r="D10" s="50">
        <f>SUM(D7:D9)</f>
        <v>18482570</v>
      </c>
    </row>
    <row r="11" spans="1:4" ht="15">
      <c r="A11" s="51"/>
      <c r="B11" s="51"/>
      <c r="C11" s="51"/>
      <c r="D11" s="51"/>
    </row>
    <row r="12" spans="1:4" ht="15">
      <c r="A12" s="38"/>
      <c r="B12" s="38"/>
      <c r="C12" s="38"/>
      <c r="D12" s="38"/>
    </row>
    <row r="13" spans="1:4" ht="15.75">
      <c r="A13" s="38"/>
      <c r="B13" s="38"/>
      <c r="C13" s="52" t="s">
        <v>52</v>
      </c>
      <c r="D13" s="38"/>
    </row>
    <row r="14" spans="1:4" ht="15.75">
      <c r="A14" s="38"/>
      <c r="B14" s="38"/>
      <c r="C14" s="52" t="s">
        <v>53</v>
      </c>
      <c r="D14" s="38"/>
    </row>
    <row r="15" spans="1:4" ht="15">
      <c r="A15" s="38"/>
      <c r="B15" s="38"/>
      <c r="C15" s="38"/>
      <c r="D15" s="38"/>
    </row>
    <row r="16" spans="1:4" ht="15">
      <c r="A16" s="38"/>
      <c r="B16" s="38"/>
      <c r="C16" s="38"/>
      <c r="D16" s="38"/>
    </row>
    <row r="17" spans="1:4" ht="15">
      <c r="A17" s="38"/>
      <c r="B17" s="38"/>
      <c r="C17" s="38"/>
      <c r="D17" s="38"/>
    </row>
    <row r="21" spans="1:4">
      <c r="C21" s="15"/>
    </row>
  </sheetData>
  <mergeCells count="2">
    <mergeCell ref="A2:D2"/>
    <mergeCell ref="A3:D3"/>
  </mergeCells>
  <phoneticPr fontId="18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9" sqref="H9:H10"/>
    </sheetView>
  </sheetViews>
  <sheetFormatPr defaultRowHeight="12.75"/>
  <cols>
    <col min="1" max="1" width="3.7109375" style="2" customWidth="1"/>
    <col min="2" max="2" width="35.140625" style="2" customWidth="1"/>
    <col min="3" max="3" width="12.85546875" style="2" customWidth="1"/>
    <col min="4" max="4" width="8.5703125" style="2" customWidth="1"/>
    <col min="5" max="5" width="10.85546875" style="2" customWidth="1"/>
    <col min="6" max="6" width="11.5703125" style="2" customWidth="1"/>
    <col min="7" max="7" width="14.28515625" style="2" customWidth="1"/>
    <col min="8" max="8" width="12.85546875" style="2" customWidth="1"/>
    <col min="9" max="16384" width="9.140625" style="2"/>
  </cols>
  <sheetData>
    <row r="1" spans="1:8" ht="21.75" customHeight="1">
      <c r="A1" s="774" t="s">
        <v>89</v>
      </c>
      <c r="B1" s="774"/>
      <c r="C1" s="774"/>
      <c r="D1" s="774"/>
      <c r="E1" s="774"/>
      <c r="F1" s="774"/>
      <c r="G1" s="774"/>
    </row>
    <row r="2" spans="1:8" ht="16.5" customHeight="1">
      <c r="A2" s="776" t="s">
        <v>106</v>
      </c>
      <c r="B2" s="776"/>
      <c r="C2" s="776"/>
      <c r="D2" s="776"/>
      <c r="E2" s="776"/>
      <c r="F2" s="776"/>
      <c r="G2" s="776"/>
    </row>
    <row r="4" spans="1:8">
      <c r="A4" s="90" t="s">
        <v>45</v>
      </c>
      <c r="B4" s="91" t="s">
        <v>46</v>
      </c>
      <c r="C4" s="92" t="s">
        <v>90</v>
      </c>
      <c r="D4" s="91" t="s">
        <v>91</v>
      </c>
      <c r="E4" s="93" t="s">
        <v>92</v>
      </c>
      <c r="F4" s="94" t="s">
        <v>93</v>
      </c>
      <c r="G4" s="94" t="s">
        <v>94</v>
      </c>
    </row>
    <row r="5" spans="1:8">
      <c r="A5" s="95"/>
      <c r="B5" s="95"/>
      <c r="C5" s="96"/>
      <c r="D5" s="97" t="s">
        <v>95</v>
      </c>
      <c r="E5" s="98" t="s">
        <v>96</v>
      </c>
      <c r="F5" s="99" t="s">
        <v>97</v>
      </c>
      <c r="G5" s="99" t="s">
        <v>98</v>
      </c>
    </row>
    <row r="6" spans="1:8">
      <c r="A6" s="100"/>
      <c r="B6" s="100"/>
      <c r="C6" s="101"/>
      <c r="D6" s="102"/>
      <c r="E6" s="103" t="s">
        <v>99</v>
      </c>
      <c r="F6" s="104" t="s">
        <v>100</v>
      </c>
      <c r="G6" s="104" t="s">
        <v>101</v>
      </c>
    </row>
    <row r="7" spans="1:8" s="6" customFormat="1" ht="16.5" customHeight="1">
      <c r="A7" s="105" t="s">
        <v>73</v>
      </c>
      <c r="B7" s="106" t="s">
        <v>109</v>
      </c>
      <c r="C7" s="107">
        <f>SUM(C8:C10)</f>
        <v>84751048</v>
      </c>
      <c r="D7" s="107">
        <f>SUM(D8:D9)</f>
        <v>0</v>
      </c>
      <c r="E7" s="107">
        <f>SUM(E8:E10)</f>
        <v>13687762</v>
      </c>
      <c r="F7" s="107">
        <f>SUM(F8:F10)</f>
        <v>26253762</v>
      </c>
      <c r="G7" s="107">
        <f>SUM(G8:G11)</f>
        <v>106362286</v>
      </c>
    </row>
    <row r="8" spans="1:8" ht="16.5" customHeight="1">
      <c r="A8" s="12">
        <v>1</v>
      </c>
      <c r="B8" s="108" t="s">
        <v>102</v>
      </c>
      <c r="C8" s="13">
        <v>25132000</v>
      </c>
      <c r="D8" s="108" t="s">
        <v>103</v>
      </c>
      <c r="E8" s="13">
        <f>C8/12*3</f>
        <v>6283000</v>
      </c>
      <c r="F8" s="109">
        <f>E8+E8+E8</f>
        <v>18849000</v>
      </c>
      <c r="G8" s="109">
        <f>C8-F8</f>
        <v>6283000</v>
      </c>
    </row>
    <row r="9" spans="1:8" ht="16.5" customHeight="1">
      <c r="A9" s="12"/>
      <c r="B9" s="108" t="s">
        <v>110</v>
      </c>
      <c r="C9" s="13">
        <v>14619048</v>
      </c>
      <c r="D9" s="108" t="s">
        <v>103</v>
      </c>
      <c r="E9" s="13">
        <f>C9/12*3</f>
        <v>3654762</v>
      </c>
      <c r="F9" s="109">
        <f>E9</f>
        <v>3654762</v>
      </c>
      <c r="G9" s="109">
        <f>C9-F9</f>
        <v>10964286</v>
      </c>
      <c r="H9" s="2" t="s">
        <v>776</v>
      </c>
    </row>
    <row r="10" spans="1:8" ht="16.5" customHeight="1">
      <c r="A10" s="12"/>
      <c r="B10" s="108" t="s">
        <v>111</v>
      </c>
      <c r="C10" s="13">
        <v>45000000</v>
      </c>
      <c r="D10" s="108" t="s">
        <v>112</v>
      </c>
      <c r="E10" s="13">
        <f>C10/36*3</f>
        <v>3750000</v>
      </c>
      <c r="F10" s="109">
        <f>E10</f>
        <v>3750000</v>
      </c>
      <c r="G10" s="109">
        <f>C10-F10</f>
        <v>41250000</v>
      </c>
      <c r="H10" s="2" t="s">
        <v>776</v>
      </c>
    </row>
    <row r="11" spans="1:8" ht="16.5" customHeight="1">
      <c r="A11" s="12"/>
      <c r="B11" s="12" t="s">
        <v>775</v>
      </c>
      <c r="C11" s="13">
        <v>63820000</v>
      </c>
      <c r="D11" s="12" t="s">
        <v>103</v>
      </c>
      <c r="E11" s="13">
        <f>C11/12*3</f>
        <v>15955000</v>
      </c>
      <c r="F11" s="109">
        <f>E11</f>
        <v>15955000</v>
      </c>
      <c r="G11" s="109">
        <f>C11-F11</f>
        <v>47865000</v>
      </c>
    </row>
    <row r="12" spans="1:8" ht="16.5" customHeight="1">
      <c r="A12" s="32"/>
      <c r="B12" s="32"/>
      <c r="C12" s="110"/>
      <c r="D12" s="32"/>
      <c r="E12" s="110"/>
      <c r="F12" s="32"/>
      <c r="G12" s="32"/>
    </row>
    <row r="13" spans="1:8">
      <c r="C13" s="21"/>
      <c r="E13" s="21"/>
    </row>
    <row r="14" spans="1:8">
      <c r="C14" s="21"/>
      <c r="E14" s="21"/>
    </row>
    <row r="15" spans="1:8">
      <c r="C15" s="21"/>
      <c r="D15" s="22" t="s">
        <v>104</v>
      </c>
      <c r="F15" s="15"/>
    </row>
    <row r="16" spans="1:8" ht="16.5">
      <c r="C16" s="111"/>
      <c r="D16" s="112" t="s">
        <v>105</v>
      </c>
      <c r="F16" s="15"/>
      <c r="G16" s="15"/>
    </row>
    <row r="17" spans="3:5">
      <c r="C17" s="21"/>
      <c r="E17" s="21"/>
    </row>
    <row r="18" spans="3:5">
      <c r="C18" s="21"/>
    </row>
  </sheetData>
  <mergeCells count="2">
    <mergeCell ref="A1:G1"/>
    <mergeCell ref="A2:G2"/>
  </mergeCells>
  <phoneticPr fontId="18" type="noConversion"/>
  <pageMargins left="1.57" right="0.75" top="1" bottom="1" header="0.5" footer="0.5"/>
  <pageSetup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0"/>
  <sheetViews>
    <sheetView topLeftCell="B1" workbookViewId="0">
      <selection activeCell="M19" sqref="M19"/>
    </sheetView>
  </sheetViews>
  <sheetFormatPr defaultRowHeight="12.75"/>
  <cols>
    <col min="1" max="1" width="3.28515625" style="2" customWidth="1"/>
    <col min="2" max="2" width="28.28515625" style="2" customWidth="1"/>
    <col min="3" max="3" width="10.85546875" style="2" hidden="1" customWidth="1"/>
    <col min="4" max="4" width="4" style="2" customWidth="1"/>
    <col min="5" max="5" width="11" style="2" customWidth="1"/>
    <col min="6" max="6" width="12.42578125" style="2" customWidth="1"/>
    <col min="7" max="7" width="12" style="2" customWidth="1"/>
    <col min="8" max="8" width="12.28515625" style="2" customWidth="1"/>
    <col min="9" max="9" width="11.7109375" style="2" customWidth="1"/>
    <col min="10" max="10" width="10.85546875" style="2" customWidth="1"/>
    <col min="11" max="11" width="11.85546875" style="2" customWidth="1"/>
    <col min="12" max="12" width="6.42578125" style="21" customWidth="1"/>
    <col min="13" max="13" width="10.85546875" style="197" customWidth="1"/>
    <col min="14" max="14" width="16.5703125" style="2" customWidth="1"/>
    <col min="15" max="15" width="15" style="2" customWidth="1"/>
    <col min="16" max="16384" width="9.140625" style="2"/>
  </cols>
  <sheetData>
    <row r="1" spans="1:15" ht="25.5">
      <c r="A1" s="781" t="s">
        <v>187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</row>
    <row r="2" spans="1:15">
      <c r="A2" s="90" t="s">
        <v>45</v>
      </c>
      <c r="B2" s="91" t="s">
        <v>155</v>
      </c>
      <c r="C2" s="91"/>
      <c r="D2" s="91" t="s">
        <v>156</v>
      </c>
      <c r="E2" s="91" t="s">
        <v>157</v>
      </c>
      <c r="F2" s="783" t="s">
        <v>158</v>
      </c>
      <c r="G2" s="784"/>
      <c r="H2" s="784"/>
      <c r="I2" s="785"/>
      <c r="J2" s="162"/>
      <c r="K2" s="91" t="s">
        <v>159</v>
      </c>
      <c r="L2" s="182" t="s">
        <v>160</v>
      </c>
      <c r="M2" s="190" t="s">
        <v>161</v>
      </c>
    </row>
    <row r="3" spans="1:15">
      <c r="A3" s="102"/>
      <c r="B3" s="102"/>
      <c r="C3" s="102"/>
      <c r="D3" s="102"/>
      <c r="E3" s="102"/>
      <c r="F3" s="163" t="s">
        <v>162</v>
      </c>
      <c r="G3" s="163" t="s">
        <v>163</v>
      </c>
      <c r="H3" s="103" t="s">
        <v>164</v>
      </c>
      <c r="I3" s="164" t="s">
        <v>65</v>
      </c>
      <c r="J3" s="163" t="s">
        <v>165</v>
      </c>
      <c r="K3" s="163" t="s">
        <v>166</v>
      </c>
      <c r="L3" s="183" t="s">
        <v>167</v>
      </c>
      <c r="M3" s="191" t="s">
        <v>168</v>
      </c>
    </row>
    <row r="4" spans="1:15" s="6" customFormat="1" ht="17.25" customHeight="1">
      <c r="A4" s="165"/>
      <c r="B4" s="166" t="s">
        <v>68</v>
      </c>
      <c r="C4" s="166"/>
      <c r="D4" s="165"/>
      <c r="E4" s="167">
        <f t="shared" ref="E4:K4" si="0">SUM(E5:E51)</f>
        <v>54932819</v>
      </c>
      <c r="F4" s="167">
        <f t="shared" si="0"/>
        <v>2142059642</v>
      </c>
      <c r="G4" s="167">
        <f t="shared" si="0"/>
        <v>566992333</v>
      </c>
      <c r="H4" s="167">
        <f t="shared" si="0"/>
        <v>321221021</v>
      </c>
      <c r="I4" s="167">
        <f t="shared" si="0"/>
        <v>3030272996</v>
      </c>
      <c r="J4" s="167">
        <f t="shared" si="0"/>
        <v>264128579</v>
      </c>
      <c r="K4" s="167">
        <f t="shared" si="0"/>
        <v>2821077236</v>
      </c>
      <c r="L4" s="167">
        <f>SUM(L5:L52)</f>
        <v>1292</v>
      </c>
      <c r="M4" s="192"/>
      <c r="N4" s="24">
        <f>E4+I4-J4</f>
        <v>2821077236</v>
      </c>
    </row>
    <row r="5" spans="1:15" s="6" customFormat="1" ht="17.25" customHeight="1">
      <c r="A5" s="133">
        <v>1</v>
      </c>
      <c r="B5" s="179" t="s">
        <v>149</v>
      </c>
      <c r="C5" s="168"/>
      <c r="D5" s="136" t="s">
        <v>169</v>
      </c>
      <c r="E5" s="169"/>
      <c r="F5" s="169">
        <v>60619000</v>
      </c>
      <c r="G5" s="169">
        <v>14790000</v>
      </c>
      <c r="H5" s="169">
        <v>8132055</v>
      </c>
      <c r="I5" s="169">
        <f>F5+G5+H5</f>
        <v>83541055</v>
      </c>
      <c r="J5" s="169">
        <v>1494819</v>
      </c>
      <c r="K5" s="169">
        <f>E5+I5-J5</f>
        <v>82046236</v>
      </c>
      <c r="L5" s="169">
        <v>87</v>
      </c>
      <c r="M5" s="193">
        <f>K5/L5</f>
        <v>943060.18390804599</v>
      </c>
      <c r="N5" s="24"/>
      <c r="O5" s="24"/>
    </row>
    <row r="6" spans="1:15" s="6" customFormat="1" ht="17.25" customHeight="1">
      <c r="A6" s="133">
        <v>2</v>
      </c>
      <c r="B6" s="180" t="s">
        <v>148</v>
      </c>
      <c r="C6" s="168"/>
      <c r="D6" s="136" t="s">
        <v>169</v>
      </c>
      <c r="E6" s="169"/>
      <c r="F6" s="169">
        <v>128071758</v>
      </c>
      <c r="G6" s="169">
        <v>25954240</v>
      </c>
      <c r="H6" s="169">
        <v>5608414</v>
      </c>
      <c r="I6" s="169">
        <f t="shared" ref="I6:I51" si="1">F6+G6+H6</f>
        <v>159634412</v>
      </c>
      <c r="J6" s="169">
        <f>16467681</f>
        <v>16467681</v>
      </c>
      <c r="K6" s="169">
        <f>E6+I6-J6</f>
        <v>143166731</v>
      </c>
      <c r="L6" s="169">
        <v>137</v>
      </c>
      <c r="M6" s="193">
        <f t="shared" ref="M6:M52" si="2">K6/L6</f>
        <v>1045012.6350364963</v>
      </c>
      <c r="O6" s="24"/>
    </row>
    <row r="7" spans="1:15" s="6" customFormat="1" ht="17.25" customHeight="1">
      <c r="A7" s="133">
        <v>3</v>
      </c>
      <c r="B7" s="180" t="s">
        <v>147</v>
      </c>
      <c r="C7" s="168"/>
      <c r="D7" s="136" t="s">
        <v>169</v>
      </c>
      <c r="E7" s="169"/>
      <c r="F7" s="169">
        <v>9265550</v>
      </c>
      <c r="G7" s="169">
        <v>1849000</v>
      </c>
      <c r="H7" s="169">
        <v>934738</v>
      </c>
      <c r="I7" s="169">
        <f t="shared" si="1"/>
        <v>12049288</v>
      </c>
      <c r="J7" s="169"/>
      <c r="K7" s="169">
        <f t="shared" ref="K7:K51" si="3">E7+I7-J7</f>
        <v>12049288</v>
      </c>
      <c r="L7" s="169">
        <v>10</v>
      </c>
      <c r="M7" s="193">
        <f t="shared" si="2"/>
        <v>1204928.8</v>
      </c>
    </row>
    <row r="8" spans="1:15" s="6" customFormat="1" ht="17.25" customHeight="1">
      <c r="A8" s="133">
        <v>4</v>
      </c>
      <c r="B8" s="180" t="s">
        <v>146</v>
      </c>
      <c r="C8" s="168"/>
      <c r="D8" s="136" t="s">
        <v>169</v>
      </c>
      <c r="E8" s="169"/>
      <c r="F8" s="169">
        <v>22608055</v>
      </c>
      <c r="G8" s="169"/>
      <c r="H8" s="169"/>
      <c r="I8" s="169">
        <f t="shared" si="1"/>
        <v>22608055</v>
      </c>
      <c r="J8" s="188">
        <f>F8</f>
        <v>22608055</v>
      </c>
      <c r="K8" s="188">
        <f t="shared" si="3"/>
        <v>0</v>
      </c>
      <c r="L8" s="169"/>
      <c r="M8" s="193"/>
    </row>
    <row r="9" spans="1:15" s="6" customFormat="1" ht="17.25" customHeight="1">
      <c r="A9" s="133">
        <v>5</v>
      </c>
      <c r="B9" s="180" t="s">
        <v>145</v>
      </c>
      <c r="C9" s="168"/>
      <c r="D9" s="136" t="s">
        <v>169</v>
      </c>
      <c r="E9" s="169"/>
      <c r="F9" s="169">
        <v>21022949</v>
      </c>
      <c r="G9" s="169">
        <v>3513356</v>
      </c>
      <c r="H9" s="169">
        <v>2414749</v>
      </c>
      <c r="I9" s="169">
        <f t="shared" si="1"/>
        <v>26951054</v>
      </c>
      <c r="J9" s="169"/>
      <c r="K9" s="169">
        <f t="shared" si="3"/>
        <v>26951054</v>
      </c>
      <c r="L9" s="169">
        <v>14</v>
      </c>
      <c r="M9" s="193">
        <f t="shared" si="2"/>
        <v>1925075.2857142857</v>
      </c>
    </row>
    <row r="10" spans="1:15" ht="17.25" customHeight="1">
      <c r="A10" s="133">
        <v>6</v>
      </c>
      <c r="B10" s="180" t="s">
        <v>144</v>
      </c>
      <c r="C10" s="168"/>
      <c r="D10" s="136" t="s">
        <v>169</v>
      </c>
      <c r="E10" s="170"/>
      <c r="F10" s="170">
        <v>7035982</v>
      </c>
      <c r="G10" s="170">
        <v>1063993</v>
      </c>
      <c r="H10" s="170">
        <v>731289</v>
      </c>
      <c r="I10" s="169">
        <f t="shared" si="1"/>
        <v>8831264</v>
      </c>
      <c r="J10" s="170"/>
      <c r="K10" s="169">
        <f t="shared" si="3"/>
        <v>8831264</v>
      </c>
      <c r="L10" s="169">
        <v>4</v>
      </c>
      <c r="M10" s="193">
        <f t="shared" si="2"/>
        <v>2207816</v>
      </c>
      <c r="O10" s="15"/>
    </row>
    <row r="11" spans="1:15" ht="15" customHeight="1">
      <c r="A11" s="133">
        <v>7</v>
      </c>
      <c r="B11" s="180" t="s">
        <v>143</v>
      </c>
      <c r="C11" s="168"/>
      <c r="D11" s="136" t="s">
        <v>169</v>
      </c>
      <c r="E11" s="13"/>
      <c r="F11" s="13">
        <v>1746812</v>
      </c>
      <c r="G11" s="13">
        <v>265998</v>
      </c>
      <c r="H11" s="13">
        <v>182821</v>
      </c>
      <c r="I11" s="169">
        <f t="shared" si="1"/>
        <v>2195631</v>
      </c>
      <c r="J11" s="13"/>
      <c r="K11" s="169">
        <f t="shared" si="3"/>
        <v>2195631</v>
      </c>
      <c r="L11" s="169">
        <v>1</v>
      </c>
      <c r="M11" s="193">
        <f t="shared" si="2"/>
        <v>2195631</v>
      </c>
    </row>
    <row r="12" spans="1:15" ht="17.25" customHeight="1">
      <c r="A12" s="133">
        <v>8</v>
      </c>
      <c r="B12" s="180" t="s">
        <v>142</v>
      </c>
      <c r="C12" s="168"/>
      <c r="D12" s="136" t="s">
        <v>169</v>
      </c>
      <c r="E12" s="13">
        <v>16152721</v>
      </c>
      <c r="F12" s="13">
        <v>230365234</v>
      </c>
      <c r="G12" s="13">
        <v>81026389</v>
      </c>
      <c r="H12" s="13">
        <f>28987409</f>
        <v>28987409</v>
      </c>
      <c r="I12" s="169">
        <f t="shared" si="1"/>
        <v>340379032</v>
      </c>
      <c r="J12" s="13">
        <v>8106581</v>
      </c>
      <c r="K12" s="169">
        <f t="shared" si="3"/>
        <v>348425172</v>
      </c>
      <c r="L12" s="169">
        <v>101</v>
      </c>
      <c r="M12" s="170">
        <f t="shared" si="2"/>
        <v>3449754.1782178218</v>
      </c>
    </row>
    <row r="13" spans="1:15" ht="15.75" customHeight="1">
      <c r="A13" s="133">
        <v>9</v>
      </c>
      <c r="B13" s="180" t="s">
        <v>141</v>
      </c>
      <c r="C13" s="168"/>
      <c r="D13" s="136" t="s">
        <v>169</v>
      </c>
      <c r="E13" s="13">
        <v>8402779</v>
      </c>
      <c r="F13" s="13">
        <v>286953323</v>
      </c>
      <c r="G13" s="13">
        <v>116369447</v>
      </c>
      <c r="H13" s="13">
        <v>34826557</v>
      </c>
      <c r="I13" s="169">
        <f t="shared" si="1"/>
        <v>438149327</v>
      </c>
      <c r="J13" s="13">
        <v>8462464</v>
      </c>
      <c r="K13" s="169">
        <f t="shared" si="3"/>
        <v>438089642</v>
      </c>
      <c r="L13" s="169">
        <v>119</v>
      </c>
      <c r="M13" s="170">
        <f t="shared" si="2"/>
        <v>3681425.5630252101</v>
      </c>
    </row>
    <row r="14" spans="1:15" ht="17.25" customHeight="1">
      <c r="A14" s="133">
        <v>10</v>
      </c>
      <c r="B14" s="180" t="s">
        <v>153</v>
      </c>
      <c r="C14" s="168"/>
      <c r="D14" s="136" t="s">
        <v>169</v>
      </c>
      <c r="E14" s="13">
        <v>5095465</v>
      </c>
      <c r="F14" s="13">
        <v>39017760</v>
      </c>
      <c r="G14" s="13">
        <v>3618795</v>
      </c>
      <c r="H14" s="13">
        <v>2487219</v>
      </c>
      <c r="I14" s="169">
        <f t="shared" si="1"/>
        <v>45123774</v>
      </c>
      <c r="J14" s="13"/>
      <c r="K14" s="169">
        <f t="shared" si="3"/>
        <v>50219239</v>
      </c>
      <c r="L14" s="188">
        <v>13</v>
      </c>
      <c r="M14" s="193">
        <f t="shared" si="2"/>
        <v>3863018.3846153845</v>
      </c>
    </row>
    <row r="15" spans="1:15" ht="17.25" customHeight="1">
      <c r="A15" s="133">
        <v>11</v>
      </c>
      <c r="B15" s="180" t="s">
        <v>151</v>
      </c>
      <c r="C15" s="168"/>
      <c r="D15" s="136" t="s">
        <v>169</v>
      </c>
      <c r="E15" s="13"/>
      <c r="F15" s="13">
        <v>146716510</v>
      </c>
      <c r="G15" s="13">
        <v>32829421</v>
      </c>
      <c r="H15" s="13">
        <v>22563846</v>
      </c>
      <c r="I15" s="169">
        <f t="shared" si="1"/>
        <v>202109777</v>
      </c>
      <c r="J15" s="13"/>
      <c r="K15" s="169">
        <f t="shared" si="3"/>
        <v>202109777</v>
      </c>
      <c r="L15" s="188">
        <v>40</v>
      </c>
      <c r="M15" s="193">
        <f>K15/L15</f>
        <v>5052744.4249999998</v>
      </c>
    </row>
    <row r="16" spans="1:15" ht="17.25" customHeight="1">
      <c r="A16" s="133">
        <v>12</v>
      </c>
      <c r="B16" s="180" t="s">
        <v>152</v>
      </c>
      <c r="C16" s="168"/>
      <c r="D16" s="136" t="s">
        <v>169</v>
      </c>
      <c r="E16" s="13"/>
      <c r="F16" s="13">
        <v>124123938</v>
      </c>
      <c r="G16" s="13">
        <v>14644691</v>
      </c>
      <c r="H16" s="13">
        <v>10065377</v>
      </c>
      <c r="I16" s="169">
        <f t="shared" si="1"/>
        <v>148834006</v>
      </c>
      <c r="J16" s="13">
        <v>26641109</v>
      </c>
      <c r="K16" s="169">
        <f t="shared" si="3"/>
        <v>122192897</v>
      </c>
      <c r="L16" s="169">
        <v>18</v>
      </c>
      <c r="M16" s="193">
        <f>K16/L16</f>
        <v>6788494.277777778</v>
      </c>
    </row>
    <row r="17" spans="1:14" ht="17.25" customHeight="1">
      <c r="A17" s="133">
        <v>13</v>
      </c>
      <c r="B17" s="180" t="s">
        <v>171</v>
      </c>
      <c r="C17" s="171"/>
      <c r="D17" s="136" t="s">
        <v>169</v>
      </c>
      <c r="E17" s="172"/>
      <c r="F17" s="172">
        <v>3010989</v>
      </c>
      <c r="G17" s="172"/>
      <c r="H17" s="172"/>
      <c r="I17" s="169">
        <f t="shared" si="1"/>
        <v>3010989</v>
      </c>
      <c r="J17" s="172">
        <f>I17</f>
        <v>3010989</v>
      </c>
      <c r="K17" s="169"/>
      <c r="L17" s="169"/>
      <c r="M17" s="193">
        <v>0</v>
      </c>
    </row>
    <row r="18" spans="1:14" ht="17.25" customHeight="1">
      <c r="A18" s="133">
        <v>14</v>
      </c>
      <c r="B18" s="180" t="s">
        <v>137</v>
      </c>
      <c r="C18" s="171"/>
      <c r="D18" s="136" t="s">
        <v>169</v>
      </c>
      <c r="E18" s="172"/>
      <c r="F18" s="2">
        <v>18084383</v>
      </c>
      <c r="G18" s="2">
        <v>2871508</v>
      </c>
      <c r="H18" s="172">
        <v>1973604</v>
      </c>
      <c r="I18" s="169">
        <f t="shared" si="1"/>
        <v>22929495</v>
      </c>
      <c r="J18" s="172"/>
      <c r="K18" s="169">
        <f t="shared" si="3"/>
        <v>22929495</v>
      </c>
      <c r="L18" s="169">
        <v>3</v>
      </c>
      <c r="M18" s="193">
        <f t="shared" si="2"/>
        <v>7643165</v>
      </c>
    </row>
    <row r="19" spans="1:14" ht="17.25" customHeight="1">
      <c r="A19" s="133">
        <v>15</v>
      </c>
      <c r="B19" s="180" t="s">
        <v>136</v>
      </c>
      <c r="C19" s="171"/>
      <c r="D19" s="136" t="s">
        <v>169</v>
      </c>
      <c r="E19" s="172"/>
      <c r="F19" s="172">
        <v>226032776</v>
      </c>
      <c r="G19" s="172">
        <v>44557707</v>
      </c>
      <c r="H19" s="172">
        <v>21900210</v>
      </c>
      <c r="I19" s="173">
        <f t="shared" si="1"/>
        <v>292490693</v>
      </c>
      <c r="J19" s="172"/>
      <c r="K19" s="169">
        <f t="shared" si="3"/>
        <v>292490693</v>
      </c>
      <c r="L19" s="169">
        <v>33</v>
      </c>
      <c r="M19" s="193">
        <f t="shared" si="2"/>
        <v>8863354.333333334</v>
      </c>
    </row>
    <row r="20" spans="1:14" ht="17.25" customHeight="1">
      <c r="A20" s="133">
        <v>16</v>
      </c>
      <c r="B20" s="180" t="s">
        <v>135</v>
      </c>
      <c r="C20" s="171"/>
      <c r="D20" s="136" t="s">
        <v>169</v>
      </c>
      <c r="E20" s="172"/>
      <c r="F20" s="172">
        <v>90984325</v>
      </c>
      <c r="G20" s="172">
        <v>12409010</v>
      </c>
      <c r="H20" s="172">
        <v>8528783</v>
      </c>
      <c r="I20" s="173">
        <f t="shared" si="1"/>
        <v>111922118</v>
      </c>
      <c r="J20" s="172"/>
      <c r="K20" s="169">
        <f t="shared" si="3"/>
        <v>111922118</v>
      </c>
      <c r="L20" s="169">
        <v>12</v>
      </c>
      <c r="M20" s="193">
        <f t="shared" si="2"/>
        <v>9326843.166666666</v>
      </c>
    </row>
    <row r="21" spans="1:14" ht="17.25" customHeight="1">
      <c r="A21" s="133">
        <v>17</v>
      </c>
      <c r="B21" s="180" t="s">
        <v>134</v>
      </c>
      <c r="C21" s="171"/>
      <c r="D21" s="136" t="s">
        <v>169</v>
      </c>
      <c r="E21" s="172">
        <v>11815478</v>
      </c>
      <c r="F21" s="172">
        <v>2059903</v>
      </c>
      <c r="G21" s="172">
        <v>1118542</v>
      </c>
      <c r="H21" s="172">
        <v>768780</v>
      </c>
      <c r="I21" s="173">
        <f t="shared" si="1"/>
        <v>3947225</v>
      </c>
      <c r="J21" s="172">
        <v>6259309</v>
      </c>
      <c r="K21" s="169">
        <f t="shared" si="3"/>
        <v>9503394</v>
      </c>
      <c r="L21" s="169">
        <v>1</v>
      </c>
      <c r="M21" s="193">
        <f t="shared" si="2"/>
        <v>9503394</v>
      </c>
    </row>
    <row r="22" spans="1:14" ht="17.25" customHeight="1">
      <c r="A22" s="133">
        <v>18</v>
      </c>
      <c r="B22" s="180" t="s">
        <v>189</v>
      </c>
      <c r="C22" s="171"/>
      <c r="D22" s="136" t="s">
        <v>169</v>
      </c>
      <c r="E22" s="172"/>
      <c r="F22" s="172">
        <v>3496297</v>
      </c>
      <c r="G22" s="172"/>
      <c r="H22" s="172">
        <f>8384955+18320260</f>
        <v>26705215</v>
      </c>
      <c r="I22" s="173">
        <f t="shared" si="1"/>
        <v>30201512</v>
      </c>
      <c r="J22" s="189">
        <f>I22</f>
        <v>30201512</v>
      </c>
      <c r="K22" s="169">
        <f t="shared" si="3"/>
        <v>0</v>
      </c>
      <c r="L22" s="169"/>
      <c r="M22" s="193">
        <v>0</v>
      </c>
      <c r="N22" s="2" t="s">
        <v>185</v>
      </c>
    </row>
    <row r="23" spans="1:14" ht="17.25" customHeight="1">
      <c r="A23" s="133">
        <v>19</v>
      </c>
      <c r="B23" s="180" t="s">
        <v>178</v>
      </c>
      <c r="C23" s="171"/>
      <c r="D23" s="136" t="s">
        <v>169</v>
      </c>
      <c r="E23" s="172"/>
      <c r="F23" s="172">
        <v>32123307</v>
      </c>
      <c r="G23" s="172"/>
      <c r="H23" s="172"/>
      <c r="I23" s="173">
        <f t="shared" si="1"/>
        <v>32123307</v>
      </c>
      <c r="J23" s="189">
        <f t="shared" ref="J23:J28" si="4">F23</f>
        <v>32123307</v>
      </c>
      <c r="K23" s="169">
        <f t="shared" si="3"/>
        <v>0</v>
      </c>
      <c r="L23" s="169"/>
      <c r="M23" s="193">
        <v>0</v>
      </c>
    </row>
    <row r="24" spans="1:14" ht="17.25" customHeight="1">
      <c r="A24" s="133">
        <v>20</v>
      </c>
      <c r="B24" s="180" t="s">
        <v>177</v>
      </c>
      <c r="C24" s="171"/>
      <c r="D24" s="136" t="s">
        <v>169</v>
      </c>
      <c r="E24" s="172"/>
      <c r="F24" s="172">
        <v>31221967</v>
      </c>
      <c r="G24" s="172"/>
      <c r="H24" s="172"/>
      <c r="I24" s="173">
        <f t="shared" si="1"/>
        <v>31221967</v>
      </c>
      <c r="J24" s="189">
        <f t="shared" si="4"/>
        <v>31221967</v>
      </c>
      <c r="K24" s="169">
        <f t="shared" si="3"/>
        <v>0</v>
      </c>
      <c r="L24" s="169"/>
      <c r="M24" s="193">
        <v>0</v>
      </c>
    </row>
    <row r="25" spans="1:14" ht="17.25" customHeight="1">
      <c r="A25" s="133">
        <v>21</v>
      </c>
      <c r="B25" s="180" t="s">
        <v>176</v>
      </c>
      <c r="C25" s="171"/>
      <c r="D25" s="136" t="s">
        <v>169</v>
      </c>
      <c r="E25" s="172"/>
      <c r="F25" s="172">
        <v>33990835</v>
      </c>
      <c r="G25" s="172"/>
      <c r="H25" s="172"/>
      <c r="I25" s="173">
        <f t="shared" si="1"/>
        <v>33990835</v>
      </c>
      <c r="J25" s="189">
        <f t="shared" si="4"/>
        <v>33990835</v>
      </c>
      <c r="K25" s="169">
        <f t="shared" si="3"/>
        <v>0</v>
      </c>
      <c r="L25" s="169"/>
      <c r="M25" s="193">
        <v>0</v>
      </c>
    </row>
    <row r="26" spans="1:14" ht="17.25" customHeight="1">
      <c r="A26" s="133">
        <v>22</v>
      </c>
      <c r="B26" s="180" t="s">
        <v>175</v>
      </c>
      <c r="C26" s="171"/>
      <c r="D26" s="136" t="s">
        <v>169</v>
      </c>
      <c r="E26" s="172"/>
      <c r="F26" s="172">
        <v>1176677</v>
      </c>
      <c r="G26" s="172"/>
      <c r="H26" s="172"/>
      <c r="I26" s="173">
        <f t="shared" si="1"/>
        <v>1176677</v>
      </c>
      <c r="J26" s="189">
        <f t="shared" si="4"/>
        <v>1176677</v>
      </c>
      <c r="K26" s="169">
        <f t="shared" si="3"/>
        <v>0</v>
      </c>
      <c r="L26" s="169"/>
      <c r="M26" s="193">
        <v>0</v>
      </c>
    </row>
    <row r="27" spans="1:14" ht="17.25" customHeight="1">
      <c r="A27" s="133">
        <v>23</v>
      </c>
      <c r="B27" s="180" t="s">
        <v>174</v>
      </c>
      <c r="C27" s="171"/>
      <c r="D27" s="136" t="s">
        <v>169</v>
      </c>
      <c r="E27" s="172"/>
      <c r="F27" s="172">
        <v>22189403</v>
      </c>
      <c r="G27" s="172"/>
      <c r="H27" s="172"/>
      <c r="I27" s="173">
        <f t="shared" si="1"/>
        <v>22189403</v>
      </c>
      <c r="J27" s="189">
        <f t="shared" si="4"/>
        <v>22189403</v>
      </c>
      <c r="K27" s="169">
        <f t="shared" si="3"/>
        <v>0</v>
      </c>
      <c r="L27" s="169"/>
      <c r="M27" s="193">
        <v>0</v>
      </c>
    </row>
    <row r="28" spans="1:14" ht="17.25" customHeight="1">
      <c r="A28" s="133">
        <v>24</v>
      </c>
      <c r="B28" s="180" t="s">
        <v>173</v>
      </c>
      <c r="C28" s="171"/>
      <c r="D28" s="136" t="s">
        <v>169</v>
      </c>
      <c r="E28" s="172"/>
      <c r="F28" s="172">
        <v>8894893</v>
      </c>
      <c r="G28" s="172"/>
      <c r="H28" s="172"/>
      <c r="I28" s="173">
        <f t="shared" si="1"/>
        <v>8894893</v>
      </c>
      <c r="J28" s="189">
        <f t="shared" si="4"/>
        <v>8894893</v>
      </c>
      <c r="K28" s="169">
        <f t="shared" si="3"/>
        <v>0</v>
      </c>
      <c r="L28" s="169"/>
      <c r="M28" s="193">
        <v>0</v>
      </c>
    </row>
    <row r="29" spans="1:14" ht="17.25" customHeight="1">
      <c r="A29" s="133">
        <v>25</v>
      </c>
      <c r="B29" s="180" t="s">
        <v>133</v>
      </c>
      <c r="C29" s="171"/>
      <c r="D29" s="136" t="s">
        <v>170</v>
      </c>
      <c r="E29" s="172"/>
      <c r="F29" s="172">
        <v>52772350</v>
      </c>
      <c r="G29" s="172">
        <v>18088952</v>
      </c>
      <c r="H29" s="172">
        <v>12432639</v>
      </c>
      <c r="I29" s="173">
        <f t="shared" si="1"/>
        <v>83293941</v>
      </c>
      <c r="J29" s="172"/>
      <c r="K29" s="169">
        <f t="shared" si="3"/>
        <v>83293941</v>
      </c>
      <c r="L29" s="169">
        <v>50</v>
      </c>
      <c r="M29" s="193">
        <f t="shared" si="2"/>
        <v>1665878.82</v>
      </c>
    </row>
    <row r="30" spans="1:14" ht="17.25" customHeight="1">
      <c r="A30" s="133">
        <v>26</v>
      </c>
      <c r="B30" s="180" t="s">
        <v>132</v>
      </c>
      <c r="C30" s="171"/>
      <c r="D30" s="136" t="s">
        <v>170</v>
      </c>
      <c r="E30" s="172"/>
      <c r="F30" s="172">
        <v>23256675</v>
      </c>
      <c r="G30" s="172">
        <v>15000973</v>
      </c>
      <c r="H30" s="172">
        <v>5303113</v>
      </c>
      <c r="I30" s="173">
        <f t="shared" si="1"/>
        <v>43560761</v>
      </c>
      <c r="J30" s="172"/>
      <c r="K30" s="169">
        <f t="shared" si="3"/>
        <v>43560761</v>
      </c>
      <c r="L30" s="169">
        <v>26</v>
      </c>
      <c r="M30" s="193">
        <f t="shared" si="2"/>
        <v>1675413.8846153845</v>
      </c>
    </row>
    <row r="31" spans="1:14" ht="17.25" customHeight="1">
      <c r="A31" s="133">
        <v>27</v>
      </c>
      <c r="B31" s="180" t="s">
        <v>131</v>
      </c>
      <c r="C31" s="171"/>
      <c r="D31" s="136" t="s">
        <v>170</v>
      </c>
      <c r="E31" s="172"/>
      <c r="F31" s="172">
        <v>45228964</v>
      </c>
      <c r="G31" s="172">
        <v>7715800</v>
      </c>
      <c r="H31" s="172">
        <v>10310253</v>
      </c>
      <c r="I31" s="173">
        <f t="shared" si="1"/>
        <v>63255017</v>
      </c>
      <c r="J31" s="172"/>
      <c r="K31" s="169">
        <f t="shared" si="3"/>
        <v>63255017</v>
      </c>
      <c r="L31" s="169">
        <v>51</v>
      </c>
      <c r="M31" s="193">
        <f t="shared" si="2"/>
        <v>1240294.4509803921</v>
      </c>
    </row>
    <row r="32" spans="1:14" ht="17.25" customHeight="1">
      <c r="A32" s="133">
        <v>28</v>
      </c>
      <c r="B32" s="180" t="s">
        <v>179</v>
      </c>
      <c r="C32" s="171"/>
      <c r="D32" s="136" t="s">
        <v>170</v>
      </c>
      <c r="E32" s="172">
        <v>4024007</v>
      </c>
      <c r="F32" s="172">
        <v>34891757</v>
      </c>
      <c r="G32" s="172">
        <v>12082689</v>
      </c>
      <c r="H32" s="172">
        <v>8304500</v>
      </c>
      <c r="I32" s="173">
        <f t="shared" si="1"/>
        <v>55278946</v>
      </c>
      <c r="J32" s="172">
        <v>1541119</v>
      </c>
      <c r="K32" s="169">
        <f t="shared" si="3"/>
        <v>57761834</v>
      </c>
      <c r="L32" s="169">
        <v>26</v>
      </c>
      <c r="M32" s="193">
        <f t="shared" si="2"/>
        <v>2221609</v>
      </c>
      <c r="N32" s="187"/>
    </row>
    <row r="33" spans="1:13" ht="17.25" customHeight="1">
      <c r="A33" s="133">
        <v>29</v>
      </c>
      <c r="B33" s="180" t="s">
        <v>129</v>
      </c>
      <c r="C33" s="171"/>
      <c r="D33" s="136" t="s">
        <v>170</v>
      </c>
      <c r="E33" s="172"/>
      <c r="F33" s="172">
        <v>101028213</v>
      </c>
      <c r="G33" s="172">
        <v>36405133</v>
      </c>
      <c r="H33" s="172">
        <v>25021454</v>
      </c>
      <c r="I33" s="173">
        <f t="shared" si="1"/>
        <v>162454800</v>
      </c>
      <c r="J33" s="172">
        <v>996317</v>
      </c>
      <c r="K33" s="169">
        <f>E33+I33-J33</f>
        <v>161458483</v>
      </c>
      <c r="L33" s="169">
        <v>160</v>
      </c>
      <c r="M33" s="193">
        <f t="shared" si="2"/>
        <v>1009115.51875</v>
      </c>
    </row>
    <row r="34" spans="1:13" ht="17.25" customHeight="1">
      <c r="A34" s="133">
        <v>30</v>
      </c>
      <c r="B34" s="180" t="s">
        <v>128</v>
      </c>
      <c r="C34" s="171"/>
      <c r="D34" s="136" t="s">
        <v>170</v>
      </c>
      <c r="E34" s="172">
        <v>1141448</v>
      </c>
      <c r="F34" s="172">
        <v>19898699</v>
      </c>
      <c r="G34" s="172">
        <v>7811971</v>
      </c>
      <c r="H34" s="172">
        <v>5369212</v>
      </c>
      <c r="I34" s="173">
        <f t="shared" si="1"/>
        <v>33079882</v>
      </c>
      <c r="J34" s="172"/>
      <c r="K34" s="169">
        <f t="shared" si="3"/>
        <v>34221330</v>
      </c>
      <c r="L34" s="169">
        <v>32</v>
      </c>
      <c r="M34" s="193">
        <f t="shared" si="2"/>
        <v>1069416.5625</v>
      </c>
    </row>
    <row r="35" spans="1:13" ht="17.25" customHeight="1">
      <c r="A35" s="133">
        <v>31</v>
      </c>
      <c r="B35" s="180" t="s">
        <v>172</v>
      </c>
      <c r="C35" s="171"/>
      <c r="D35" s="136" t="s">
        <v>170</v>
      </c>
      <c r="E35" s="172">
        <v>4518148</v>
      </c>
      <c r="F35" s="172"/>
      <c r="G35" s="172">
        <v>1447116</v>
      </c>
      <c r="H35" s="172">
        <v>994611</v>
      </c>
      <c r="I35" s="173">
        <f t="shared" si="1"/>
        <v>2441727</v>
      </c>
      <c r="J35" s="172"/>
      <c r="K35" s="169">
        <f t="shared" si="3"/>
        <v>6959875</v>
      </c>
      <c r="L35" s="169">
        <v>4</v>
      </c>
      <c r="M35" s="193">
        <f t="shared" si="2"/>
        <v>1739968.75</v>
      </c>
    </row>
    <row r="36" spans="1:13" ht="17.25" customHeight="1">
      <c r="A36" s="133">
        <v>32</v>
      </c>
      <c r="B36" s="180" t="s">
        <v>127</v>
      </c>
      <c r="C36" s="171"/>
      <c r="D36" s="136" t="s">
        <v>170</v>
      </c>
      <c r="E36" s="172"/>
      <c r="F36" s="172">
        <v>52182716</v>
      </c>
      <c r="G36" s="172">
        <v>19943730</v>
      </c>
      <c r="H36" s="172">
        <v>13707439</v>
      </c>
      <c r="I36" s="173">
        <f t="shared" si="1"/>
        <v>85833885</v>
      </c>
      <c r="J36" s="172">
        <v>1096743</v>
      </c>
      <c r="K36" s="169">
        <f t="shared" si="3"/>
        <v>84737142</v>
      </c>
      <c r="L36" s="169">
        <v>39</v>
      </c>
      <c r="M36" s="193">
        <f t="shared" si="2"/>
        <v>2172747.230769231</v>
      </c>
    </row>
    <row r="37" spans="1:13" ht="17.25" customHeight="1">
      <c r="A37" s="133">
        <v>33</v>
      </c>
      <c r="B37" s="180" t="s">
        <v>126</v>
      </c>
      <c r="C37" s="171"/>
      <c r="D37" s="175"/>
      <c r="E37" s="172"/>
      <c r="F37" s="172">
        <v>5762445</v>
      </c>
      <c r="G37" s="172">
        <v>929438</v>
      </c>
      <c r="H37" s="172">
        <v>638808</v>
      </c>
      <c r="I37" s="173">
        <f t="shared" si="1"/>
        <v>7330691</v>
      </c>
      <c r="J37" s="172">
        <v>3009702</v>
      </c>
      <c r="K37" s="169">
        <f t="shared" si="3"/>
        <v>4320989</v>
      </c>
      <c r="L37" s="169">
        <v>2</v>
      </c>
      <c r="M37" s="193">
        <f t="shared" si="2"/>
        <v>2160494.5</v>
      </c>
    </row>
    <row r="38" spans="1:13" ht="17.25" customHeight="1">
      <c r="A38" s="133">
        <v>34</v>
      </c>
      <c r="B38" s="180" t="s">
        <v>125</v>
      </c>
      <c r="C38" s="171"/>
      <c r="D38" s="175"/>
      <c r="E38" s="172"/>
      <c r="F38" s="172">
        <v>24777903</v>
      </c>
      <c r="G38" s="172">
        <v>10921540</v>
      </c>
      <c r="H38" s="172">
        <v>7506436</v>
      </c>
      <c r="I38" s="173">
        <f t="shared" si="1"/>
        <v>43205879</v>
      </c>
      <c r="J38" s="172"/>
      <c r="K38" s="169">
        <f t="shared" si="3"/>
        <v>43205879</v>
      </c>
      <c r="L38" s="169">
        <v>48</v>
      </c>
      <c r="M38" s="193">
        <f t="shared" si="2"/>
        <v>900122.47916666663</v>
      </c>
    </row>
    <row r="39" spans="1:13" ht="17.25" customHeight="1">
      <c r="A39" s="133">
        <v>35</v>
      </c>
      <c r="B39" s="180" t="s">
        <v>124</v>
      </c>
      <c r="C39" s="171"/>
      <c r="D39" s="175"/>
      <c r="E39" s="172"/>
      <c r="F39" s="172">
        <v>14029582</v>
      </c>
      <c r="G39" s="172">
        <v>6659168</v>
      </c>
      <c r="H39" s="172">
        <v>4576884</v>
      </c>
      <c r="I39" s="173">
        <f t="shared" si="1"/>
        <v>25265634</v>
      </c>
      <c r="J39" s="172"/>
      <c r="K39" s="169">
        <f t="shared" si="3"/>
        <v>25265634</v>
      </c>
      <c r="L39" s="169">
        <v>29</v>
      </c>
      <c r="M39" s="193">
        <f t="shared" si="2"/>
        <v>871228.75862068962</v>
      </c>
    </row>
    <row r="40" spans="1:13" ht="17.25" customHeight="1">
      <c r="A40" s="133">
        <v>36</v>
      </c>
      <c r="B40" s="180" t="s">
        <v>123</v>
      </c>
      <c r="C40" s="171"/>
      <c r="D40" s="175"/>
      <c r="E40" s="172"/>
      <c r="F40" s="172">
        <v>3333269</v>
      </c>
      <c r="G40" s="172">
        <v>1653760</v>
      </c>
      <c r="H40" s="172">
        <v>1136639</v>
      </c>
      <c r="I40" s="173">
        <f t="shared" si="1"/>
        <v>6123668</v>
      </c>
      <c r="J40" s="172"/>
      <c r="K40" s="169">
        <f t="shared" si="3"/>
        <v>6123668</v>
      </c>
      <c r="L40" s="169">
        <v>8</v>
      </c>
      <c r="M40" s="193">
        <f t="shared" si="2"/>
        <v>765458.5</v>
      </c>
    </row>
    <row r="41" spans="1:13" ht="17.25" customHeight="1">
      <c r="A41" s="133">
        <v>37</v>
      </c>
      <c r="B41" s="180" t="s">
        <v>122</v>
      </c>
      <c r="C41" s="171"/>
      <c r="D41" s="175"/>
      <c r="E41" s="172"/>
      <c r="F41" s="172">
        <v>3874617</v>
      </c>
      <c r="G41" s="172">
        <v>2193408</v>
      </c>
      <c r="H41" s="172">
        <v>1507542</v>
      </c>
      <c r="I41" s="173">
        <f t="shared" si="1"/>
        <v>7575567</v>
      </c>
      <c r="J41" s="172"/>
      <c r="K41" s="169">
        <f t="shared" si="3"/>
        <v>7575567</v>
      </c>
      <c r="L41" s="169">
        <v>28</v>
      </c>
      <c r="M41" s="193">
        <f t="shared" si="2"/>
        <v>270555.96428571426</v>
      </c>
    </row>
    <row r="42" spans="1:13" ht="17.25" customHeight="1">
      <c r="A42" s="133">
        <v>38</v>
      </c>
      <c r="B42" s="180" t="s">
        <v>180</v>
      </c>
      <c r="C42" s="171"/>
      <c r="D42" s="175"/>
      <c r="E42" s="172"/>
      <c r="F42" s="172"/>
      <c r="G42" s="172"/>
      <c r="H42" s="172"/>
      <c r="I42" s="173">
        <f t="shared" si="1"/>
        <v>0</v>
      </c>
      <c r="J42" s="172"/>
      <c r="K42" s="169">
        <f t="shared" si="3"/>
        <v>0</v>
      </c>
      <c r="L42" s="169"/>
      <c r="M42" s="193"/>
    </row>
    <row r="43" spans="1:13" ht="17.25" customHeight="1">
      <c r="A43" s="133">
        <v>39</v>
      </c>
      <c r="B43" s="180" t="s">
        <v>121</v>
      </c>
      <c r="C43" s="171"/>
      <c r="D43" s="175"/>
      <c r="E43" s="172"/>
      <c r="F43" s="172">
        <v>3310119</v>
      </c>
      <c r="G43" s="172">
        <v>1500787</v>
      </c>
      <c r="H43" s="172">
        <v>1031499</v>
      </c>
      <c r="I43" s="173">
        <f t="shared" si="1"/>
        <v>5842405</v>
      </c>
      <c r="J43" s="172"/>
      <c r="K43" s="169">
        <f t="shared" si="3"/>
        <v>5842405</v>
      </c>
      <c r="L43" s="169">
        <v>12</v>
      </c>
      <c r="M43" s="193">
        <f t="shared" si="2"/>
        <v>486867.08333333331</v>
      </c>
    </row>
    <row r="44" spans="1:13" ht="17.25" customHeight="1">
      <c r="A44" s="133">
        <v>40</v>
      </c>
      <c r="B44" s="180" t="s">
        <v>120</v>
      </c>
      <c r="C44" s="171"/>
      <c r="D44" s="175"/>
      <c r="E44" s="172"/>
      <c r="F44" s="172">
        <v>5175389</v>
      </c>
      <c r="G44" s="172">
        <v>1820257</v>
      </c>
      <c r="H44" s="172">
        <v>1251073</v>
      </c>
      <c r="I44" s="173">
        <f t="shared" si="1"/>
        <v>8246719</v>
      </c>
      <c r="J44" s="172"/>
      <c r="K44" s="169">
        <f t="shared" si="3"/>
        <v>8246719</v>
      </c>
      <c r="L44" s="169">
        <v>8</v>
      </c>
      <c r="M44" s="193">
        <f t="shared" si="2"/>
        <v>1030839.875</v>
      </c>
    </row>
    <row r="45" spans="1:13" ht="17.25" customHeight="1">
      <c r="A45" s="133">
        <v>41</v>
      </c>
      <c r="B45" s="180" t="s">
        <v>119</v>
      </c>
      <c r="C45" s="171"/>
      <c r="D45" s="175"/>
      <c r="E45" s="172"/>
      <c r="F45" s="172">
        <v>11235312</v>
      </c>
      <c r="G45" s="172">
        <v>3788375</v>
      </c>
      <c r="H45" s="172">
        <v>2603772</v>
      </c>
      <c r="I45" s="173">
        <f t="shared" si="1"/>
        <v>17627459</v>
      </c>
      <c r="J45" s="172"/>
      <c r="K45" s="169">
        <f t="shared" si="3"/>
        <v>17627459</v>
      </c>
      <c r="L45" s="169">
        <v>10</v>
      </c>
      <c r="M45" s="193">
        <f t="shared" si="2"/>
        <v>1762745.9</v>
      </c>
    </row>
    <row r="46" spans="1:13" ht="17.25" customHeight="1">
      <c r="A46" s="133">
        <v>42</v>
      </c>
      <c r="B46" s="180" t="s">
        <v>118</v>
      </c>
      <c r="C46" s="171"/>
      <c r="D46" s="175"/>
      <c r="E46" s="172">
        <v>779806</v>
      </c>
      <c r="F46" s="172">
        <v>127044441</v>
      </c>
      <c r="G46" s="172">
        <v>39830102</v>
      </c>
      <c r="H46" s="172">
        <v>27375454</v>
      </c>
      <c r="I46" s="173">
        <f t="shared" si="1"/>
        <v>194249997</v>
      </c>
      <c r="J46" s="172">
        <v>4635097</v>
      </c>
      <c r="K46" s="169">
        <f t="shared" si="3"/>
        <v>190394706</v>
      </c>
      <c r="L46" s="169">
        <v>55</v>
      </c>
      <c r="M46" s="193">
        <f t="shared" si="2"/>
        <v>3461721.9272727272</v>
      </c>
    </row>
    <row r="47" spans="1:13" ht="17.25" customHeight="1">
      <c r="A47" s="133">
        <v>43</v>
      </c>
      <c r="B47" s="180" t="s">
        <v>117</v>
      </c>
      <c r="C47" s="171"/>
      <c r="D47" s="175"/>
      <c r="E47" s="172">
        <v>3002967</v>
      </c>
      <c r="F47" s="172">
        <v>27279900</v>
      </c>
      <c r="G47" s="172">
        <v>9134337</v>
      </c>
      <c r="H47" s="172">
        <v>6278082</v>
      </c>
      <c r="I47" s="173">
        <f t="shared" si="1"/>
        <v>42692319</v>
      </c>
      <c r="J47" s="172"/>
      <c r="K47" s="169">
        <f t="shared" si="3"/>
        <v>45695286</v>
      </c>
      <c r="L47" s="169">
        <v>12</v>
      </c>
      <c r="M47" s="193">
        <f t="shared" si="2"/>
        <v>3807940.5</v>
      </c>
    </row>
    <row r="48" spans="1:13" ht="17.25" customHeight="1">
      <c r="A48" s="133">
        <v>44</v>
      </c>
      <c r="B48" s="180" t="s">
        <v>181</v>
      </c>
      <c r="C48" s="171"/>
      <c r="D48" s="175"/>
      <c r="E48" s="172"/>
      <c r="F48" s="172">
        <v>27335114</v>
      </c>
      <c r="G48" s="2">
        <v>13182700</v>
      </c>
      <c r="H48" s="172">
        <v>9060545</v>
      </c>
      <c r="I48" s="173">
        <f t="shared" si="1"/>
        <v>49578359</v>
      </c>
      <c r="J48" s="172"/>
      <c r="K48" s="169">
        <f t="shared" si="3"/>
        <v>49578359</v>
      </c>
      <c r="L48" s="169">
        <v>54</v>
      </c>
      <c r="M48" s="193">
        <f t="shared" si="2"/>
        <v>918117.75925925921</v>
      </c>
    </row>
    <row r="49" spans="1:13" ht="17.25" customHeight="1">
      <c r="A49" s="133">
        <v>45</v>
      </c>
      <c r="B49" s="180" t="s">
        <v>182</v>
      </c>
      <c r="C49" s="171"/>
      <c r="D49" s="175"/>
      <c r="E49" s="172"/>
      <c r="F49" s="172">
        <v>3923882</v>
      </c>
      <c r="G49" s="172"/>
      <c r="H49" s="172"/>
      <c r="I49" s="173">
        <f t="shared" si="1"/>
        <v>3923882</v>
      </c>
      <c r="J49" s="172"/>
      <c r="K49" s="169">
        <f t="shared" si="3"/>
        <v>3923882</v>
      </c>
      <c r="L49" s="169">
        <v>40</v>
      </c>
      <c r="M49" s="193">
        <f t="shared" si="2"/>
        <v>98097.05</v>
      </c>
    </row>
    <row r="50" spans="1:13" ht="17.25" customHeight="1">
      <c r="A50" s="133">
        <v>46</v>
      </c>
      <c r="B50" s="180" t="s">
        <v>183</v>
      </c>
      <c r="C50" s="171"/>
      <c r="D50" s="175"/>
      <c r="E50" s="172"/>
      <c r="F50" s="172">
        <v>3839339</v>
      </c>
      <c r="G50" s="172"/>
      <c r="H50" s="172"/>
      <c r="I50" s="173">
        <f t="shared" si="1"/>
        <v>3839339</v>
      </c>
      <c r="J50" s="172"/>
      <c r="K50" s="169">
        <f t="shared" si="3"/>
        <v>3839339</v>
      </c>
      <c r="L50" s="169">
        <v>1</v>
      </c>
      <c r="M50" s="193">
        <f t="shared" si="2"/>
        <v>3839339</v>
      </c>
    </row>
    <row r="51" spans="1:13" ht="17.25" customHeight="1">
      <c r="A51" s="133">
        <v>47</v>
      </c>
      <c r="B51" s="180" t="s">
        <v>184</v>
      </c>
      <c r="C51" s="171"/>
      <c r="D51" s="175"/>
      <c r="E51" s="172"/>
      <c r="F51" s="172">
        <v>1066330</v>
      </c>
      <c r="G51" s="172"/>
      <c r="H51" s="172"/>
      <c r="I51" s="173">
        <f t="shared" si="1"/>
        <v>1066330</v>
      </c>
      <c r="J51" s="172"/>
      <c r="K51" s="169">
        <f t="shared" si="3"/>
        <v>1066330</v>
      </c>
      <c r="L51" s="169">
        <v>3</v>
      </c>
      <c r="M51" s="193">
        <f t="shared" si="2"/>
        <v>355443.33333333331</v>
      </c>
    </row>
    <row r="52" spans="1:13" ht="17.25" customHeight="1">
      <c r="A52" s="133">
        <v>48</v>
      </c>
      <c r="B52" s="181" t="s">
        <v>186</v>
      </c>
      <c r="C52" s="171"/>
      <c r="D52" s="175"/>
      <c r="E52" s="172"/>
      <c r="F52" s="172"/>
      <c r="G52" s="172"/>
      <c r="H52" s="172"/>
      <c r="I52" s="173"/>
      <c r="J52" s="172"/>
      <c r="K52" s="173"/>
      <c r="L52" s="186">
        <v>1</v>
      </c>
      <c r="M52" s="193">
        <f t="shared" si="2"/>
        <v>0</v>
      </c>
    </row>
    <row r="53" spans="1:13" ht="17.25" customHeight="1">
      <c r="A53" s="177"/>
      <c r="B53" s="178"/>
      <c r="C53" s="171"/>
      <c r="D53" s="175"/>
      <c r="E53" s="172"/>
      <c r="F53" s="172"/>
      <c r="G53" s="172"/>
      <c r="H53" s="172"/>
      <c r="I53" s="173"/>
      <c r="J53" s="172"/>
      <c r="K53" s="173"/>
      <c r="L53" s="174"/>
      <c r="M53" s="194"/>
    </row>
    <row r="54" spans="1:13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110"/>
      <c r="M54" s="195"/>
    </row>
    <row r="55" spans="1:13" ht="12.75" customHeight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84"/>
      <c r="M55" s="196"/>
    </row>
    <row r="56" spans="1:13" ht="15.75">
      <c r="J56" s="52" t="s">
        <v>188</v>
      </c>
      <c r="K56" s="38"/>
    </row>
    <row r="57" spans="1:13" ht="16.5">
      <c r="J57" s="52" t="s">
        <v>53</v>
      </c>
      <c r="K57" s="36"/>
      <c r="L57" s="185"/>
    </row>
    <row r="58" spans="1:13" ht="15">
      <c r="B58" s="15"/>
      <c r="C58" s="15"/>
      <c r="G58" s="15"/>
      <c r="J58" s="38"/>
      <c r="K58" s="38"/>
    </row>
    <row r="60" spans="1:13">
      <c r="F60" s="15"/>
    </row>
  </sheetData>
  <mergeCells count="2">
    <mergeCell ref="A1:M1"/>
    <mergeCell ref="F2:I2"/>
  </mergeCells>
  <phoneticPr fontId="18" type="noConversion"/>
  <pageMargins left="0.2" right="0.21" top="0.27" bottom="0.59" header="0.23" footer="0.38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8" sqref="C8"/>
    </sheetView>
  </sheetViews>
  <sheetFormatPr defaultRowHeight="12.75"/>
  <cols>
    <col min="1" max="1" width="11.42578125" style="2" customWidth="1"/>
    <col min="2" max="2" width="38.7109375" style="2" customWidth="1"/>
    <col min="3" max="3" width="18.7109375" style="2" customWidth="1"/>
    <col min="4" max="4" width="15.7109375" style="2" customWidth="1"/>
    <col min="5" max="16384" width="9.140625" style="2"/>
  </cols>
  <sheetData>
    <row r="1" spans="1:3" ht="19.5">
      <c r="A1" s="786" t="s">
        <v>190</v>
      </c>
      <c r="B1" s="786"/>
      <c r="C1" s="786"/>
    </row>
    <row r="3" spans="1:3" ht="14.25">
      <c r="A3" s="198" t="s">
        <v>191</v>
      </c>
      <c r="B3" s="198" t="s">
        <v>192</v>
      </c>
      <c r="C3" s="198" t="s">
        <v>193</v>
      </c>
    </row>
    <row r="4" spans="1:3" s="6" customFormat="1" ht="15.75">
      <c r="A4" s="200"/>
      <c r="B4" s="200" t="s">
        <v>203</v>
      </c>
      <c r="C4" s="201">
        <f>SUM(C5:C7)</f>
        <v>463083209</v>
      </c>
    </row>
    <row r="5" spans="1:3" ht="15">
      <c r="A5" s="46">
        <v>1</v>
      </c>
      <c r="B5" s="46" t="s">
        <v>196</v>
      </c>
      <c r="C5" s="47">
        <v>403905709</v>
      </c>
    </row>
    <row r="6" spans="1:3" ht="15">
      <c r="A6" s="46"/>
      <c r="B6" s="46" t="s">
        <v>194</v>
      </c>
      <c r="C6" s="47">
        <v>22377500</v>
      </c>
    </row>
    <row r="7" spans="1:3" ht="15">
      <c r="A7" s="46"/>
      <c r="B7" s="46" t="s">
        <v>195</v>
      </c>
      <c r="C7" s="47">
        <f>16200000+6450000+7450000+6700000</f>
        <v>36800000</v>
      </c>
    </row>
    <row r="8" spans="1:3" ht="15">
      <c r="A8" s="46">
        <v>2</v>
      </c>
      <c r="B8" s="46" t="s">
        <v>197</v>
      </c>
      <c r="C8" s="47"/>
    </row>
    <row r="9" spans="1:3" s="6" customFormat="1" ht="15.75">
      <c r="A9" s="48">
        <v>3</v>
      </c>
      <c r="B9" s="48" t="s">
        <v>198</v>
      </c>
      <c r="C9" s="50">
        <f>SUM(C10:C13)</f>
        <v>71019380</v>
      </c>
    </row>
    <row r="10" spans="1:3" ht="15">
      <c r="A10" s="46"/>
      <c r="B10" s="46" t="s">
        <v>199</v>
      </c>
      <c r="C10" s="47">
        <v>2830762</v>
      </c>
    </row>
    <row r="11" spans="1:3" ht="15">
      <c r="A11" s="46"/>
      <c r="B11" s="46" t="s">
        <v>200</v>
      </c>
      <c r="C11" s="47">
        <v>27095121</v>
      </c>
    </row>
    <row r="12" spans="1:3" ht="15">
      <c r="A12" s="46"/>
      <c r="B12" s="46" t="s">
        <v>202</v>
      </c>
      <c r="C12" s="47">
        <v>1575000</v>
      </c>
    </row>
    <row r="13" spans="1:3" ht="15">
      <c r="A13" s="46"/>
      <c r="B13" s="46" t="s">
        <v>201</v>
      </c>
      <c r="C13" s="47">
        <f>14740000+2741734+5400000+2936763+13700000</f>
        <v>39518497</v>
      </c>
    </row>
    <row r="14" spans="1:3" ht="15">
      <c r="A14" s="46"/>
      <c r="B14" s="46"/>
      <c r="C14" s="47"/>
    </row>
    <row r="15" spans="1:3" ht="15">
      <c r="A15" s="51"/>
      <c r="B15" s="51"/>
      <c r="C15" s="202"/>
    </row>
    <row r="16" spans="1:3" ht="15">
      <c r="A16" s="38"/>
      <c r="B16" s="38"/>
      <c r="C16" s="199"/>
    </row>
    <row r="17" spans="1:3" ht="15">
      <c r="A17" s="38"/>
      <c r="B17" s="38"/>
      <c r="C17" s="38"/>
    </row>
    <row r="18" spans="1:3" ht="15">
      <c r="A18" s="38"/>
      <c r="B18" s="38"/>
      <c r="C18" s="38"/>
    </row>
    <row r="19" spans="1:3" ht="15">
      <c r="A19" s="38"/>
      <c r="B19" s="38"/>
      <c r="C19" s="38"/>
    </row>
    <row r="20" spans="1:3" ht="15">
      <c r="A20" s="38"/>
      <c r="B20" s="38"/>
      <c r="C20" s="38"/>
    </row>
    <row r="21" spans="1:3" ht="15">
      <c r="A21" s="38"/>
      <c r="B21" s="38"/>
      <c r="C21" s="38"/>
    </row>
    <row r="22" spans="1:3" ht="15">
      <c r="A22" s="38"/>
      <c r="B22" s="38"/>
      <c r="C22" s="38"/>
    </row>
    <row r="23" spans="1:3" ht="15">
      <c r="A23" s="38"/>
      <c r="B23" s="38"/>
      <c r="C23" s="38"/>
    </row>
    <row r="24" spans="1:3" ht="15">
      <c r="A24" s="38"/>
      <c r="B24" s="38"/>
      <c r="C24" s="38"/>
    </row>
    <row r="25" spans="1:3" ht="15">
      <c r="A25" s="38"/>
      <c r="B25" s="38"/>
      <c r="C25" s="38"/>
    </row>
    <row r="26" spans="1:3" ht="15">
      <c r="A26" s="38"/>
      <c r="B26" s="38"/>
      <c r="C26" s="38"/>
    </row>
    <row r="27" spans="1:3" ht="15">
      <c r="A27" s="38"/>
      <c r="B27" s="38"/>
      <c r="C27" s="38"/>
    </row>
  </sheetData>
  <mergeCells count="1">
    <mergeCell ref="A1:C1"/>
  </mergeCells>
  <phoneticPr fontId="18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0"/>
  <sheetViews>
    <sheetView topLeftCell="A4" workbookViewId="0">
      <selection activeCell="E37" sqref="E37:E60"/>
    </sheetView>
  </sheetViews>
  <sheetFormatPr defaultRowHeight="12.75"/>
  <cols>
    <col min="1" max="1" width="5" style="2" customWidth="1"/>
    <col min="2" max="2" width="35.42578125" style="2" customWidth="1"/>
    <col min="3" max="3" width="15.140625" style="2" customWidth="1"/>
    <col min="4" max="4" width="14.7109375" style="2" customWidth="1"/>
    <col min="5" max="5" width="13.28515625" style="2" customWidth="1"/>
    <col min="6" max="6" width="15.140625" style="2" customWidth="1"/>
    <col min="7" max="7" width="12.5703125" style="2" customWidth="1"/>
    <col min="8" max="8" width="14.5703125" style="2" customWidth="1"/>
    <col min="9" max="9" width="11.28515625" style="2" customWidth="1"/>
    <col min="10" max="10" width="19.140625" style="2" customWidth="1"/>
    <col min="11" max="16384" width="9.140625" style="2"/>
  </cols>
  <sheetData>
    <row r="1" spans="1:9" ht="20.25" customHeight="1">
      <c r="A1" s="787" t="s">
        <v>269</v>
      </c>
      <c r="B1" s="788"/>
      <c r="C1" s="788"/>
      <c r="D1" s="788"/>
      <c r="E1" s="788"/>
      <c r="F1" s="204"/>
      <c r="G1" s="204"/>
    </row>
    <row r="2" spans="1:9" ht="20.25" customHeight="1">
      <c r="A2" s="203"/>
      <c r="B2" s="204"/>
      <c r="C2" s="204"/>
      <c r="D2" s="204"/>
      <c r="E2" s="204"/>
      <c r="F2" s="205"/>
      <c r="G2" s="205"/>
    </row>
    <row r="3" spans="1:9" ht="24" customHeight="1">
      <c r="A3" s="162" t="s">
        <v>45</v>
      </c>
      <c r="B3" s="206" t="s">
        <v>204</v>
      </c>
      <c r="C3" s="207"/>
      <c r="D3" s="207" t="s">
        <v>205</v>
      </c>
      <c r="E3" s="207" t="s">
        <v>206</v>
      </c>
      <c r="F3" s="227">
        <v>0</v>
      </c>
      <c r="G3" s="208"/>
    </row>
    <row r="4" spans="1:9" ht="18.75" customHeight="1">
      <c r="A4" s="9"/>
      <c r="B4" s="165"/>
      <c r="C4" s="165"/>
      <c r="D4" s="165"/>
      <c r="E4" s="226">
        <v>829968588</v>
      </c>
      <c r="F4" s="227"/>
      <c r="G4" s="176"/>
      <c r="H4" s="15"/>
    </row>
    <row r="5" spans="1:9" ht="17.25" customHeight="1">
      <c r="A5" s="12"/>
      <c r="B5" s="209"/>
      <c r="C5" s="210"/>
      <c r="D5" s="210"/>
      <c r="E5" s="211">
        <f>E4/D6</f>
        <v>8.2590067320344449E-2</v>
      </c>
      <c r="F5" s="227"/>
      <c r="G5" s="176"/>
    </row>
    <row r="6" spans="1:9" s="6" customFormat="1" ht="17.25" customHeight="1">
      <c r="A6" s="17"/>
      <c r="B6" s="212" t="s">
        <v>65</v>
      </c>
      <c r="C6" s="212"/>
      <c r="D6" s="213">
        <f>SUM(D7:D61)</f>
        <v>10049254286</v>
      </c>
      <c r="E6" s="213">
        <f>SUM(E7:E61)</f>
        <v>829968587.65274096</v>
      </c>
      <c r="F6" s="227"/>
      <c r="G6" s="214"/>
      <c r="H6" s="215"/>
      <c r="I6" s="214"/>
    </row>
    <row r="7" spans="1:9" s="6" customFormat="1" ht="17.25" customHeight="1">
      <c r="A7" s="17">
        <v>2</v>
      </c>
      <c r="B7" s="221" t="s">
        <v>207</v>
      </c>
      <c r="C7" s="222" t="s">
        <v>208</v>
      </c>
      <c r="D7" s="223">
        <v>609338954</v>
      </c>
      <c r="E7" s="216">
        <f>D7*$E$5</f>
        <v>50325345.231768273</v>
      </c>
      <c r="F7" s="227"/>
      <c r="G7" s="214"/>
      <c r="H7" s="215"/>
      <c r="I7" s="214"/>
    </row>
    <row r="8" spans="1:9" s="6" customFormat="1" ht="17.25" customHeight="1">
      <c r="A8" s="17">
        <v>3</v>
      </c>
      <c r="B8" s="221" t="s">
        <v>293</v>
      </c>
      <c r="C8" s="222" t="s">
        <v>270</v>
      </c>
      <c r="D8" s="223">
        <v>62720188</v>
      </c>
      <c r="E8" s="216">
        <f>D8*$E$5</f>
        <v>5180064.5492646601</v>
      </c>
      <c r="F8" s="227"/>
      <c r="G8" s="214"/>
      <c r="H8" s="215"/>
      <c r="I8" s="214"/>
    </row>
    <row r="9" spans="1:9" s="6" customFormat="1" ht="17.25" customHeight="1">
      <c r="A9" s="17">
        <v>4</v>
      </c>
      <c r="B9" s="221" t="s">
        <v>209</v>
      </c>
      <c r="C9" s="222" t="s">
        <v>210</v>
      </c>
      <c r="D9" s="223">
        <v>848438822</v>
      </c>
      <c r="E9" s="216">
        <f t="shared" ref="E9:E60" si="0">D9*$E$5</f>
        <v>70072619.426173747</v>
      </c>
      <c r="F9" s="227"/>
      <c r="G9" s="214"/>
      <c r="H9" s="215"/>
      <c r="I9" s="214"/>
    </row>
    <row r="10" spans="1:9" s="6" customFormat="1" ht="17.25" customHeight="1">
      <c r="A10" s="17">
        <v>5</v>
      </c>
      <c r="B10" s="221" t="s">
        <v>294</v>
      </c>
      <c r="C10" s="222" t="s">
        <v>271</v>
      </c>
      <c r="D10" s="223">
        <v>5492970530</v>
      </c>
      <c r="E10" s="216">
        <f t="shared" si="0"/>
        <v>453664805.86136812</v>
      </c>
      <c r="F10" s="227"/>
      <c r="G10" s="214"/>
      <c r="H10" s="215"/>
      <c r="I10" s="214"/>
    </row>
    <row r="11" spans="1:9" s="6" customFormat="1" ht="17.25" customHeight="1">
      <c r="A11" s="17">
        <v>6</v>
      </c>
      <c r="B11" s="221" t="s">
        <v>295</v>
      </c>
      <c r="C11" s="222" t="s">
        <v>272</v>
      </c>
      <c r="D11" s="223">
        <v>5450000</v>
      </c>
      <c r="E11" s="216">
        <f t="shared" si="0"/>
        <v>450115.86689587723</v>
      </c>
      <c r="F11" s="227"/>
      <c r="G11" s="214"/>
      <c r="H11" s="215"/>
      <c r="I11" s="214"/>
    </row>
    <row r="12" spans="1:9" s="6" customFormat="1" ht="17.25" customHeight="1">
      <c r="A12" s="17">
        <v>7</v>
      </c>
      <c r="B12" s="221" t="s">
        <v>211</v>
      </c>
      <c r="C12" s="222" t="s">
        <v>212</v>
      </c>
      <c r="D12" s="223">
        <v>4543637</v>
      </c>
      <c r="E12" s="216">
        <f t="shared" si="0"/>
        <v>375259.28570920788</v>
      </c>
      <c r="F12" s="227"/>
      <c r="G12" s="214"/>
      <c r="H12" s="215"/>
      <c r="I12" s="214"/>
    </row>
    <row r="13" spans="1:9" s="6" customFormat="1" ht="17.25" customHeight="1">
      <c r="A13" s="17">
        <v>8</v>
      </c>
      <c r="B13" s="221" t="s">
        <v>296</v>
      </c>
      <c r="C13" s="222" t="s">
        <v>273</v>
      </c>
      <c r="D13" s="223">
        <v>19958182</v>
      </c>
      <c r="E13" s="216">
        <f t="shared" si="0"/>
        <v>1648347.5949716868</v>
      </c>
      <c r="F13" s="227"/>
      <c r="G13" s="214"/>
      <c r="H13" s="215"/>
      <c r="I13" s="214"/>
    </row>
    <row r="14" spans="1:9" s="6" customFormat="1" ht="17.25" customHeight="1">
      <c r="A14" s="17">
        <v>9</v>
      </c>
      <c r="B14" s="221" t="s">
        <v>297</v>
      </c>
      <c r="C14" s="222" t="s">
        <v>274</v>
      </c>
      <c r="D14" s="223">
        <v>121825452</v>
      </c>
      <c r="E14" s="216">
        <f t="shared" si="0"/>
        <v>10061572.282011392</v>
      </c>
      <c r="F14" s="227"/>
      <c r="G14" s="214"/>
      <c r="H14" s="215"/>
      <c r="I14" s="214"/>
    </row>
    <row r="15" spans="1:9" s="6" customFormat="1" ht="17.25" customHeight="1">
      <c r="A15" s="17">
        <v>10</v>
      </c>
      <c r="B15" s="221" t="s">
        <v>213</v>
      </c>
      <c r="C15" s="222" t="s">
        <v>214</v>
      </c>
      <c r="D15" s="223">
        <v>12220909</v>
      </c>
      <c r="E15" s="216">
        <f t="shared" si="0"/>
        <v>1009325.6970258034</v>
      </c>
      <c r="F15" s="227"/>
      <c r="G15" s="214"/>
      <c r="H15" s="215"/>
      <c r="I15" s="214"/>
    </row>
    <row r="16" spans="1:9" s="6" customFormat="1" ht="17.25" customHeight="1">
      <c r="A16" s="17">
        <v>11</v>
      </c>
      <c r="B16" s="221" t="s">
        <v>298</v>
      </c>
      <c r="C16" s="222" t="s">
        <v>275</v>
      </c>
      <c r="D16" s="223">
        <v>11220000</v>
      </c>
      <c r="E16" s="216">
        <f t="shared" si="0"/>
        <v>926660.55533426476</v>
      </c>
      <c r="F16" s="227"/>
      <c r="G16" s="214"/>
      <c r="H16" s="215"/>
      <c r="I16" s="214"/>
    </row>
    <row r="17" spans="1:9" s="6" customFormat="1" ht="17.25" customHeight="1">
      <c r="A17" s="17">
        <v>12</v>
      </c>
      <c r="B17" s="221" t="s">
        <v>299</v>
      </c>
      <c r="C17" s="222" t="s">
        <v>276</v>
      </c>
      <c r="D17" s="223">
        <v>11235000</v>
      </c>
      <c r="E17" s="216">
        <f t="shared" si="0"/>
        <v>927899.40634406987</v>
      </c>
      <c r="F17" s="227"/>
      <c r="G17" s="214"/>
      <c r="H17" s="215"/>
      <c r="I17" s="214"/>
    </row>
    <row r="18" spans="1:9" s="6" customFormat="1" ht="17.25" customHeight="1">
      <c r="A18" s="17">
        <v>13</v>
      </c>
      <c r="B18" s="221" t="s">
        <v>215</v>
      </c>
      <c r="C18" s="222" t="s">
        <v>216</v>
      </c>
      <c r="D18" s="223">
        <v>695130216</v>
      </c>
      <c r="E18" s="216">
        <f t="shared" si="0"/>
        <v>57410851.335845575</v>
      </c>
      <c r="F18" s="227"/>
      <c r="G18" s="214"/>
      <c r="H18" s="215"/>
      <c r="I18" s="214"/>
    </row>
    <row r="19" spans="1:9" s="6" customFormat="1" ht="17.25" customHeight="1">
      <c r="A19" s="17">
        <v>14</v>
      </c>
      <c r="B19" s="221" t="s">
        <v>217</v>
      </c>
      <c r="C19" s="222" t="s">
        <v>218</v>
      </c>
      <c r="D19" s="223">
        <v>172542993</v>
      </c>
      <c r="E19" s="216">
        <f t="shared" si="0"/>
        <v>14250337.407523721</v>
      </c>
      <c r="F19" s="227"/>
      <c r="G19" s="214"/>
      <c r="H19" s="215"/>
      <c r="I19" s="214"/>
    </row>
    <row r="20" spans="1:9" s="6" customFormat="1" ht="17.25" customHeight="1">
      <c r="A20" s="17">
        <v>15</v>
      </c>
      <c r="B20" s="221" t="s">
        <v>219</v>
      </c>
      <c r="C20" s="222" t="s">
        <v>220</v>
      </c>
      <c r="D20" s="223">
        <v>54457200</v>
      </c>
      <c r="E20" s="216">
        <f t="shared" si="0"/>
        <v>4497623.8140774621</v>
      </c>
      <c r="F20" s="227"/>
      <c r="G20" s="214"/>
      <c r="H20" s="215"/>
      <c r="I20" s="214"/>
    </row>
    <row r="21" spans="1:9" s="6" customFormat="1" ht="17.25" customHeight="1">
      <c r="A21" s="17">
        <v>16</v>
      </c>
      <c r="B21" s="221" t="s">
        <v>221</v>
      </c>
      <c r="C21" s="222" t="s">
        <v>222</v>
      </c>
      <c r="D21" s="223">
        <v>25177951</v>
      </c>
      <c r="E21" s="216">
        <f t="shared" si="0"/>
        <v>2079448.6680783338</v>
      </c>
      <c r="F21" s="227"/>
      <c r="G21" s="214"/>
      <c r="H21" s="215"/>
      <c r="I21" s="214"/>
    </row>
    <row r="22" spans="1:9" s="6" customFormat="1" ht="17.25" customHeight="1">
      <c r="A22" s="17">
        <v>17</v>
      </c>
      <c r="B22" s="221" t="s">
        <v>300</v>
      </c>
      <c r="C22" s="222" t="s">
        <v>277</v>
      </c>
      <c r="D22" s="223">
        <v>205488400</v>
      </c>
      <c r="E22" s="216">
        <f t="shared" si="0"/>
        <v>16971300.789549869</v>
      </c>
      <c r="F22" s="227"/>
      <c r="G22" s="214"/>
      <c r="H22" s="215"/>
      <c r="I22" s="214"/>
    </row>
    <row r="23" spans="1:9" s="6" customFormat="1" ht="17.25" customHeight="1">
      <c r="A23" s="17">
        <v>18</v>
      </c>
      <c r="B23" s="221" t="s">
        <v>223</v>
      </c>
      <c r="C23" s="222" t="s">
        <v>224</v>
      </c>
      <c r="D23" s="223">
        <v>61732000</v>
      </c>
      <c r="E23" s="216">
        <f t="shared" si="0"/>
        <v>5098450.0358195035</v>
      </c>
      <c r="F23" s="227"/>
      <c r="G23" s="214"/>
      <c r="H23" s="215"/>
      <c r="I23" s="214"/>
    </row>
    <row r="24" spans="1:9" s="6" customFormat="1" ht="17.25" customHeight="1">
      <c r="A24" s="17">
        <v>19</v>
      </c>
      <c r="B24" s="221" t="s">
        <v>225</v>
      </c>
      <c r="C24" s="222" t="s">
        <v>226</v>
      </c>
      <c r="D24" s="223">
        <v>59900000</v>
      </c>
      <c r="E24" s="216">
        <f t="shared" si="0"/>
        <v>4947145.032488632</v>
      </c>
      <c r="F24" s="227"/>
      <c r="G24" s="217"/>
      <c r="H24" s="214"/>
      <c r="I24" s="214"/>
    </row>
    <row r="25" spans="1:9" s="6" customFormat="1" ht="17.25" customHeight="1">
      <c r="A25" s="17">
        <v>20</v>
      </c>
      <c r="B25" s="221" t="s">
        <v>227</v>
      </c>
      <c r="C25" s="222" t="s">
        <v>228</v>
      </c>
      <c r="D25" s="223">
        <v>97678000</v>
      </c>
      <c r="E25" s="216">
        <f t="shared" si="0"/>
        <v>8067232.595716605</v>
      </c>
      <c r="F25" s="227"/>
      <c r="G25" s="217"/>
      <c r="H25" s="214"/>
      <c r="I25" s="214"/>
    </row>
    <row r="26" spans="1:9" s="6" customFormat="1" ht="17.25" customHeight="1">
      <c r="A26" s="17">
        <v>21</v>
      </c>
      <c r="B26" s="221" t="s">
        <v>301</v>
      </c>
      <c r="C26" s="222" t="s">
        <v>278</v>
      </c>
      <c r="D26" s="223">
        <v>17563644</v>
      </c>
      <c r="E26" s="216">
        <f t="shared" si="0"/>
        <v>1450582.5403505638</v>
      </c>
      <c r="F26" s="227"/>
      <c r="G26" s="217"/>
      <c r="H26" s="214"/>
      <c r="I26" s="214"/>
    </row>
    <row r="27" spans="1:9" s="6" customFormat="1" ht="17.25" customHeight="1">
      <c r="A27" s="17">
        <v>22</v>
      </c>
      <c r="B27" s="221" t="s">
        <v>302</v>
      </c>
      <c r="C27" s="222" t="s">
        <v>279</v>
      </c>
      <c r="D27" s="223">
        <v>627273</v>
      </c>
      <c r="E27" s="216">
        <f t="shared" si="0"/>
        <v>51806.519298234423</v>
      </c>
      <c r="F27" s="227"/>
      <c r="G27" s="217"/>
      <c r="H27" s="214"/>
      <c r="I27" s="214"/>
    </row>
    <row r="28" spans="1:9" s="6" customFormat="1" ht="17.25" customHeight="1">
      <c r="A28" s="17">
        <v>23</v>
      </c>
      <c r="B28" s="221" t="s">
        <v>229</v>
      </c>
      <c r="C28" s="222" t="s">
        <v>230</v>
      </c>
      <c r="D28" s="223">
        <v>121454544</v>
      </c>
      <c r="E28" s="216">
        <f t="shared" si="0"/>
        <v>10030938.965321736</v>
      </c>
      <c r="F28" s="227"/>
      <c r="G28" s="217"/>
      <c r="H28" s="214"/>
      <c r="I28" s="214"/>
    </row>
    <row r="29" spans="1:9" s="6" customFormat="1" ht="17.25" customHeight="1">
      <c r="A29" s="17">
        <v>24</v>
      </c>
      <c r="B29" s="221" t="s">
        <v>231</v>
      </c>
      <c r="C29" s="222" t="s">
        <v>232</v>
      </c>
      <c r="D29" s="223">
        <v>27465476</v>
      </c>
      <c r="E29" s="216">
        <f t="shared" si="0"/>
        <v>2268375.5118253049</v>
      </c>
      <c r="F29" s="227"/>
      <c r="G29" s="217"/>
      <c r="H29" s="214"/>
      <c r="I29" s="214"/>
    </row>
    <row r="30" spans="1:9" s="6" customFormat="1" ht="17.25" customHeight="1">
      <c r="A30" s="17">
        <v>25</v>
      </c>
      <c r="B30" s="221" t="s">
        <v>233</v>
      </c>
      <c r="C30" s="222" t="s">
        <v>234</v>
      </c>
      <c r="D30" s="223">
        <v>33549120</v>
      </c>
      <c r="E30" s="216">
        <f t="shared" si="0"/>
        <v>2770824.0793383145</v>
      </c>
      <c r="F30" s="227"/>
      <c r="G30" s="217"/>
      <c r="H30" s="214"/>
      <c r="I30" s="214"/>
    </row>
    <row r="31" spans="1:9" s="6" customFormat="1" ht="17.25" customHeight="1">
      <c r="A31" s="17">
        <v>26</v>
      </c>
      <c r="B31" s="221" t="s">
        <v>235</v>
      </c>
      <c r="C31" s="222" t="s">
        <v>236</v>
      </c>
      <c r="D31" s="223">
        <v>51680000</v>
      </c>
      <c r="E31" s="216">
        <f t="shared" si="0"/>
        <v>4268254.6791154006</v>
      </c>
      <c r="F31" s="227"/>
      <c r="G31" s="217"/>
      <c r="H31" s="214"/>
      <c r="I31" s="214"/>
    </row>
    <row r="32" spans="1:9" s="6" customFormat="1" ht="17.25" customHeight="1">
      <c r="A32" s="17">
        <v>27</v>
      </c>
      <c r="B32" s="221" t="s">
        <v>237</v>
      </c>
      <c r="C32" s="222" t="s">
        <v>238</v>
      </c>
      <c r="D32" s="223">
        <v>28861824</v>
      </c>
      <c r="E32" s="216">
        <f t="shared" si="0"/>
        <v>2383699.9871479329</v>
      </c>
      <c r="F32" s="227"/>
      <c r="G32" s="217"/>
      <c r="H32" s="214"/>
      <c r="I32" s="214"/>
    </row>
    <row r="33" spans="1:9" s="6" customFormat="1" ht="17.25" customHeight="1">
      <c r="A33" s="17">
        <v>28</v>
      </c>
      <c r="B33" s="221" t="s">
        <v>239</v>
      </c>
      <c r="C33" s="222" t="s">
        <v>240</v>
      </c>
      <c r="D33" s="223">
        <v>94058210</v>
      </c>
      <c r="E33" s="216">
        <f t="shared" si="0"/>
        <v>7768273.8959310958</v>
      </c>
      <c r="F33" s="227"/>
      <c r="G33" s="217"/>
      <c r="H33" s="214"/>
      <c r="I33" s="214"/>
    </row>
    <row r="34" spans="1:9" s="6" customFormat="1" ht="17.25" customHeight="1">
      <c r="A34" s="17">
        <v>29</v>
      </c>
      <c r="B34" s="221" t="s">
        <v>241</v>
      </c>
      <c r="C34" s="222" t="s">
        <v>242</v>
      </c>
      <c r="D34" s="223">
        <v>59476400</v>
      </c>
      <c r="E34" s="216">
        <f t="shared" si="0"/>
        <v>4912159.8799717342</v>
      </c>
      <c r="F34" s="227"/>
      <c r="G34" s="217"/>
      <c r="H34" s="214"/>
      <c r="I34" s="214"/>
    </row>
    <row r="35" spans="1:9" s="6" customFormat="1" ht="17.25" customHeight="1">
      <c r="A35" s="17">
        <v>30</v>
      </c>
      <c r="B35" s="221" t="s">
        <v>303</v>
      </c>
      <c r="C35" s="222" t="s">
        <v>280</v>
      </c>
      <c r="D35" s="223">
        <v>29985480</v>
      </c>
      <c r="E35" s="216">
        <f t="shared" si="0"/>
        <v>2476502.811832842</v>
      </c>
      <c r="F35" s="227"/>
      <c r="G35" s="217"/>
      <c r="H35" s="214"/>
      <c r="I35" s="214"/>
    </row>
    <row r="36" spans="1:9" s="6" customFormat="1" ht="17.25" customHeight="1">
      <c r="A36" s="17">
        <v>31</v>
      </c>
      <c r="B36" s="221" t="s">
        <v>243</v>
      </c>
      <c r="C36" s="222" t="s">
        <v>244</v>
      </c>
      <c r="D36" s="223">
        <v>155345520</v>
      </c>
      <c r="E36" s="216">
        <f t="shared" si="0"/>
        <v>12829996.954713915</v>
      </c>
      <c r="F36" s="227"/>
      <c r="G36" s="217"/>
      <c r="H36" s="214"/>
      <c r="I36" s="214"/>
    </row>
    <row r="37" spans="1:9" s="6" customFormat="1" ht="17.25" customHeight="1">
      <c r="A37" s="17">
        <v>32</v>
      </c>
      <c r="B37" s="221" t="s">
        <v>304</v>
      </c>
      <c r="C37" s="222" t="s">
        <v>281</v>
      </c>
      <c r="D37" s="223">
        <v>44949099</v>
      </c>
      <c r="E37" s="216">
        <f t="shared" si="0"/>
        <v>3712349.1123988274</v>
      </c>
      <c r="F37" s="227"/>
      <c r="G37" s="217"/>
      <c r="H37" s="214"/>
      <c r="I37" s="214"/>
    </row>
    <row r="38" spans="1:9" s="6" customFormat="1" ht="17.25" customHeight="1">
      <c r="A38" s="17">
        <v>33</v>
      </c>
      <c r="B38" s="221" t="s">
        <v>245</v>
      </c>
      <c r="C38" s="222" t="s">
        <v>246</v>
      </c>
      <c r="D38" s="223">
        <v>23089094</v>
      </c>
      <c r="E38" s="216">
        <f>D38*$E$5+179746</f>
        <v>2086675.8278257612</v>
      </c>
      <c r="F38" s="227"/>
      <c r="G38" s="217"/>
      <c r="H38" s="214"/>
      <c r="I38" s="214"/>
    </row>
    <row r="39" spans="1:9" s="6" customFormat="1" ht="17.25" customHeight="1">
      <c r="A39" s="17">
        <v>34</v>
      </c>
      <c r="B39" s="221" t="s">
        <v>247</v>
      </c>
      <c r="C39" s="222" t="s">
        <v>248</v>
      </c>
      <c r="D39" s="223">
        <v>2176364</v>
      </c>
      <c r="E39" s="216"/>
      <c r="F39" s="227"/>
      <c r="G39" s="217"/>
      <c r="H39" s="214"/>
      <c r="I39" s="214"/>
    </row>
    <row r="40" spans="1:9" s="6" customFormat="1" ht="17.25" customHeight="1">
      <c r="A40" s="17">
        <v>35</v>
      </c>
      <c r="B40" s="221" t="s">
        <v>305</v>
      </c>
      <c r="C40" s="222" t="s">
        <v>282</v>
      </c>
      <c r="D40" s="223">
        <v>2176364</v>
      </c>
      <c r="E40" s="216">
        <f t="shared" si="0"/>
        <v>179746.04927357411</v>
      </c>
      <c r="F40" s="227"/>
      <c r="G40" s="217"/>
      <c r="H40" s="214"/>
      <c r="I40" s="214"/>
    </row>
    <row r="41" spans="1:9" s="6" customFormat="1" ht="17.25" customHeight="1">
      <c r="A41" s="17">
        <v>36</v>
      </c>
      <c r="B41" s="221" t="s">
        <v>249</v>
      </c>
      <c r="C41" s="222" t="s">
        <v>250</v>
      </c>
      <c r="D41" s="223">
        <v>5894544</v>
      </c>
      <c r="E41" s="216">
        <f t="shared" si="0"/>
        <v>486830.78578273242</v>
      </c>
      <c r="F41" s="227"/>
      <c r="G41" s="217"/>
      <c r="H41" s="214"/>
      <c r="I41" s="214"/>
    </row>
    <row r="42" spans="1:9" s="6" customFormat="1" ht="17.25" customHeight="1">
      <c r="A42" s="17">
        <v>37</v>
      </c>
      <c r="B42" s="221" t="s">
        <v>306</v>
      </c>
      <c r="C42" s="222" t="s">
        <v>283</v>
      </c>
      <c r="D42" s="223">
        <v>75554588</v>
      </c>
      <c r="E42" s="216">
        <f t="shared" si="0"/>
        <v>6240058.5092808884</v>
      </c>
      <c r="F42" s="227"/>
      <c r="G42" s="217"/>
      <c r="H42" s="214"/>
      <c r="I42" s="214"/>
    </row>
    <row r="43" spans="1:9" s="6" customFormat="1" ht="17.25" customHeight="1">
      <c r="A43" s="17">
        <v>38</v>
      </c>
      <c r="B43" s="221" t="s">
        <v>251</v>
      </c>
      <c r="C43" s="222" t="s">
        <v>252</v>
      </c>
      <c r="D43" s="223">
        <v>181145544</v>
      </c>
      <c r="E43" s="216">
        <f t="shared" si="0"/>
        <v>14960822.673740417</v>
      </c>
      <c r="F43" s="227"/>
      <c r="G43" s="217"/>
      <c r="H43" s="214"/>
      <c r="I43" s="214"/>
    </row>
    <row r="44" spans="1:9" s="6" customFormat="1" ht="17.25" customHeight="1">
      <c r="A44" s="17">
        <v>39</v>
      </c>
      <c r="B44" s="221" t="s">
        <v>307</v>
      </c>
      <c r="C44" s="222" t="s">
        <v>284</v>
      </c>
      <c r="D44" s="223">
        <v>2690912</v>
      </c>
      <c r="E44" s="216">
        <f t="shared" si="0"/>
        <v>222242.60323312273</v>
      </c>
      <c r="F44" s="227"/>
      <c r="G44" s="217"/>
      <c r="H44" s="214"/>
      <c r="I44" s="214"/>
    </row>
    <row r="45" spans="1:9" s="6" customFormat="1" ht="17.25" customHeight="1">
      <c r="A45" s="17">
        <v>40</v>
      </c>
      <c r="B45" s="221" t="s">
        <v>253</v>
      </c>
      <c r="C45" s="222" t="s">
        <v>254</v>
      </c>
      <c r="D45" s="223">
        <v>27736364</v>
      </c>
      <c r="E45" s="216">
        <f t="shared" si="0"/>
        <v>2290748.1699815784</v>
      </c>
      <c r="F45" s="227"/>
      <c r="G45" s="217"/>
      <c r="H45" s="214"/>
      <c r="I45" s="214"/>
    </row>
    <row r="46" spans="1:9" s="6" customFormat="1" ht="17.25" customHeight="1">
      <c r="A46" s="17">
        <v>41</v>
      </c>
      <c r="B46" s="221" t="s">
        <v>308</v>
      </c>
      <c r="C46" s="222" t="s">
        <v>285</v>
      </c>
      <c r="D46" s="223">
        <v>8487264</v>
      </c>
      <c r="E46" s="216">
        <f t="shared" si="0"/>
        <v>700963.70512553595</v>
      </c>
      <c r="F46" s="227"/>
      <c r="G46" s="217"/>
      <c r="H46" s="214"/>
      <c r="I46" s="214"/>
    </row>
    <row r="47" spans="1:9" s="6" customFormat="1" ht="17.25" customHeight="1">
      <c r="A47" s="17">
        <v>42</v>
      </c>
      <c r="B47" s="221" t="s">
        <v>309</v>
      </c>
      <c r="C47" s="222" t="s">
        <v>286</v>
      </c>
      <c r="D47" s="223">
        <v>9901808</v>
      </c>
      <c r="E47" s="216">
        <f t="shared" si="0"/>
        <v>817790.98931312526</v>
      </c>
      <c r="F47" s="227"/>
      <c r="G47" s="217"/>
      <c r="H47" s="214"/>
      <c r="I47" s="214"/>
    </row>
    <row r="48" spans="1:9" s="6" customFormat="1" ht="17.25" customHeight="1">
      <c r="A48" s="17">
        <v>43</v>
      </c>
      <c r="B48" s="221" t="s">
        <v>310</v>
      </c>
      <c r="C48" s="222" t="s">
        <v>287</v>
      </c>
      <c r="D48" s="223">
        <v>2577274</v>
      </c>
      <c r="E48" s="216">
        <f t="shared" si="0"/>
        <v>212857.23316297343</v>
      </c>
      <c r="F48" s="227"/>
      <c r="G48" s="217"/>
      <c r="H48" s="214"/>
      <c r="I48" s="214"/>
    </row>
    <row r="49" spans="1:9" s="6" customFormat="1" ht="17.25" customHeight="1">
      <c r="A49" s="17">
        <v>44</v>
      </c>
      <c r="B49" s="221" t="s">
        <v>255</v>
      </c>
      <c r="C49" s="222" t="s">
        <v>256</v>
      </c>
      <c r="D49" s="223">
        <v>8487264</v>
      </c>
      <c r="E49" s="216">
        <f t="shared" si="0"/>
        <v>700963.70512553595</v>
      </c>
      <c r="F49" s="227"/>
      <c r="G49" s="217"/>
      <c r="H49" s="214"/>
      <c r="I49" s="214"/>
    </row>
    <row r="50" spans="1:9" s="6" customFormat="1" ht="17.25" customHeight="1">
      <c r="A50" s="17">
        <v>45</v>
      </c>
      <c r="B50" s="221" t="s">
        <v>311</v>
      </c>
      <c r="C50" s="222" t="s">
        <v>288</v>
      </c>
      <c r="D50" s="223">
        <v>2945456</v>
      </c>
      <c r="E50" s="216">
        <f t="shared" si="0"/>
        <v>243265.40932911247</v>
      </c>
      <c r="F50" s="227"/>
      <c r="G50" s="217"/>
      <c r="H50" s="214"/>
      <c r="I50" s="214"/>
    </row>
    <row r="51" spans="1:9" s="6" customFormat="1" ht="17.25" customHeight="1">
      <c r="A51" s="17">
        <v>46</v>
      </c>
      <c r="B51" s="221" t="s">
        <v>312</v>
      </c>
      <c r="C51" s="222" t="s">
        <v>289</v>
      </c>
      <c r="D51" s="223">
        <v>2141820</v>
      </c>
      <c r="E51" s="216">
        <f t="shared" si="0"/>
        <v>176893.05798806014</v>
      </c>
      <c r="F51" s="227"/>
      <c r="G51" s="217"/>
      <c r="H51" s="214"/>
      <c r="I51" s="214"/>
    </row>
    <row r="52" spans="1:9" s="6" customFormat="1" ht="17.25" customHeight="1">
      <c r="A52" s="17">
        <v>47</v>
      </c>
      <c r="B52" s="221" t="s">
        <v>313</v>
      </c>
      <c r="C52" s="222" t="s">
        <v>290</v>
      </c>
      <c r="D52" s="223">
        <v>1824546</v>
      </c>
      <c r="E52" s="216">
        <f t="shared" si="0"/>
        <v>150689.37696906517</v>
      </c>
      <c r="F52" s="227"/>
      <c r="G52" s="217"/>
      <c r="H52" s="214"/>
      <c r="I52" s="214"/>
    </row>
    <row r="53" spans="1:9" s="6" customFormat="1" ht="17.25" customHeight="1">
      <c r="A53" s="17">
        <v>48</v>
      </c>
      <c r="B53" s="221" t="s">
        <v>314</v>
      </c>
      <c r="C53" s="222" t="s">
        <v>291</v>
      </c>
      <c r="D53" s="223">
        <v>4836360</v>
      </c>
      <c r="E53" s="229"/>
      <c r="F53" s="227"/>
      <c r="G53" s="217"/>
      <c r="H53" s="214"/>
      <c r="I53" s="214"/>
    </row>
    <row r="54" spans="1:9" s="6" customFormat="1" ht="17.25" customHeight="1">
      <c r="A54" s="17">
        <v>49</v>
      </c>
      <c r="B54" s="221" t="s">
        <v>257</v>
      </c>
      <c r="C54" s="222" t="s">
        <v>258</v>
      </c>
      <c r="D54" s="223">
        <v>40829096</v>
      </c>
      <c r="E54" s="216">
        <f t="shared" si="0"/>
        <v>3372077.7872688062</v>
      </c>
      <c r="F54" s="227"/>
      <c r="G54" s="217"/>
      <c r="H54" s="214"/>
      <c r="I54" s="214"/>
    </row>
    <row r="55" spans="1:9" s="6" customFormat="1" ht="17.25" customHeight="1">
      <c r="A55" s="17">
        <v>50</v>
      </c>
      <c r="B55" s="221" t="s">
        <v>259</v>
      </c>
      <c r="C55" s="222" t="s">
        <v>260</v>
      </c>
      <c r="D55" s="223">
        <v>13672736</v>
      </c>
      <c r="E55" s="216">
        <f t="shared" si="0"/>
        <v>1129232.186693297</v>
      </c>
      <c r="F55" s="227"/>
      <c r="G55" s="217"/>
      <c r="H55" s="214"/>
      <c r="I55" s="214"/>
    </row>
    <row r="56" spans="1:9" s="6" customFormat="1" ht="17.25" customHeight="1">
      <c r="A56" s="17">
        <v>51</v>
      </c>
      <c r="B56" s="221" t="s">
        <v>261</v>
      </c>
      <c r="C56" s="222" t="s">
        <v>262</v>
      </c>
      <c r="D56" s="223">
        <v>35923656</v>
      </c>
      <c r="E56" s="216">
        <f>D56*$E$5+399435</f>
        <v>3366372.1674328959</v>
      </c>
      <c r="F56" s="227"/>
      <c r="G56" s="217"/>
      <c r="H56" s="214"/>
      <c r="I56" s="214"/>
    </row>
    <row r="57" spans="1:9" s="6" customFormat="1" ht="17.25" customHeight="1">
      <c r="A57" s="17">
        <v>52</v>
      </c>
      <c r="B57" s="221" t="s">
        <v>263</v>
      </c>
      <c r="C57" s="222" t="s">
        <v>264</v>
      </c>
      <c r="D57" s="223">
        <v>257260000</v>
      </c>
      <c r="E57" s="216">
        <f t="shared" si="0"/>
        <v>21247120.718831811</v>
      </c>
      <c r="F57" s="227"/>
      <c r="G57" s="217"/>
      <c r="H57" s="214"/>
      <c r="I57" s="214"/>
    </row>
    <row r="58" spans="1:9" s="6" customFormat="1" ht="17.25" customHeight="1">
      <c r="A58" s="17">
        <v>53</v>
      </c>
      <c r="B58" s="221" t="s">
        <v>265</v>
      </c>
      <c r="C58" s="222" t="s">
        <v>266</v>
      </c>
      <c r="D58" s="223">
        <v>44840000</v>
      </c>
      <c r="E58" s="216">
        <f t="shared" si="0"/>
        <v>3703338.618644245</v>
      </c>
      <c r="F58" s="227"/>
      <c r="G58" s="214"/>
      <c r="H58" s="214"/>
      <c r="I58" s="214"/>
    </row>
    <row r="59" spans="1:9" s="6" customFormat="1" ht="17.25" customHeight="1">
      <c r="A59" s="17">
        <v>54</v>
      </c>
      <c r="B59" s="221" t="s">
        <v>267</v>
      </c>
      <c r="C59" s="222" t="s">
        <v>268</v>
      </c>
      <c r="D59" s="223">
        <v>5000000</v>
      </c>
      <c r="E59" s="216">
        <f t="shared" si="0"/>
        <v>412950.33660172223</v>
      </c>
      <c r="F59" s="227"/>
      <c r="G59" s="217"/>
      <c r="H59" s="214"/>
      <c r="I59" s="214"/>
    </row>
    <row r="60" spans="1:9" ht="18" customHeight="1">
      <c r="A60" s="17">
        <v>55</v>
      </c>
      <c r="B60" s="221" t="s">
        <v>315</v>
      </c>
      <c r="C60" s="222" t="s">
        <v>292</v>
      </c>
      <c r="D60" s="223">
        <v>53018208</v>
      </c>
      <c r="E60" s="216">
        <f t="shared" si="0"/>
        <v>4378777.3679240244</v>
      </c>
      <c r="F60" s="227"/>
      <c r="G60" s="184"/>
      <c r="H60" s="21"/>
    </row>
    <row r="61" spans="1:9" ht="18" customHeight="1">
      <c r="A61" s="17">
        <v>57</v>
      </c>
      <c r="B61" s="218"/>
      <c r="C61" s="218"/>
      <c r="D61" s="224"/>
      <c r="E61" s="219">
        <f>D61*0.0781732</f>
        <v>0</v>
      </c>
      <c r="F61" s="227"/>
      <c r="G61" s="220"/>
    </row>
    <row r="62" spans="1:9" ht="16.5" customHeight="1">
      <c r="F62" s="227"/>
      <c r="G62" s="220"/>
    </row>
    <row r="63" spans="1:9" ht="14.25">
      <c r="F63" s="227"/>
    </row>
    <row r="64" spans="1:9" ht="15">
      <c r="E64" s="225"/>
      <c r="F64" s="227"/>
    </row>
    <row r="65" spans="5:6" ht="18">
      <c r="E65" s="204"/>
      <c r="F65" s="227"/>
    </row>
    <row r="66" spans="5:6" ht="14.25">
      <c r="F66" s="227"/>
    </row>
    <row r="67" spans="5:6" ht="14.25">
      <c r="F67" s="227"/>
    </row>
    <row r="68" spans="5:6" ht="14.25">
      <c r="F68" s="227"/>
    </row>
    <row r="69" spans="5:6" ht="14.25">
      <c r="F69" s="227"/>
    </row>
    <row r="70" spans="5:6" ht="14.25">
      <c r="F70" s="227"/>
    </row>
    <row r="71" spans="5:6" ht="14.25">
      <c r="F71" s="227"/>
    </row>
    <row r="72" spans="5:6" ht="14.25">
      <c r="F72" s="227"/>
    </row>
    <row r="73" spans="5:6" ht="14.25">
      <c r="F73" s="227"/>
    </row>
    <row r="74" spans="5:6" ht="14.25">
      <c r="F74" s="227"/>
    </row>
    <row r="75" spans="5:6" ht="14.25">
      <c r="F75" s="227"/>
    </row>
    <row r="76" spans="5:6" ht="14.25">
      <c r="F76" s="227"/>
    </row>
    <row r="77" spans="5:6" ht="14.25">
      <c r="F77" s="227"/>
    </row>
    <row r="78" spans="5:6" ht="14.25">
      <c r="F78" s="227"/>
    </row>
    <row r="79" spans="5:6" ht="14.25">
      <c r="F79" s="227"/>
    </row>
    <row r="80" spans="5:6" ht="14.25">
      <c r="F80" s="227"/>
    </row>
    <row r="81" spans="6:6" ht="14.25">
      <c r="F81" s="227"/>
    </row>
    <row r="82" spans="6:6" ht="14.25">
      <c r="F82" s="227"/>
    </row>
    <row r="83" spans="6:6" ht="14.25">
      <c r="F83" s="227"/>
    </row>
    <row r="84" spans="6:6" ht="14.25">
      <c r="F84" s="227"/>
    </row>
    <row r="85" spans="6:6" ht="14.25">
      <c r="F85" s="227"/>
    </row>
    <row r="86" spans="6:6" ht="14.25">
      <c r="F86" s="227"/>
    </row>
    <row r="87" spans="6:6" ht="14.25">
      <c r="F87" s="227"/>
    </row>
    <row r="88" spans="6:6" ht="14.25">
      <c r="F88" s="227"/>
    </row>
    <row r="89" spans="6:6" ht="14.25">
      <c r="F89" s="227"/>
    </row>
    <row r="90" spans="6:6" ht="14.25">
      <c r="F90" s="228"/>
    </row>
  </sheetData>
  <mergeCells count="1">
    <mergeCell ref="A1:E1"/>
  </mergeCells>
  <phoneticPr fontId="18" type="noConversion"/>
  <pageMargins left="0.79" right="0.25" top="0.63" bottom="0.62" header="0.4" footer="0.27"/>
  <pageSetup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F14" sqref="F14"/>
    </sheetView>
  </sheetViews>
  <sheetFormatPr defaultRowHeight="12.75"/>
  <cols>
    <col min="1" max="1" width="37.5703125" style="2" customWidth="1"/>
    <col min="2" max="2" width="5.5703125" style="205" customWidth="1"/>
    <col min="3" max="3" width="6.5703125" style="546" customWidth="1"/>
    <col min="4" max="4" width="12.85546875" style="2" customWidth="1"/>
    <col min="5" max="5" width="13.28515625" style="2" customWidth="1"/>
    <col min="6" max="6" width="13.85546875" style="2" customWidth="1"/>
    <col min="7" max="7" width="13.28515625" style="2" customWidth="1"/>
    <col min="8" max="16384" width="9.140625" style="2"/>
  </cols>
  <sheetData>
    <row r="1" spans="1:7" ht="17.25">
      <c r="A1" s="52" t="s">
        <v>321</v>
      </c>
      <c r="B1" s="33"/>
      <c r="C1" s="514"/>
      <c r="D1" s="36"/>
      <c r="E1" s="36"/>
      <c r="F1" s="36"/>
    </row>
    <row r="2" spans="1:7" ht="16.5">
      <c r="A2" s="244" t="s">
        <v>322</v>
      </c>
      <c r="B2" s="245"/>
      <c r="C2" s="550"/>
      <c r="D2" s="246"/>
      <c r="E2" s="246"/>
      <c r="F2" s="246"/>
    </row>
    <row r="4" spans="1:7" ht="21.75">
      <c r="A4" s="603" t="s">
        <v>323</v>
      </c>
      <c r="B4" s="604"/>
      <c r="C4" s="604"/>
      <c r="D4" s="604"/>
      <c r="E4" s="604"/>
      <c r="F4" s="604"/>
      <c r="G4" s="604"/>
    </row>
    <row r="5" spans="1:7" ht="20.25">
      <c r="A5" s="605" t="s">
        <v>537</v>
      </c>
      <c r="B5" s="606"/>
      <c r="C5" s="606"/>
      <c r="D5" s="606"/>
      <c r="E5" s="606"/>
      <c r="F5" s="606"/>
      <c r="G5" s="606"/>
    </row>
    <row r="6" spans="1:7" ht="20.25">
      <c r="A6" s="247"/>
      <c r="B6" s="247"/>
      <c r="C6" s="549"/>
      <c r="D6" s="247"/>
      <c r="E6" s="247"/>
      <c r="F6" s="496"/>
      <c r="G6" s="247"/>
    </row>
    <row r="7" spans="1:7" s="6" customFormat="1" ht="16.5" customHeight="1">
      <c r="A7" s="615" t="s">
        <v>4</v>
      </c>
      <c r="B7" s="615" t="s">
        <v>5</v>
      </c>
      <c r="C7" s="618" t="s">
        <v>327</v>
      </c>
      <c r="D7" s="611" t="s">
        <v>324</v>
      </c>
      <c r="E7" s="612"/>
      <c r="F7" s="610" t="s">
        <v>325</v>
      </c>
      <c r="G7" s="610"/>
    </row>
    <row r="8" spans="1:7" s="6" customFormat="1" ht="16.5" customHeight="1">
      <c r="A8" s="616"/>
      <c r="B8" s="616"/>
      <c r="C8" s="619"/>
      <c r="D8" s="613"/>
      <c r="E8" s="614"/>
      <c r="F8" s="609" t="s">
        <v>326</v>
      </c>
      <c r="G8" s="609"/>
    </row>
    <row r="9" spans="1:7" s="248" customFormat="1" ht="18" customHeight="1">
      <c r="A9" s="617"/>
      <c r="B9" s="617"/>
      <c r="C9" s="620"/>
      <c r="D9" s="455" t="s">
        <v>538</v>
      </c>
      <c r="E9" s="455" t="s">
        <v>328</v>
      </c>
      <c r="F9" s="455" t="s">
        <v>538</v>
      </c>
      <c r="G9" s="455" t="s">
        <v>328</v>
      </c>
    </row>
    <row r="10" spans="1:7" ht="19.5" customHeight="1">
      <c r="A10" s="249" t="s">
        <v>329</v>
      </c>
      <c r="B10" s="250">
        <v>1</v>
      </c>
      <c r="C10" s="551" t="s">
        <v>843</v>
      </c>
      <c r="D10" s="474">
        <v>9556152822</v>
      </c>
      <c r="E10" s="474">
        <v>10227794187</v>
      </c>
      <c r="F10" s="476">
        <v>22314889752</v>
      </c>
      <c r="G10" s="474">
        <v>17288367446</v>
      </c>
    </row>
    <row r="11" spans="1:7" ht="19.5" customHeight="1">
      <c r="A11" s="251" t="s">
        <v>330</v>
      </c>
      <c r="B11" s="252">
        <v>2</v>
      </c>
      <c r="C11" s="552" t="s">
        <v>844</v>
      </c>
      <c r="D11" s="495">
        <v>7854546</v>
      </c>
      <c r="E11" s="475">
        <v>27927273</v>
      </c>
      <c r="F11" s="475">
        <v>7854546</v>
      </c>
      <c r="G11" s="475">
        <v>104470916</v>
      </c>
    </row>
    <row r="12" spans="1:7" ht="19.5" customHeight="1">
      <c r="A12" s="251" t="s">
        <v>331</v>
      </c>
      <c r="B12" s="252">
        <v>10</v>
      </c>
      <c r="C12" s="552" t="s">
        <v>845</v>
      </c>
      <c r="D12" s="497">
        <f>D10-D11</f>
        <v>9548298276</v>
      </c>
      <c r="E12" s="498">
        <f>E10-E11</f>
        <v>10199866914</v>
      </c>
      <c r="F12" s="596">
        <f>F10-F11</f>
        <v>22307035206</v>
      </c>
      <c r="G12" s="498">
        <f>G10-G11</f>
        <v>17183896530</v>
      </c>
    </row>
    <row r="13" spans="1:7" ht="19.5" customHeight="1">
      <c r="A13" s="251" t="s">
        <v>332</v>
      </c>
      <c r="B13" s="252">
        <v>11</v>
      </c>
      <c r="C13" s="552" t="s">
        <v>846</v>
      </c>
      <c r="D13" s="478">
        <v>7543780445</v>
      </c>
      <c r="E13" s="475">
        <v>8052589907</v>
      </c>
      <c r="F13" s="479">
        <v>17510605560</v>
      </c>
      <c r="G13" s="475">
        <v>12811219563</v>
      </c>
    </row>
    <row r="14" spans="1:7" ht="19.5" customHeight="1">
      <c r="A14" s="251" t="s">
        <v>333</v>
      </c>
      <c r="B14" s="252">
        <v>20</v>
      </c>
      <c r="C14" s="552"/>
      <c r="D14" s="480">
        <f>D12-D13</f>
        <v>2004517831</v>
      </c>
      <c r="E14" s="480">
        <f>E12-E13</f>
        <v>2147277007</v>
      </c>
      <c r="F14" s="480">
        <f>F12-F13</f>
        <v>4796429646</v>
      </c>
      <c r="G14" s="480">
        <f>G12-G13</f>
        <v>4372676967</v>
      </c>
    </row>
    <row r="15" spans="1:7" ht="19.5" customHeight="1">
      <c r="A15" s="251" t="s">
        <v>334</v>
      </c>
      <c r="B15" s="252">
        <v>21</v>
      </c>
      <c r="C15" s="552" t="s">
        <v>847</v>
      </c>
      <c r="D15" s="481">
        <v>17609375</v>
      </c>
      <c r="E15" s="475">
        <v>99433385</v>
      </c>
      <c r="F15" s="482">
        <v>117793714</v>
      </c>
      <c r="G15" s="475">
        <v>360657240</v>
      </c>
    </row>
    <row r="16" spans="1:7" ht="19.5" customHeight="1">
      <c r="A16" s="251" t="s">
        <v>335</v>
      </c>
      <c r="B16" s="252">
        <v>22</v>
      </c>
      <c r="C16" s="552" t="s">
        <v>848</v>
      </c>
      <c r="D16" s="483">
        <v>174805260</v>
      </c>
      <c r="E16" s="475">
        <v>69490172</v>
      </c>
      <c r="F16" s="484">
        <v>198672339</v>
      </c>
      <c r="G16" s="475">
        <v>-299710575</v>
      </c>
    </row>
    <row r="17" spans="1:7" ht="19.5" customHeight="1">
      <c r="A17" s="251" t="s">
        <v>336</v>
      </c>
      <c r="B17" s="252">
        <v>23</v>
      </c>
      <c r="C17" s="552"/>
      <c r="D17" s="485">
        <v>69991200</v>
      </c>
      <c r="E17" s="475"/>
      <c r="F17" s="486">
        <v>86710168</v>
      </c>
      <c r="G17" s="475"/>
    </row>
    <row r="18" spans="1:7" ht="19.5" customHeight="1">
      <c r="A18" s="251" t="s">
        <v>337</v>
      </c>
      <c r="B18" s="252">
        <v>24</v>
      </c>
      <c r="C18" s="552"/>
      <c r="D18" s="477"/>
      <c r="E18" s="475"/>
      <c r="F18" s="475"/>
      <c r="G18" s="475"/>
    </row>
    <row r="19" spans="1:7" ht="19.5" customHeight="1">
      <c r="A19" s="251" t="s">
        <v>338</v>
      </c>
      <c r="B19" s="253" t="s">
        <v>339</v>
      </c>
      <c r="C19" s="552"/>
      <c r="D19" s="477"/>
      <c r="E19" s="475"/>
      <c r="F19" s="475"/>
      <c r="G19" s="475"/>
    </row>
    <row r="20" spans="1:7" ht="19.5" customHeight="1">
      <c r="A20" s="251" t="s">
        <v>340</v>
      </c>
      <c r="B20" s="253" t="s">
        <v>341</v>
      </c>
      <c r="C20" s="552"/>
      <c r="D20" s="477"/>
      <c r="E20" s="475"/>
      <c r="F20" s="475"/>
      <c r="G20" s="475"/>
    </row>
    <row r="21" spans="1:7" ht="19.5" customHeight="1">
      <c r="A21" s="251" t="s">
        <v>342</v>
      </c>
      <c r="B21" s="252">
        <v>25</v>
      </c>
      <c r="C21" s="552" t="s">
        <v>852</v>
      </c>
      <c r="D21" s="487">
        <v>829968588</v>
      </c>
      <c r="E21" s="475">
        <v>781065058</v>
      </c>
      <c r="F21" s="488">
        <v>2242209213</v>
      </c>
      <c r="G21" s="475">
        <v>2461658525</v>
      </c>
    </row>
    <row r="22" spans="1:7" ht="19.5" customHeight="1">
      <c r="A22" s="251" t="s">
        <v>343</v>
      </c>
      <c r="B22" s="252">
        <v>30</v>
      </c>
      <c r="C22" s="552"/>
      <c r="D22" s="480">
        <f>D14+D15-D16-D21</f>
        <v>1017353358</v>
      </c>
      <c r="E22" s="480">
        <f>E14+E15-E16-E21</f>
        <v>1396155162</v>
      </c>
      <c r="F22" s="480">
        <f>F14+F15-F16-F21</f>
        <v>2473341808</v>
      </c>
      <c r="G22" s="480">
        <f>G14+G15-G16-G21</f>
        <v>2571386257</v>
      </c>
    </row>
    <row r="23" spans="1:7" ht="19.5" customHeight="1">
      <c r="A23" s="251" t="s">
        <v>344</v>
      </c>
      <c r="B23" s="252">
        <v>31</v>
      </c>
      <c r="C23" s="552" t="s">
        <v>853</v>
      </c>
      <c r="D23" s="489">
        <v>55852</v>
      </c>
      <c r="E23" s="475">
        <v>74916900</v>
      </c>
      <c r="F23" s="490">
        <v>386637941</v>
      </c>
      <c r="G23" s="475">
        <v>192560902</v>
      </c>
    </row>
    <row r="24" spans="1:7" ht="19.5" customHeight="1">
      <c r="A24" s="251" t="s">
        <v>345</v>
      </c>
      <c r="B24" s="252">
        <v>32</v>
      </c>
      <c r="C24" s="552" t="s">
        <v>854</v>
      </c>
      <c r="D24" s="491">
        <v>572125</v>
      </c>
      <c r="E24" s="475">
        <v>4400000</v>
      </c>
      <c r="F24" s="492">
        <v>200882147</v>
      </c>
      <c r="G24" s="475">
        <v>20749841</v>
      </c>
    </row>
    <row r="25" spans="1:7" ht="19.5" customHeight="1">
      <c r="A25" s="251" t="s">
        <v>346</v>
      </c>
      <c r="B25" s="252">
        <v>40</v>
      </c>
      <c r="C25" s="552"/>
      <c r="D25" s="475">
        <f>D23-D24</f>
        <v>-516273</v>
      </c>
      <c r="E25" s="480">
        <f>E23-E24</f>
        <v>70516900</v>
      </c>
      <c r="F25" s="480">
        <f>F23-F24</f>
        <v>185755794</v>
      </c>
      <c r="G25" s="480">
        <f>G23-G24</f>
        <v>171811061</v>
      </c>
    </row>
    <row r="26" spans="1:7" ht="19.5" customHeight="1">
      <c r="A26" s="251" t="s">
        <v>347</v>
      </c>
      <c r="B26" s="252">
        <v>50</v>
      </c>
      <c r="D26" s="480">
        <f>D22+D25</f>
        <v>1016837085</v>
      </c>
      <c r="E26" s="480">
        <f>E22+E25</f>
        <v>1466672062</v>
      </c>
      <c r="F26" s="480">
        <f>F22+F25</f>
        <v>2659097602</v>
      </c>
      <c r="G26" s="480">
        <f>G22+G25</f>
        <v>2743197318</v>
      </c>
    </row>
    <row r="27" spans="1:7" ht="19.5" customHeight="1">
      <c r="A27" s="251" t="s">
        <v>348</v>
      </c>
      <c r="B27" s="252">
        <v>51</v>
      </c>
      <c r="C27" s="552" t="s">
        <v>855</v>
      </c>
      <c r="D27" s="493">
        <f>D26*22%</f>
        <v>223704158.69999999</v>
      </c>
      <c r="E27" s="475">
        <v>322667853</v>
      </c>
      <c r="F27" s="494">
        <v>585001473</v>
      </c>
      <c r="G27" s="475">
        <v>572673785</v>
      </c>
    </row>
    <row r="28" spans="1:7" ht="19.5" customHeight="1">
      <c r="A28" s="251" t="s">
        <v>349</v>
      </c>
      <c r="B28" s="252">
        <v>52</v>
      </c>
      <c r="C28" s="552"/>
      <c r="D28" s="477"/>
      <c r="E28" s="475"/>
      <c r="F28" s="475"/>
      <c r="G28" s="475"/>
    </row>
    <row r="29" spans="1:7" ht="19.5" customHeight="1">
      <c r="A29" s="251" t="s">
        <v>350</v>
      </c>
      <c r="B29" s="252">
        <v>60</v>
      </c>
      <c r="C29" s="552"/>
      <c r="D29" s="480">
        <f>D26-D27</f>
        <v>793132926.29999995</v>
      </c>
      <c r="E29" s="480">
        <f>E26-E27</f>
        <v>1144004209</v>
      </c>
      <c r="F29" s="480">
        <f>F26-F27</f>
        <v>2074096129</v>
      </c>
      <c r="G29" s="480">
        <f>G26-G27</f>
        <v>2170523533</v>
      </c>
    </row>
    <row r="30" spans="1:7" ht="19.5" customHeight="1">
      <c r="A30" s="254" t="s">
        <v>351</v>
      </c>
      <c r="B30" s="255">
        <v>70</v>
      </c>
      <c r="C30" s="553"/>
      <c r="D30" s="256"/>
      <c r="E30" s="257"/>
      <c r="F30" s="257"/>
      <c r="G30" s="257"/>
    </row>
    <row r="33" spans="1:7" ht="16.5">
      <c r="E33" s="607" t="s">
        <v>859</v>
      </c>
      <c r="F33" s="608"/>
      <c r="G33" s="608"/>
    </row>
    <row r="34" spans="1:7" s="261" customFormat="1" ht="15.75">
      <c r="A34" s="259" t="s">
        <v>352</v>
      </c>
      <c r="B34" s="260"/>
      <c r="C34" s="260"/>
    </row>
    <row r="40" spans="1:7" ht="15.75">
      <c r="A40" s="258" t="s">
        <v>353</v>
      </c>
    </row>
  </sheetData>
  <mergeCells count="9">
    <mergeCell ref="A4:G4"/>
    <mergeCell ref="A5:G5"/>
    <mergeCell ref="E33:G33"/>
    <mergeCell ref="F8:G8"/>
    <mergeCell ref="F7:G7"/>
    <mergeCell ref="D7:E8"/>
    <mergeCell ref="B7:B9"/>
    <mergeCell ref="A7:A9"/>
    <mergeCell ref="C7:C9"/>
  </mergeCells>
  <phoneticPr fontId="18" type="noConversion"/>
  <pageMargins left="0.25" right="0.25" top="0.37" bottom="0.56999999999999995" header="0.27" footer="0.4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D8" sqref="D8"/>
    </sheetView>
  </sheetViews>
  <sheetFormatPr defaultRowHeight="12.75"/>
  <cols>
    <col min="1" max="1" width="51.7109375" style="2" customWidth="1"/>
    <col min="2" max="2" width="6" style="2" customWidth="1"/>
    <col min="3" max="3" width="16.140625" style="2" customWidth="1"/>
    <col min="4" max="4" width="17.140625" style="2" customWidth="1"/>
    <col min="5" max="5" width="9.140625" style="2"/>
    <col min="6" max="6" width="3.28515625" style="2" hidden="1" customWidth="1"/>
    <col min="7" max="7" width="17.42578125" style="2" customWidth="1"/>
    <col min="8" max="8" width="14.42578125" style="2" customWidth="1"/>
    <col min="9" max="16384" width="9.140625" style="2"/>
  </cols>
  <sheetData>
    <row r="1" spans="1:8" ht="15.75">
      <c r="A1" s="1" t="s">
        <v>0</v>
      </c>
      <c r="B1" s="626"/>
      <c r="C1" s="626"/>
      <c r="D1" s="626"/>
    </row>
    <row r="2" spans="1:8" ht="15.75">
      <c r="A2" s="3" t="s">
        <v>1</v>
      </c>
      <c r="B2" s="627" t="s">
        <v>868</v>
      </c>
      <c r="C2" s="627"/>
      <c r="D2" s="627"/>
    </row>
    <row r="3" spans="1:8">
      <c r="A3" s="4" t="s">
        <v>2</v>
      </c>
      <c r="B3" s="628" t="s">
        <v>869</v>
      </c>
      <c r="C3" s="628"/>
      <c r="D3" s="628"/>
    </row>
    <row r="4" spans="1:8">
      <c r="A4" s="4"/>
      <c r="B4" s="4"/>
      <c r="C4" s="4"/>
      <c r="D4" s="4"/>
    </row>
    <row r="5" spans="1:8" ht="22.5">
      <c r="A5" s="629" t="s">
        <v>3</v>
      </c>
      <c r="B5" s="629"/>
      <c r="C5" s="629"/>
      <c r="D5" s="629"/>
    </row>
    <row r="6" spans="1:8" ht="18.75">
      <c r="A6" s="622" t="s">
        <v>41</v>
      </c>
      <c r="B6" s="622"/>
      <c r="C6" s="622"/>
      <c r="D6" s="622"/>
    </row>
    <row r="8" spans="1:8" s="6" customFormat="1" ht="15.75" customHeight="1">
      <c r="A8" s="623" t="s">
        <v>4</v>
      </c>
      <c r="B8" s="623" t="s">
        <v>5</v>
      </c>
      <c r="C8" s="5" t="s">
        <v>6</v>
      </c>
      <c r="D8" s="5" t="s">
        <v>7</v>
      </c>
    </row>
    <row r="9" spans="1:8" s="6" customFormat="1" ht="15.75" customHeight="1">
      <c r="A9" s="624"/>
      <c r="B9" s="624"/>
      <c r="C9" s="7" t="s">
        <v>42</v>
      </c>
      <c r="D9" s="7" t="s">
        <v>43</v>
      </c>
    </row>
    <row r="10" spans="1:8" ht="15" customHeight="1">
      <c r="A10" s="8" t="s">
        <v>8</v>
      </c>
      <c r="B10" s="9"/>
      <c r="C10" s="10"/>
      <c r="D10" s="9"/>
    </row>
    <row r="11" spans="1:8" ht="15" customHeight="1">
      <c r="A11" s="11" t="s">
        <v>9</v>
      </c>
      <c r="B11" s="12">
        <v>1</v>
      </c>
      <c r="C11" s="13">
        <f>10793270934+15486614335</f>
        <v>26279885269</v>
      </c>
      <c r="D11" s="13">
        <v>30015232253</v>
      </c>
      <c r="G11" s="14"/>
    </row>
    <row r="12" spans="1:8" ht="15" customHeight="1">
      <c r="A12" s="11" t="s">
        <v>10</v>
      </c>
      <c r="B12" s="12">
        <v>2</v>
      </c>
      <c r="C12" s="13">
        <f>-4523234229-539682742-11844399597+346722000</f>
        <v>-16560594568</v>
      </c>
      <c r="D12" s="13">
        <v>-16299206188</v>
      </c>
      <c r="G12" s="14"/>
    </row>
    <row r="13" spans="1:8" ht="15" customHeight="1">
      <c r="A13" s="11" t="s">
        <v>11</v>
      </c>
      <c r="B13" s="12">
        <v>3</v>
      </c>
      <c r="C13" s="13">
        <f>-1236088210-5775451217</f>
        <v>-7011539427</v>
      </c>
      <c r="D13" s="13">
        <v>-7005388936</v>
      </c>
      <c r="G13" s="15"/>
      <c r="H13" s="15"/>
    </row>
    <row r="14" spans="1:8" ht="15" customHeight="1">
      <c r="A14" s="11" t="s">
        <v>12</v>
      </c>
      <c r="B14" s="12">
        <v>4</v>
      </c>
      <c r="C14" s="13">
        <f>-69991200-16718968</f>
        <v>-86710168</v>
      </c>
      <c r="D14" s="13"/>
      <c r="G14" s="4"/>
      <c r="H14" s="15"/>
    </row>
    <row r="15" spans="1:8" ht="15" customHeight="1">
      <c r="A15" s="11" t="s">
        <v>13</v>
      </c>
      <c r="B15" s="12">
        <v>5</v>
      </c>
      <c r="C15" s="13">
        <f>-252996000-360180628</f>
        <v>-613176628</v>
      </c>
      <c r="D15" s="13">
        <v>-722980121</v>
      </c>
      <c r="G15" s="15"/>
    </row>
    <row r="16" spans="1:8" ht="15" customHeight="1">
      <c r="A16" s="11" t="s">
        <v>14</v>
      </c>
      <c r="B16" s="12">
        <v>6</v>
      </c>
      <c r="C16" s="13">
        <f>49343651+2282000+50000+17191000</f>
        <v>68866651</v>
      </c>
      <c r="D16" s="13">
        <v>2878475225</v>
      </c>
      <c r="G16" s="15"/>
      <c r="H16" s="15"/>
    </row>
    <row r="17" spans="1:8" ht="15" customHeight="1">
      <c r="A17" s="11" t="s">
        <v>15</v>
      </c>
      <c r="B17" s="12">
        <v>7</v>
      </c>
      <c r="C17" s="13">
        <f>-2540902183-2802866033</f>
        <v>-5343768216</v>
      </c>
      <c r="D17" s="13">
        <v>-2924105787</v>
      </c>
      <c r="G17" s="15"/>
    </row>
    <row r="18" spans="1:8" s="6" customFormat="1" ht="15" customHeight="1">
      <c r="A18" s="16" t="s">
        <v>16</v>
      </c>
      <c r="B18" s="17">
        <v>20</v>
      </c>
      <c r="C18" s="18">
        <f>SUM(C11:C17)</f>
        <v>-3267037087</v>
      </c>
      <c r="D18" s="18">
        <f>SUM(D11:D17)</f>
        <v>5942026446</v>
      </c>
      <c r="G18" s="19"/>
    </row>
    <row r="19" spans="1:8" s="6" customFormat="1" ht="15" customHeight="1">
      <c r="A19" s="16" t="s">
        <v>17</v>
      </c>
      <c r="B19" s="17"/>
      <c r="C19" s="18"/>
      <c r="D19" s="18"/>
      <c r="G19" s="20"/>
    </row>
    <row r="20" spans="1:8" ht="15" customHeight="1">
      <c r="A20" s="11" t="s">
        <v>18</v>
      </c>
      <c r="B20" s="12">
        <v>21</v>
      </c>
      <c r="C20" s="13">
        <f>-8200000-346722000</f>
        <v>-354922000</v>
      </c>
      <c r="D20" s="13"/>
      <c r="G20" s="21"/>
      <c r="H20" s="15"/>
    </row>
    <row r="21" spans="1:8" ht="15" customHeight="1">
      <c r="A21" s="11" t="s">
        <v>19</v>
      </c>
      <c r="B21" s="12">
        <v>22</v>
      </c>
      <c r="C21" s="13">
        <v>60000000</v>
      </c>
      <c r="D21" s="13"/>
      <c r="G21" s="21"/>
    </row>
    <row r="22" spans="1:8" ht="15" customHeight="1">
      <c r="A22" s="11" t="s">
        <v>20</v>
      </c>
      <c r="B22" s="12">
        <v>23</v>
      </c>
      <c r="C22" s="13">
        <f>-3341331209-350000000</f>
        <v>-3691331209</v>
      </c>
      <c r="D22" s="13">
        <v>-2672000000</v>
      </c>
      <c r="G22" s="22"/>
      <c r="H22" s="15"/>
    </row>
    <row r="23" spans="1:8" ht="15" customHeight="1">
      <c r="A23" s="11" t="s">
        <v>21</v>
      </c>
      <c r="B23" s="12">
        <v>24</v>
      </c>
      <c r="C23" s="13">
        <v>673607500</v>
      </c>
      <c r="D23" s="23"/>
      <c r="G23" s="20"/>
    </row>
    <row r="24" spans="1:8" ht="15" customHeight="1">
      <c r="A24" s="11" t="s">
        <v>22</v>
      </c>
      <c r="B24" s="12">
        <v>25</v>
      </c>
      <c r="C24" s="13"/>
      <c r="D24" s="23"/>
      <c r="G24" s="21"/>
    </row>
    <row r="25" spans="1:8" ht="15" customHeight="1">
      <c r="A25" s="11" t="s">
        <v>23</v>
      </c>
      <c r="B25" s="12">
        <v>26</v>
      </c>
      <c r="C25" s="13"/>
      <c r="D25" s="13">
        <v>1932946294</v>
      </c>
      <c r="F25" s="21">
        <v>72421000</v>
      </c>
      <c r="G25" s="21">
        <f>G15-G23</f>
        <v>0</v>
      </c>
    </row>
    <row r="26" spans="1:8" ht="15" customHeight="1">
      <c r="A26" s="11" t="s">
        <v>24</v>
      </c>
      <c r="B26" s="12">
        <v>27</v>
      </c>
      <c r="C26" s="13">
        <f>1871121+42130500</f>
        <v>44001621</v>
      </c>
      <c r="D26" s="13">
        <v>161637524</v>
      </c>
      <c r="F26" s="21">
        <v>3132964</v>
      </c>
      <c r="G26" s="21"/>
    </row>
    <row r="27" spans="1:8" s="6" customFormat="1" ht="15" customHeight="1">
      <c r="A27" s="16" t="s">
        <v>25</v>
      </c>
      <c r="B27" s="17">
        <v>30</v>
      </c>
      <c r="C27" s="18">
        <f>SUM(C20:C26)</f>
        <v>-3268644088</v>
      </c>
      <c r="D27" s="18">
        <f>SUM(D20:D26)</f>
        <v>-577416182</v>
      </c>
      <c r="F27" s="21">
        <v>26384501</v>
      </c>
    </row>
    <row r="28" spans="1:8" s="6" customFormat="1" ht="15" customHeight="1">
      <c r="A28" s="16" t="s">
        <v>26</v>
      </c>
      <c r="B28" s="17"/>
      <c r="C28" s="18"/>
      <c r="D28" s="18"/>
      <c r="F28" s="21">
        <v>134872500</v>
      </c>
      <c r="G28" s="24"/>
    </row>
    <row r="29" spans="1:8" ht="15" customHeight="1">
      <c r="A29" s="11" t="s">
        <v>27</v>
      </c>
      <c r="B29" s="12">
        <v>31</v>
      </c>
      <c r="C29" s="13"/>
      <c r="D29" s="13"/>
      <c r="F29" s="21">
        <v>1188937</v>
      </c>
      <c r="G29" s="15">
        <f>G19+G13</f>
        <v>0</v>
      </c>
    </row>
    <row r="30" spans="1:8" ht="15" customHeight="1">
      <c r="A30" s="11" t="s">
        <v>28</v>
      </c>
      <c r="B30" s="12">
        <v>32</v>
      </c>
      <c r="C30" s="13"/>
      <c r="D30" s="13">
        <v>-1675334330</v>
      </c>
      <c r="F30" s="21">
        <v>10000000</v>
      </c>
    </row>
    <row r="31" spans="1:8" ht="15" customHeight="1">
      <c r="A31" s="11" t="s">
        <v>29</v>
      </c>
      <c r="B31" s="12">
        <v>33</v>
      </c>
      <c r="C31" s="13">
        <f>626000000+350000000+539682742+3423508081</f>
        <v>4939190823</v>
      </c>
      <c r="D31" s="13"/>
      <c r="F31" s="21">
        <v>1529137</v>
      </c>
    </row>
    <row r="32" spans="1:8" ht="15" customHeight="1">
      <c r="A32" s="11" t="s">
        <v>30</v>
      </c>
      <c r="B32" s="12">
        <v>34</v>
      </c>
      <c r="C32" s="13"/>
      <c r="D32" s="13"/>
      <c r="F32" s="21">
        <v>4865133</v>
      </c>
      <c r="G32" s="15"/>
    </row>
    <row r="33" spans="1:7" ht="15" customHeight="1">
      <c r="A33" s="11" t="s">
        <v>31</v>
      </c>
      <c r="B33" s="12">
        <v>35</v>
      </c>
      <c r="C33" s="13"/>
      <c r="D33" s="13"/>
      <c r="F33" s="21">
        <v>19787276</v>
      </c>
    </row>
    <row r="34" spans="1:7" ht="15" customHeight="1">
      <c r="A34" s="11" t="s">
        <v>32</v>
      </c>
      <c r="B34" s="12">
        <v>36</v>
      </c>
      <c r="C34" s="13"/>
      <c r="D34" s="13"/>
      <c r="F34" s="21">
        <v>9343000</v>
      </c>
    </row>
    <row r="35" spans="1:7" s="6" customFormat="1" ht="15" customHeight="1">
      <c r="A35" s="16" t="s">
        <v>33</v>
      </c>
      <c r="B35" s="17">
        <v>40</v>
      </c>
      <c r="C35" s="18">
        <f>SUM(C29:C34)</f>
        <v>4939190823</v>
      </c>
      <c r="D35" s="18">
        <f>D29+D30+D31+D32+D33+D34</f>
        <v>-1675334330</v>
      </c>
      <c r="F35" s="21">
        <v>20097000</v>
      </c>
    </row>
    <row r="36" spans="1:7" s="6" customFormat="1" ht="15" customHeight="1">
      <c r="A36" s="16" t="s">
        <v>34</v>
      </c>
      <c r="B36" s="17">
        <v>50</v>
      </c>
      <c r="C36" s="18">
        <f>C18+C27+C35</f>
        <v>-1596490352</v>
      </c>
      <c r="D36" s="18">
        <f>D18+D27+D35</f>
        <v>3689275934</v>
      </c>
      <c r="F36" s="21">
        <v>1200000</v>
      </c>
    </row>
    <row r="37" spans="1:7" s="6" customFormat="1" ht="15" customHeight="1">
      <c r="A37" s="16" t="s">
        <v>35</v>
      </c>
      <c r="B37" s="17">
        <v>60</v>
      </c>
      <c r="C37" s="18">
        <v>2951449831</v>
      </c>
      <c r="D37" s="18">
        <v>1315962219</v>
      </c>
      <c r="F37" s="21">
        <v>14841500</v>
      </c>
    </row>
    <row r="38" spans="1:7" s="28" customFormat="1" ht="15" customHeight="1">
      <c r="A38" s="25" t="s">
        <v>36</v>
      </c>
      <c r="B38" s="26">
        <v>61</v>
      </c>
      <c r="C38" s="27">
        <v>735287</v>
      </c>
      <c r="D38" s="27"/>
      <c r="F38" s="29">
        <v>3886400</v>
      </c>
      <c r="G38" s="30"/>
    </row>
    <row r="39" spans="1:7" s="6" customFormat="1" ht="15" customHeight="1">
      <c r="A39" s="16" t="s">
        <v>37</v>
      </c>
      <c r="B39" s="17">
        <v>70</v>
      </c>
      <c r="C39" s="18">
        <f>SUM(C36:C38)</f>
        <v>1355694766</v>
      </c>
      <c r="D39" s="18">
        <f>D36+D37+D38</f>
        <v>5005238153</v>
      </c>
      <c r="F39" s="21">
        <v>3000000</v>
      </c>
      <c r="G39" s="24"/>
    </row>
    <row r="40" spans="1:7" ht="15.75" customHeight="1">
      <c r="A40" s="31"/>
      <c r="B40" s="32"/>
      <c r="C40" s="32"/>
      <c r="D40" s="32"/>
      <c r="F40" s="21">
        <v>3831813</v>
      </c>
    </row>
    <row r="41" spans="1:7" ht="16.5">
      <c r="A41" s="4"/>
      <c r="E41" s="33"/>
      <c r="F41" s="21">
        <v>9272727</v>
      </c>
      <c r="G41" s="15"/>
    </row>
    <row r="42" spans="1:7" ht="15" customHeight="1">
      <c r="A42" s="34"/>
      <c r="B42" s="625" t="s">
        <v>860</v>
      </c>
      <c r="C42" s="625"/>
      <c r="D42" s="625"/>
      <c r="F42" s="21">
        <v>960500</v>
      </c>
    </row>
    <row r="43" spans="1:7" ht="16.5">
      <c r="A43" s="35" t="s">
        <v>38</v>
      </c>
      <c r="B43" s="36"/>
      <c r="C43" s="621" t="s">
        <v>39</v>
      </c>
      <c r="D43" s="621"/>
      <c r="F43" s="21">
        <v>6527272</v>
      </c>
    </row>
    <row r="44" spans="1:7" ht="16.5">
      <c r="A44" s="36"/>
      <c r="B44" s="36"/>
      <c r="C44" s="36"/>
      <c r="D44" s="36"/>
      <c r="F44" s="21">
        <v>2361000</v>
      </c>
    </row>
    <row r="45" spans="1:7" ht="16.5">
      <c r="A45" s="36"/>
      <c r="B45" s="36"/>
      <c r="C45" s="36"/>
      <c r="D45" s="36"/>
      <c r="F45" s="21">
        <f>SUM(F25:F44)</f>
        <v>349502660</v>
      </c>
    </row>
    <row r="46" spans="1:7" ht="16.5">
      <c r="A46" s="36"/>
      <c r="B46" s="36"/>
      <c r="C46" s="36"/>
      <c r="D46" s="36"/>
    </row>
    <row r="47" spans="1:7" ht="16.5">
      <c r="A47" s="36"/>
      <c r="B47" s="36"/>
      <c r="C47" s="36"/>
      <c r="D47" s="36"/>
    </row>
    <row r="48" spans="1:7" ht="16.5">
      <c r="A48" s="37" t="s">
        <v>40</v>
      </c>
      <c r="B48" s="36"/>
      <c r="C48" s="36"/>
      <c r="D48" s="36"/>
    </row>
    <row r="49" spans="1:4" ht="16.5">
      <c r="A49" s="36"/>
      <c r="B49" s="36"/>
      <c r="C49" s="36"/>
      <c r="D49" s="36"/>
    </row>
    <row r="51" spans="1:4">
      <c r="A51" s="14"/>
    </row>
  </sheetData>
  <mergeCells count="9">
    <mergeCell ref="C43:D43"/>
    <mergeCell ref="A6:D6"/>
    <mergeCell ref="A8:A9"/>
    <mergeCell ref="B8:B9"/>
    <mergeCell ref="B42:D42"/>
    <mergeCell ref="B1:D1"/>
    <mergeCell ref="B2:D2"/>
    <mergeCell ref="B3:D3"/>
    <mergeCell ref="A5:D5"/>
  </mergeCells>
  <phoneticPr fontId="18" type="noConversion"/>
  <pageMargins left="0.94" right="0.25" top="0.54" bottom="0.48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46"/>
  <sheetViews>
    <sheetView topLeftCell="A136" workbookViewId="0">
      <selection activeCell="B140" sqref="B140:D140"/>
    </sheetView>
  </sheetViews>
  <sheetFormatPr defaultRowHeight="12.75"/>
  <cols>
    <col min="1" max="1" width="23.42578125" style="268" customWidth="1"/>
    <col min="2" max="2" width="35.140625" style="268" customWidth="1"/>
    <col min="3" max="3" width="17.5703125" style="581" customWidth="1"/>
    <col min="4" max="4" width="18.28515625" style="594" customWidth="1"/>
    <col min="5" max="5" width="9.140625" style="268"/>
    <col min="6" max="6" width="18.42578125" style="268" customWidth="1"/>
    <col min="7" max="16384" width="9.140625" style="268"/>
  </cols>
  <sheetData>
    <row r="1" spans="1:9" s="263" customFormat="1" ht="34.5" customHeight="1">
      <c r="A1" s="262" t="s">
        <v>354</v>
      </c>
      <c r="C1" s="264"/>
      <c r="E1"/>
      <c r="F1"/>
      <c r="G1"/>
      <c r="H1"/>
      <c r="I1"/>
    </row>
    <row r="2" spans="1:9" s="263" customFormat="1" ht="11.25" customHeight="1">
      <c r="A2" s="265"/>
      <c r="C2" s="264"/>
      <c r="E2"/>
      <c r="F2"/>
      <c r="G2"/>
      <c r="H2"/>
      <c r="I2"/>
    </row>
    <row r="3" spans="1:9" ht="16.5">
      <c r="A3" s="630"/>
      <c r="B3" s="630"/>
      <c r="C3" s="266"/>
      <c r="D3" s="267"/>
      <c r="E3"/>
      <c r="F3"/>
      <c r="G3"/>
      <c r="H3"/>
      <c r="I3"/>
    </row>
    <row r="4" spans="1:9" ht="27.75" customHeight="1">
      <c r="A4" s="631" t="s">
        <v>4</v>
      </c>
      <c r="B4" s="632"/>
      <c r="C4" s="269" t="s">
        <v>539</v>
      </c>
      <c r="D4" s="270" t="s">
        <v>355</v>
      </c>
      <c r="E4"/>
      <c r="F4"/>
      <c r="G4"/>
      <c r="H4"/>
      <c r="I4"/>
    </row>
    <row r="5" spans="1:9" ht="20.100000000000001" customHeight="1">
      <c r="A5" s="633" t="s">
        <v>356</v>
      </c>
      <c r="B5" s="633"/>
      <c r="C5" s="564">
        <f>C6+C7+C11</f>
        <v>1355694766</v>
      </c>
      <c r="D5" s="271">
        <v>1951449831</v>
      </c>
      <c r="E5"/>
      <c r="F5"/>
      <c r="G5"/>
      <c r="H5"/>
      <c r="I5"/>
    </row>
    <row r="6" spans="1:9" s="273" customFormat="1" ht="20.100000000000001" customHeight="1">
      <c r="A6" s="634" t="s">
        <v>357</v>
      </c>
      <c r="B6" s="634"/>
      <c r="C6" s="565">
        <v>351829270</v>
      </c>
      <c r="D6" s="272">
        <v>4658662</v>
      </c>
      <c r="E6"/>
      <c r="F6"/>
      <c r="G6"/>
      <c r="H6"/>
      <c r="I6"/>
    </row>
    <row r="7" spans="1:9" s="273" customFormat="1" ht="20.100000000000001" customHeight="1">
      <c r="A7" s="634" t="s">
        <v>358</v>
      </c>
      <c r="B7" s="634"/>
      <c r="C7" s="274">
        <f>SUM(C8:C10)</f>
        <v>983348165</v>
      </c>
      <c r="D7" s="274">
        <v>1927009125</v>
      </c>
      <c r="E7"/>
      <c r="F7"/>
      <c r="G7"/>
      <c r="H7"/>
      <c r="I7"/>
    </row>
    <row r="8" spans="1:9" ht="20.100000000000001" customHeight="1">
      <c r="A8" s="643" t="s">
        <v>359</v>
      </c>
      <c r="B8" s="643"/>
      <c r="C8" s="275">
        <v>981325762</v>
      </c>
      <c r="D8" s="275">
        <v>1924986722</v>
      </c>
      <c r="E8"/>
      <c r="F8"/>
      <c r="G8"/>
      <c r="H8"/>
      <c r="I8"/>
    </row>
    <row r="9" spans="1:9" ht="20.100000000000001" customHeight="1">
      <c r="A9" s="643" t="s">
        <v>360</v>
      </c>
      <c r="B9" s="643"/>
      <c r="C9" s="275">
        <v>1022403</v>
      </c>
      <c r="D9" s="275">
        <v>1022403</v>
      </c>
      <c r="E9"/>
      <c r="F9"/>
      <c r="G9"/>
      <c r="H9"/>
      <c r="I9"/>
    </row>
    <row r="10" spans="1:9" ht="20.100000000000001" customHeight="1">
      <c r="A10" s="637" t="s">
        <v>361</v>
      </c>
      <c r="B10" s="638"/>
      <c r="C10" s="275">
        <v>1000000</v>
      </c>
      <c r="D10" s="275">
        <v>1000000</v>
      </c>
      <c r="E10"/>
      <c r="F10"/>
      <c r="G10"/>
      <c r="H10"/>
      <c r="I10"/>
    </row>
    <row r="11" spans="1:9" s="273" customFormat="1" ht="20.100000000000001" customHeight="1">
      <c r="A11" s="635" t="s">
        <v>362</v>
      </c>
      <c r="B11" s="636"/>
      <c r="C11" s="566">
        <f>C12</f>
        <v>20517331</v>
      </c>
      <c r="D11" s="274">
        <v>19782044</v>
      </c>
      <c r="E11"/>
      <c r="F11"/>
      <c r="G11"/>
      <c r="H11"/>
      <c r="I11"/>
    </row>
    <row r="12" spans="1:9" ht="20.100000000000001" customHeight="1">
      <c r="A12" s="637" t="s">
        <v>359</v>
      </c>
      <c r="B12" s="638"/>
      <c r="C12" s="275">
        <v>20517331</v>
      </c>
      <c r="D12" s="275">
        <v>19782044</v>
      </c>
      <c r="E12"/>
      <c r="F12"/>
      <c r="G12"/>
      <c r="H12"/>
      <c r="I12"/>
    </row>
    <row r="13" spans="1:9" ht="20.100000000000001" customHeight="1">
      <c r="A13" s="639" t="s">
        <v>51</v>
      </c>
      <c r="B13" s="640"/>
      <c r="C13" s="274">
        <f>C5</f>
        <v>1355694766</v>
      </c>
      <c r="D13" s="276">
        <v>1951449831</v>
      </c>
      <c r="E13"/>
      <c r="F13"/>
      <c r="G13"/>
      <c r="H13"/>
      <c r="I13"/>
    </row>
    <row r="14" spans="1:9" ht="20.100000000000001" customHeight="1">
      <c r="A14" s="641" t="s">
        <v>363</v>
      </c>
      <c r="B14" s="642"/>
      <c r="C14" s="275"/>
      <c r="D14" s="276"/>
      <c r="E14"/>
      <c r="F14"/>
      <c r="G14"/>
      <c r="H14"/>
      <c r="I14"/>
    </row>
    <row r="15" spans="1:9" ht="20.100000000000001" customHeight="1">
      <c r="A15" s="637" t="s">
        <v>364</v>
      </c>
      <c r="B15" s="638"/>
      <c r="C15" s="567">
        <v>16867276073</v>
      </c>
      <c r="D15" s="275">
        <v>18338725102</v>
      </c>
      <c r="E15"/>
      <c r="F15"/>
      <c r="G15"/>
      <c r="H15"/>
      <c r="I15"/>
    </row>
    <row r="16" spans="1:9" ht="20.100000000000001" customHeight="1">
      <c r="A16" s="650" t="s">
        <v>365</v>
      </c>
      <c r="B16" s="651"/>
      <c r="C16" s="568">
        <v>445790973</v>
      </c>
      <c r="D16" s="275">
        <v>176777636</v>
      </c>
      <c r="E16"/>
      <c r="F16"/>
      <c r="G16"/>
      <c r="H16"/>
      <c r="I16"/>
    </row>
    <row r="17" spans="1:9" ht="20.100000000000001" customHeight="1">
      <c r="A17" s="652" t="s">
        <v>366</v>
      </c>
      <c r="B17" s="653"/>
      <c r="C17" s="568">
        <v>6880234623</v>
      </c>
      <c r="D17" s="275">
        <v>3131913382</v>
      </c>
      <c r="F17"/>
      <c r="G17"/>
      <c r="H17"/>
      <c r="I17"/>
    </row>
    <row r="18" spans="1:9" ht="20.100000000000001" customHeight="1">
      <c r="A18" s="652" t="s">
        <v>367</v>
      </c>
      <c r="B18" s="653"/>
      <c r="C18" s="569">
        <v>-862222508</v>
      </c>
      <c r="D18" s="569">
        <v>-862222508</v>
      </c>
      <c r="F18"/>
      <c r="G18"/>
      <c r="H18"/>
      <c r="I18"/>
    </row>
    <row r="19" spans="1:9" ht="20.100000000000001" customHeight="1">
      <c r="A19" s="644" t="s">
        <v>51</v>
      </c>
      <c r="B19" s="645"/>
      <c r="C19" s="570">
        <f>SUM(C15:C18)</f>
        <v>23331079161</v>
      </c>
      <c r="D19" s="570">
        <f>SUM(D15:D18)</f>
        <v>20785193612</v>
      </c>
      <c r="F19"/>
      <c r="G19"/>
      <c r="H19"/>
      <c r="I19"/>
    </row>
    <row r="20" spans="1:9" ht="20.100000000000001" customHeight="1">
      <c r="A20" s="646" t="s">
        <v>368</v>
      </c>
      <c r="B20" s="647"/>
      <c r="C20" s="571"/>
      <c r="D20" s="276"/>
      <c r="F20"/>
      <c r="G20"/>
      <c r="H20"/>
      <c r="I20"/>
    </row>
    <row r="21" spans="1:9" ht="20.100000000000001" customHeight="1">
      <c r="A21" s="648" t="s">
        <v>369</v>
      </c>
      <c r="B21" s="649"/>
      <c r="C21" s="572">
        <v>9310427101</v>
      </c>
      <c r="D21" s="279">
        <v>15674955426</v>
      </c>
      <c r="E21" s="280"/>
      <c r="F21"/>
      <c r="G21"/>
      <c r="H21"/>
      <c r="I21"/>
    </row>
    <row r="22" spans="1:9" ht="20.100000000000001" customHeight="1">
      <c r="A22" s="277" t="s">
        <v>758</v>
      </c>
      <c r="B22" s="278"/>
      <c r="C22" s="572">
        <v>4798299263</v>
      </c>
      <c r="D22" s="279"/>
      <c r="E22" s="280"/>
      <c r="F22"/>
      <c r="G22"/>
      <c r="H22"/>
      <c r="I22"/>
    </row>
    <row r="23" spans="1:9" ht="20.100000000000001" customHeight="1">
      <c r="A23" s="648" t="s">
        <v>370</v>
      </c>
      <c r="B23" s="649"/>
      <c r="C23" s="279">
        <v>422000021</v>
      </c>
      <c r="D23" s="279">
        <v>422000021</v>
      </c>
      <c r="E23" s="280"/>
      <c r="F23"/>
      <c r="G23"/>
      <c r="H23"/>
      <c r="I23"/>
    </row>
    <row r="24" spans="1:9" ht="20.100000000000001" customHeight="1">
      <c r="A24" s="648" t="s">
        <v>371</v>
      </c>
      <c r="B24" s="649"/>
      <c r="C24" s="279">
        <v>901315106</v>
      </c>
      <c r="D24" s="279">
        <v>901315106</v>
      </c>
      <c r="E24" s="280"/>
      <c r="F24"/>
      <c r="G24"/>
      <c r="H24"/>
      <c r="I24"/>
    </row>
    <row r="25" spans="1:9" ht="20.100000000000001" customHeight="1">
      <c r="A25" s="648" t="s">
        <v>756</v>
      </c>
      <c r="B25" s="649"/>
      <c r="C25" s="572">
        <v>254728513</v>
      </c>
      <c r="D25" s="279">
        <v>380952159</v>
      </c>
      <c r="E25" s="280"/>
      <c r="F25"/>
      <c r="G25"/>
      <c r="H25"/>
      <c r="I25"/>
    </row>
    <row r="26" spans="1:9" ht="20.100000000000001" customHeight="1">
      <c r="A26" s="277" t="s">
        <v>372</v>
      </c>
      <c r="B26" s="278"/>
      <c r="C26" s="572">
        <v>327472400</v>
      </c>
      <c r="D26" s="279"/>
      <c r="E26" s="280"/>
      <c r="F26"/>
      <c r="G26"/>
      <c r="H26"/>
      <c r="I26"/>
    </row>
    <row r="27" spans="1:9" ht="20.100000000000001" customHeight="1">
      <c r="A27" s="277" t="s">
        <v>757</v>
      </c>
      <c r="B27" s="278"/>
      <c r="C27" s="572">
        <v>410022800</v>
      </c>
      <c r="D27" s="279"/>
      <c r="E27" s="280"/>
      <c r="F27"/>
      <c r="G27"/>
      <c r="H27"/>
      <c r="I27"/>
    </row>
    <row r="28" spans="1:9" ht="20.100000000000001" customHeight="1">
      <c r="A28" s="648" t="s">
        <v>373</v>
      </c>
      <c r="B28" s="649"/>
      <c r="C28" s="572">
        <f>C15-SUM(C21:C27)</f>
        <v>443010869</v>
      </c>
      <c r="D28" s="279">
        <v>959502390</v>
      </c>
      <c r="E28" s="280"/>
      <c r="F28"/>
      <c r="G28"/>
      <c r="H28"/>
      <c r="I28"/>
    </row>
    <row r="29" spans="1:9" ht="20.100000000000001" customHeight="1">
      <c r="A29" s="655" t="s">
        <v>51</v>
      </c>
      <c r="B29" s="656"/>
      <c r="C29" s="276">
        <f>SUM(C21:C28)</f>
        <v>16867276073</v>
      </c>
      <c r="D29" s="276">
        <v>18338725102</v>
      </c>
      <c r="F29"/>
      <c r="G29"/>
      <c r="H29"/>
      <c r="I29"/>
    </row>
    <row r="30" spans="1:9" ht="20.100000000000001" customHeight="1">
      <c r="A30" s="277" t="s">
        <v>374</v>
      </c>
      <c r="B30" s="278"/>
      <c r="C30" s="572"/>
      <c r="D30" s="279"/>
      <c r="F30"/>
      <c r="G30"/>
      <c r="H30"/>
      <c r="I30"/>
    </row>
    <row r="31" spans="1:9" ht="20.100000000000001" customHeight="1">
      <c r="A31" s="654" t="s">
        <v>375</v>
      </c>
      <c r="B31" s="654"/>
      <c r="C31" s="572">
        <v>4280437988</v>
      </c>
      <c r="D31" s="282">
        <f>933160997+722885370</f>
        <v>1656046367</v>
      </c>
      <c r="F31"/>
      <c r="G31"/>
      <c r="H31"/>
      <c r="I31"/>
    </row>
    <row r="32" spans="1:9" ht="20.100000000000001" customHeight="1">
      <c r="A32" s="654" t="s">
        <v>376</v>
      </c>
      <c r="B32" s="654"/>
      <c r="C32" s="572">
        <v>1216801406</v>
      </c>
      <c r="D32" s="282">
        <v>143209406</v>
      </c>
      <c r="F32"/>
      <c r="G32"/>
      <c r="H32"/>
      <c r="I32"/>
    </row>
    <row r="33" spans="1:9" ht="20.100000000000001" customHeight="1">
      <c r="A33" s="652" t="s">
        <v>399</v>
      </c>
      <c r="B33" s="653"/>
      <c r="C33" s="572">
        <v>1203385214</v>
      </c>
      <c r="D33" s="282">
        <v>1109764563</v>
      </c>
      <c r="G33"/>
      <c r="H33"/>
      <c r="I33"/>
    </row>
    <row r="34" spans="1:9" ht="20.100000000000001" customHeight="1">
      <c r="A34" s="648" t="s">
        <v>377</v>
      </c>
      <c r="B34" s="649"/>
      <c r="C34" s="572">
        <f>C17-SUM(C31:C33)</f>
        <v>179610015</v>
      </c>
      <c r="D34" s="282">
        <v>222893046</v>
      </c>
      <c r="G34"/>
      <c r="H34"/>
      <c r="I34"/>
    </row>
    <row r="35" spans="1:9" ht="20.100000000000001" customHeight="1">
      <c r="A35" s="655" t="s">
        <v>51</v>
      </c>
      <c r="B35" s="656"/>
      <c r="C35" s="573">
        <f>SUM(C31:C34)</f>
        <v>6880234623</v>
      </c>
      <c r="D35" s="573">
        <f>SUM(D31:D34)</f>
        <v>3131913382</v>
      </c>
      <c r="F35" s="284"/>
      <c r="G35"/>
      <c r="H35"/>
      <c r="I35"/>
    </row>
    <row r="36" spans="1:9" ht="20.100000000000001" customHeight="1">
      <c r="A36" s="659" t="s">
        <v>378</v>
      </c>
      <c r="B36" s="660"/>
      <c r="C36" s="574"/>
      <c r="D36" s="285"/>
      <c r="G36"/>
      <c r="H36"/>
      <c r="I36"/>
    </row>
    <row r="37" spans="1:9" ht="20.100000000000001" customHeight="1">
      <c r="A37" s="657" t="s">
        <v>379</v>
      </c>
      <c r="B37" s="658"/>
      <c r="C37" s="275">
        <v>1133576132</v>
      </c>
      <c r="D37" s="275">
        <v>566612747</v>
      </c>
      <c r="G37"/>
      <c r="H37"/>
      <c r="I37"/>
    </row>
    <row r="38" spans="1:9" ht="20.100000000000001" customHeight="1">
      <c r="A38" s="657" t="s">
        <v>380</v>
      </c>
      <c r="B38" s="658"/>
      <c r="C38" s="275">
        <v>11729073</v>
      </c>
      <c r="D38" s="275">
        <v>11377852</v>
      </c>
      <c r="G38"/>
      <c r="H38"/>
      <c r="I38"/>
    </row>
    <row r="39" spans="1:9" ht="20.100000000000001" customHeight="1">
      <c r="A39" s="637" t="s">
        <v>381</v>
      </c>
      <c r="B39" s="638"/>
      <c r="C39" s="275">
        <v>6052138169</v>
      </c>
      <c r="D39" s="275">
        <v>1179481956</v>
      </c>
      <c r="G39"/>
      <c r="H39"/>
      <c r="I39"/>
    </row>
    <row r="40" spans="1:9" ht="20.100000000000001" customHeight="1">
      <c r="A40" s="637" t="s">
        <v>382</v>
      </c>
      <c r="B40" s="638"/>
      <c r="C40" s="275">
        <v>3212110003</v>
      </c>
      <c r="D40" s="275">
        <v>2935212884</v>
      </c>
      <c r="G40"/>
      <c r="H40"/>
      <c r="I40"/>
    </row>
    <row r="41" spans="1:9" ht="20.100000000000001" customHeight="1">
      <c r="A41" s="650" t="s">
        <v>383</v>
      </c>
      <c r="B41" s="651"/>
      <c r="C41" s="575"/>
      <c r="D41" s="275">
        <v>4157919</v>
      </c>
      <c r="G41"/>
      <c r="H41"/>
      <c r="I41"/>
    </row>
    <row r="42" spans="1:9" ht="20.100000000000001" customHeight="1">
      <c r="A42" s="644" t="s">
        <v>384</v>
      </c>
      <c r="B42" s="645"/>
      <c r="C42" s="574">
        <f>SUM(C37:C41)</f>
        <v>10409553377</v>
      </c>
      <c r="D42" s="276">
        <v>4696843358</v>
      </c>
      <c r="G42"/>
      <c r="H42"/>
      <c r="I42"/>
    </row>
    <row r="43" spans="1:9" ht="20.100000000000001" customHeight="1">
      <c r="A43" s="641" t="s">
        <v>833</v>
      </c>
      <c r="B43" s="642"/>
      <c r="C43" s="282"/>
      <c r="D43" s="570"/>
      <c r="F43" s="292"/>
      <c r="G43" s="292"/>
      <c r="H43" s="292"/>
      <c r="I43" s="292"/>
    </row>
    <row r="44" spans="1:9" ht="20.100000000000001" customHeight="1">
      <c r="A44" s="652" t="s">
        <v>393</v>
      </c>
      <c r="B44" s="653"/>
      <c r="C44" s="282">
        <v>191021914</v>
      </c>
      <c r="D44" s="282"/>
      <c r="E44" s="293"/>
      <c r="F44" s="292"/>
      <c r="G44" s="292"/>
      <c r="H44" s="292"/>
      <c r="I44" s="292"/>
    </row>
    <row r="45" spans="1:9" ht="20.100000000000001" customHeight="1">
      <c r="A45" s="652" t="s">
        <v>759</v>
      </c>
      <c r="B45" s="653"/>
      <c r="C45" s="282">
        <v>47565000</v>
      </c>
      <c r="D45" s="282"/>
      <c r="E45" s="293"/>
      <c r="F45" s="292"/>
      <c r="G45" s="292"/>
      <c r="H45" s="292"/>
      <c r="I45" s="292"/>
    </row>
    <row r="46" spans="1:9" ht="20.100000000000001" customHeight="1">
      <c r="A46" s="652" t="s">
        <v>774</v>
      </c>
      <c r="B46" s="653"/>
      <c r="C46" s="499">
        <v>6283000</v>
      </c>
      <c r="D46" s="499"/>
      <c r="E46" s="293"/>
      <c r="F46" s="292"/>
      <c r="G46" s="292"/>
      <c r="H46" s="292"/>
      <c r="I46" s="292"/>
    </row>
    <row r="47" spans="1:9" s="293" customFormat="1" ht="20.100000000000001" customHeight="1">
      <c r="A47" s="639" t="s">
        <v>51</v>
      </c>
      <c r="B47" s="640"/>
      <c r="C47" s="570">
        <f>C44+C45+C46</f>
        <v>244869914</v>
      </c>
      <c r="D47" s="576">
        <f>D44+D45</f>
        <v>0</v>
      </c>
      <c r="E47" s="294"/>
      <c r="F47" s="295"/>
      <c r="G47" s="295"/>
      <c r="H47" s="295"/>
      <c r="I47" s="295"/>
    </row>
    <row r="48" spans="1:9" s="287" customFormat="1" ht="20.100000000000001" customHeight="1">
      <c r="A48" s="661" t="s">
        <v>834</v>
      </c>
      <c r="B48" s="662"/>
      <c r="C48" s="577"/>
      <c r="D48" s="286"/>
      <c r="G48"/>
      <c r="H48"/>
      <c r="I48"/>
    </row>
    <row r="49" spans="1:9" s="287" customFormat="1" ht="20.100000000000001" customHeight="1">
      <c r="A49" s="661" t="s">
        <v>385</v>
      </c>
      <c r="B49" s="662"/>
      <c r="C49" s="577">
        <f>C52</f>
        <v>1758804569</v>
      </c>
      <c r="D49" s="286">
        <v>1857557124</v>
      </c>
      <c r="G49"/>
      <c r="H49"/>
      <c r="I49"/>
    </row>
    <row r="50" spans="1:9" s="288" customFormat="1" ht="20.100000000000001" customHeight="1">
      <c r="A50" s="663" t="s">
        <v>386</v>
      </c>
      <c r="B50" s="664"/>
      <c r="C50" s="568">
        <v>9213432803</v>
      </c>
      <c r="D50" s="281">
        <v>9182457839</v>
      </c>
      <c r="G50"/>
      <c r="H50"/>
      <c r="I50"/>
    </row>
    <row r="51" spans="1:9" s="288" customFormat="1" ht="20.100000000000001" customHeight="1">
      <c r="A51" s="648" t="s">
        <v>387</v>
      </c>
      <c r="B51" s="649"/>
      <c r="C51" s="568">
        <v>-7454628234</v>
      </c>
      <c r="D51" s="281">
        <v>-7324900715</v>
      </c>
      <c r="G51"/>
      <c r="H51"/>
      <c r="I51"/>
    </row>
    <row r="52" spans="1:9" s="288" customFormat="1" ht="20.100000000000001" customHeight="1">
      <c r="A52" s="648" t="s">
        <v>388</v>
      </c>
      <c r="B52" s="649"/>
      <c r="C52" s="281">
        <f>C50+C51</f>
        <v>1758804569</v>
      </c>
      <c r="D52" s="281">
        <f>D50+D51</f>
        <v>1857557124</v>
      </c>
      <c r="G52"/>
      <c r="H52"/>
      <c r="I52"/>
    </row>
    <row r="53" spans="1:9" ht="20.100000000000001" customHeight="1">
      <c r="A53" s="635" t="s">
        <v>835</v>
      </c>
      <c r="B53" s="636"/>
      <c r="C53" s="578"/>
      <c r="D53" s="289"/>
      <c r="G53"/>
      <c r="H53"/>
      <c r="I53"/>
    </row>
    <row r="54" spans="1:9" ht="20.100000000000001" customHeight="1">
      <c r="A54" s="670" t="s">
        <v>389</v>
      </c>
      <c r="B54" s="671"/>
      <c r="C54" s="290">
        <v>239676403</v>
      </c>
      <c r="D54" s="290">
        <v>239676403</v>
      </c>
      <c r="G54"/>
      <c r="H54"/>
      <c r="I54"/>
    </row>
    <row r="55" spans="1:9" ht="20.100000000000001" customHeight="1">
      <c r="A55" s="652" t="s">
        <v>390</v>
      </c>
      <c r="B55" s="653"/>
      <c r="C55" s="575"/>
      <c r="D55" s="290"/>
    </row>
    <row r="56" spans="1:9" ht="20.100000000000001" customHeight="1">
      <c r="A56" s="665" t="s">
        <v>51</v>
      </c>
      <c r="B56" s="666"/>
      <c r="C56" s="579">
        <f>C54</f>
        <v>239676403</v>
      </c>
      <c r="D56" s="291">
        <v>239676403</v>
      </c>
    </row>
    <row r="57" spans="1:9" ht="20.100000000000001" customHeight="1">
      <c r="A57" s="667" t="s">
        <v>391</v>
      </c>
      <c r="B57" s="668"/>
      <c r="C57" s="668"/>
      <c r="D57" s="669"/>
    </row>
    <row r="58" spans="1:9" ht="20.100000000000001" customHeight="1">
      <c r="A58" s="667" t="s">
        <v>862</v>
      </c>
      <c r="B58" s="668"/>
      <c r="C58" s="668"/>
      <c r="D58" s="669"/>
    </row>
    <row r="59" spans="1:9" ht="20.100000000000001" customHeight="1">
      <c r="A59" s="673" t="s">
        <v>836</v>
      </c>
      <c r="B59" s="673"/>
      <c r="C59" s="580">
        <f>SUM(C60:C64)</f>
        <v>152673373</v>
      </c>
      <c r="D59" s="580">
        <v>191562336</v>
      </c>
    </row>
    <row r="60" spans="1:9" ht="20.100000000000001" customHeight="1">
      <c r="A60" s="652" t="s">
        <v>392</v>
      </c>
      <c r="B60" s="653"/>
      <c r="C60" s="569">
        <v>52214286</v>
      </c>
      <c r="D60" s="282"/>
    </row>
    <row r="61" spans="1:9" ht="20.100000000000001" customHeight="1">
      <c r="A61" s="652" t="s">
        <v>393</v>
      </c>
      <c r="B61" s="653"/>
      <c r="C61" s="282">
        <v>100459087</v>
      </c>
      <c r="D61" s="282">
        <v>159297658</v>
      </c>
    </row>
    <row r="62" spans="1:9" ht="20.100000000000001" customHeight="1">
      <c r="A62" s="652" t="s">
        <v>394</v>
      </c>
      <c r="B62" s="653"/>
      <c r="C62" s="282"/>
      <c r="D62" s="282">
        <v>6898280</v>
      </c>
    </row>
    <row r="63" spans="1:9" ht="20.100000000000001" customHeight="1">
      <c r="A63" s="652" t="s">
        <v>395</v>
      </c>
      <c r="B63" s="653"/>
      <c r="D63" s="282">
        <v>10008798</v>
      </c>
      <c r="F63" s="672" t="s">
        <v>396</v>
      </c>
      <c r="G63" s="672"/>
      <c r="H63" s="672"/>
      <c r="I63" s="672"/>
    </row>
    <row r="64" spans="1:9" ht="20.100000000000001" customHeight="1">
      <c r="A64" s="652" t="s">
        <v>397</v>
      </c>
      <c r="B64" s="653"/>
      <c r="C64" s="282"/>
      <c r="D64" s="282">
        <v>15357600</v>
      </c>
      <c r="F64" s="513"/>
      <c r="G64" s="513"/>
      <c r="H64" s="513"/>
      <c r="I64" s="513"/>
    </row>
    <row r="65" spans="1:9" ht="20.100000000000001" customHeight="1">
      <c r="A65" s="639" t="s">
        <v>51</v>
      </c>
      <c r="B65" s="640"/>
      <c r="C65" s="570">
        <f>C59</f>
        <v>152673373</v>
      </c>
      <c r="D65" s="283">
        <v>191562336</v>
      </c>
      <c r="F65" s="672" t="s">
        <v>398</v>
      </c>
      <c r="G65" s="672"/>
      <c r="H65" s="672"/>
      <c r="I65" s="672"/>
    </row>
    <row r="66" spans="1:9" ht="20.100000000000001" customHeight="1">
      <c r="A66" s="641" t="s">
        <v>837</v>
      </c>
      <c r="B66" s="642"/>
      <c r="C66" s="576"/>
      <c r="D66" s="283"/>
      <c r="E66" s="294"/>
      <c r="F66" s="297"/>
      <c r="G66" s="297"/>
      <c r="H66" s="297"/>
      <c r="I66" s="297"/>
    </row>
    <row r="67" spans="1:9" ht="20.100000000000001" customHeight="1">
      <c r="A67" s="652" t="s">
        <v>760</v>
      </c>
      <c r="B67" s="653"/>
      <c r="C67" s="569">
        <v>567088612</v>
      </c>
      <c r="D67" s="283"/>
      <c r="E67" s="294"/>
      <c r="F67" s="297"/>
      <c r="G67" s="297"/>
      <c r="H67" s="297"/>
      <c r="I67" s="297"/>
    </row>
    <row r="68" spans="1:9" ht="20.100000000000001" customHeight="1">
      <c r="A68" s="652" t="s">
        <v>761</v>
      </c>
      <c r="B68" s="653"/>
      <c r="C68" s="569">
        <v>270751560</v>
      </c>
      <c r="D68" s="283"/>
      <c r="E68" s="294"/>
      <c r="F68" s="297"/>
      <c r="G68" s="297"/>
      <c r="H68" s="297"/>
      <c r="I68" s="297"/>
    </row>
    <row r="69" spans="1:9" ht="20.100000000000001" customHeight="1">
      <c r="A69" s="652" t="s">
        <v>762</v>
      </c>
      <c r="B69" s="653"/>
      <c r="C69" s="569">
        <v>165713044</v>
      </c>
      <c r="D69" s="283"/>
      <c r="E69" s="294"/>
      <c r="F69" s="297"/>
      <c r="G69" s="297"/>
      <c r="H69" s="297"/>
      <c r="I69" s="297"/>
    </row>
    <row r="70" spans="1:9" ht="20.100000000000001" customHeight="1">
      <c r="A70" s="652" t="s">
        <v>763</v>
      </c>
      <c r="B70" s="653"/>
      <c r="C70" s="569">
        <v>107250000</v>
      </c>
      <c r="D70" s="283"/>
      <c r="E70" s="294"/>
      <c r="F70" s="297"/>
      <c r="G70" s="297"/>
      <c r="H70" s="297"/>
      <c r="I70" s="297"/>
    </row>
    <row r="71" spans="1:9" ht="20.100000000000001" customHeight="1">
      <c r="A71" s="652" t="s">
        <v>764</v>
      </c>
      <c r="B71" s="653"/>
      <c r="C71" s="569">
        <v>203053632</v>
      </c>
      <c r="D71" s="282">
        <v>203053632</v>
      </c>
      <c r="E71" s="294"/>
      <c r="F71" s="297"/>
      <c r="G71" s="297"/>
      <c r="H71" s="297"/>
      <c r="I71" s="297"/>
    </row>
    <row r="72" spans="1:9" ht="20.100000000000001" customHeight="1">
      <c r="A72" s="652" t="s">
        <v>765</v>
      </c>
      <c r="B72" s="653"/>
      <c r="C72" s="569">
        <f>1334392966-SUM(C67:C71)</f>
        <v>20536118</v>
      </c>
      <c r="D72" s="282">
        <f>223589750-D71</f>
        <v>20536118</v>
      </c>
      <c r="E72" s="294"/>
      <c r="F72" s="297"/>
      <c r="G72" s="297"/>
      <c r="H72" s="297"/>
      <c r="I72" s="297"/>
    </row>
    <row r="73" spans="1:9" ht="20.100000000000001" customHeight="1">
      <c r="A73" s="639" t="s">
        <v>51</v>
      </c>
      <c r="B73" s="640"/>
      <c r="C73" s="576">
        <f>SUM(C67:C72)</f>
        <v>1334392966</v>
      </c>
      <c r="D73" s="576">
        <f>SUM(D67:D72)</f>
        <v>223589750</v>
      </c>
      <c r="E73" s="294"/>
      <c r="F73" s="297"/>
      <c r="G73" s="297"/>
      <c r="H73" s="297"/>
      <c r="I73" s="297"/>
    </row>
    <row r="74" spans="1:9" ht="20.100000000000001" customHeight="1">
      <c r="A74" s="635" t="s">
        <v>838</v>
      </c>
      <c r="B74" s="636"/>
      <c r="C74" s="566"/>
      <c r="D74" s="274"/>
    </row>
    <row r="75" spans="1:9" ht="20.100000000000001" customHeight="1">
      <c r="A75" s="650" t="s">
        <v>400</v>
      </c>
      <c r="B75" s="651"/>
      <c r="C75" s="298">
        <v>493439466</v>
      </c>
      <c r="D75" s="298">
        <v>1123735164</v>
      </c>
    </row>
    <row r="76" spans="1:9" ht="20.100000000000001" customHeight="1">
      <c r="A76" s="650" t="s">
        <v>401</v>
      </c>
      <c r="B76" s="651"/>
      <c r="C76" s="298">
        <v>297005472</v>
      </c>
      <c r="D76" s="298">
        <v>325180627</v>
      </c>
    </row>
    <row r="77" spans="1:9" ht="20.100000000000001" customHeight="1">
      <c r="A77" s="674" t="s">
        <v>402</v>
      </c>
      <c r="B77" s="675"/>
      <c r="C77" s="582"/>
      <c r="D77" s="299">
        <v>325180627</v>
      </c>
    </row>
    <row r="78" spans="1:9" ht="20.100000000000001" customHeight="1">
      <c r="A78" s="674" t="s">
        <v>778</v>
      </c>
      <c r="B78" s="675"/>
      <c r="C78" s="582">
        <f>223704159+73301313</f>
        <v>297005472</v>
      </c>
      <c r="D78" s="299"/>
    </row>
    <row r="79" spans="1:9" ht="20.100000000000001" customHeight="1">
      <c r="A79" s="650" t="s">
        <v>403</v>
      </c>
      <c r="B79" s="651"/>
      <c r="C79" s="567">
        <v>990000</v>
      </c>
      <c r="D79" s="298">
        <v>2654180</v>
      </c>
    </row>
    <row r="80" spans="1:9" ht="20.100000000000001" customHeight="1">
      <c r="A80" s="644" t="s">
        <v>404</v>
      </c>
      <c r="B80" s="645"/>
      <c r="C80" s="570">
        <f>C75+C76+C79</f>
        <v>791434938</v>
      </c>
      <c r="D80" s="300">
        <v>1451569971</v>
      </c>
    </row>
    <row r="81" spans="1:9" ht="20.100000000000001" customHeight="1">
      <c r="A81" s="659" t="s">
        <v>405</v>
      </c>
      <c r="B81" s="660"/>
      <c r="C81" s="566"/>
      <c r="D81" s="301"/>
    </row>
    <row r="82" spans="1:9" ht="20.100000000000001" customHeight="1">
      <c r="A82" s="676" t="s">
        <v>406</v>
      </c>
      <c r="B82" s="677"/>
      <c r="C82" s="282"/>
      <c r="D82" s="282">
        <v>29280458</v>
      </c>
    </row>
    <row r="83" spans="1:9" ht="20.100000000000001" customHeight="1">
      <c r="A83" s="678" t="s">
        <v>51</v>
      </c>
      <c r="B83" s="679"/>
      <c r="C83" s="283">
        <f>C82</f>
        <v>0</v>
      </c>
      <c r="D83" s="283">
        <v>29280458</v>
      </c>
    </row>
    <row r="84" spans="1:9" ht="20.100000000000001" customHeight="1">
      <c r="A84" s="680" t="s">
        <v>407</v>
      </c>
      <c r="B84" s="681"/>
      <c r="C84" s="583"/>
      <c r="D84" s="302"/>
    </row>
    <row r="85" spans="1:9" ht="20.100000000000001" customHeight="1">
      <c r="A85" s="648" t="s">
        <v>408</v>
      </c>
      <c r="B85" s="649"/>
      <c r="C85" s="303"/>
      <c r="D85" s="303">
        <v>29280458</v>
      </c>
    </row>
    <row r="86" spans="1:9" ht="20.100000000000001" customHeight="1">
      <c r="A86" s="685" t="s">
        <v>409</v>
      </c>
      <c r="B86" s="685"/>
      <c r="C86" s="283">
        <f>C85</f>
        <v>0</v>
      </c>
      <c r="D86" s="283">
        <v>29280458</v>
      </c>
      <c r="G86"/>
      <c r="H86"/>
      <c r="I86"/>
    </row>
    <row r="87" spans="1:9" ht="20.100000000000001" customHeight="1">
      <c r="A87" s="634" t="s">
        <v>410</v>
      </c>
      <c r="B87" s="634"/>
      <c r="C87" s="565"/>
      <c r="D87" s="304"/>
      <c r="G87"/>
      <c r="H87"/>
      <c r="I87"/>
    </row>
    <row r="88" spans="1:9" ht="20.100000000000001" customHeight="1">
      <c r="A88" s="683" t="s">
        <v>411</v>
      </c>
      <c r="B88" s="683"/>
      <c r="C88" s="305">
        <v>7299782</v>
      </c>
      <c r="D88" s="305">
        <v>44659642</v>
      </c>
      <c r="G88"/>
      <c r="H88"/>
      <c r="I88"/>
    </row>
    <row r="89" spans="1:9" ht="20.100000000000001" customHeight="1">
      <c r="A89" s="683" t="s">
        <v>412</v>
      </c>
      <c r="B89" s="683"/>
      <c r="C89" s="305">
        <v>96542613</v>
      </c>
      <c r="D89" s="305"/>
      <c r="G89"/>
      <c r="H89"/>
      <c r="I89"/>
    </row>
    <row r="90" spans="1:9" ht="20.100000000000001" customHeight="1">
      <c r="A90" s="683" t="s">
        <v>413</v>
      </c>
      <c r="B90" s="683"/>
      <c r="C90" s="305">
        <v>73737058</v>
      </c>
      <c r="D90" s="305">
        <v>73737058</v>
      </c>
      <c r="F90" s="306"/>
      <c r="G90"/>
      <c r="H90"/>
      <c r="I90"/>
    </row>
    <row r="91" spans="1:9" ht="20.100000000000001" customHeight="1">
      <c r="A91" s="682" t="s">
        <v>414</v>
      </c>
      <c r="B91" s="682"/>
      <c r="C91" s="584"/>
      <c r="D91" s="305">
        <v>35936615</v>
      </c>
      <c r="F91" s="306"/>
      <c r="G91"/>
      <c r="H91"/>
      <c r="I91"/>
    </row>
    <row r="92" spans="1:9" ht="20.100000000000001" customHeight="1">
      <c r="A92" s="683" t="s">
        <v>415</v>
      </c>
      <c r="B92" s="683"/>
      <c r="C92" s="581">
        <f>SUM(C93:C100)</f>
        <v>4073404104</v>
      </c>
      <c r="D92" s="305">
        <v>2792755972</v>
      </c>
      <c r="F92" s="306"/>
      <c r="G92"/>
      <c r="H92"/>
      <c r="I92"/>
    </row>
    <row r="93" spans="1:9" ht="20.100000000000001" customHeight="1">
      <c r="A93" s="684" t="s">
        <v>416</v>
      </c>
      <c r="B93" s="684"/>
      <c r="C93" s="585">
        <v>86797508</v>
      </c>
      <c r="D93" s="307">
        <v>8095129</v>
      </c>
      <c r="F93" s="306"/>
      <c r="G93"/>
      <c r="H93"/>
      <c r="I93"/>
    </row>
    <row r="94" spans="1:9" ht="20.100000000000001" customHeight="1">
      <c r="A94" s="684" t="s">
        <v>417</v>
      </c>
      <c r="B94" s="684"/>
      <c r="C94" s="585">
        <v>1579085304</v>
      </c>
      <c r="D94" s="307">
        <v>1529198950</v>
      </c>
      <c r="F94" s="306"/>
      <c r="G94"/>
      <c r="H94"/>
      <c r="I94"/>
    </row>
    <row r="95" spans="1:9" ht="20.100000000000001" customHeight="1">
      <c r="A95" s="684" t="s">
        <v>418</v>
      </c>
      <c r="B95" s="684"/>
      <c r="C95" s="585">
        <v>158694136</v>
      </c>
      <c r="D95" s="307">
        <v>180194272</v>
      </c>
      <c r="F95" s="306"/>
      <c r="G95"/>
      <c r="H95"/>
      <c r="I95"/>
    </row>
    <row r="96" spans="1:9" ht="20.100000000000001" customHeight="1">
      <c r="A96" s="684" t="s">
        <v>419</v>
      </c>
      <c r="B96" s="684"/>
      <c r="C96" s="585">
        <v>4681717</v>
      </c>
      <c r="D96" s="307">
        <v>16867797</v>
      </c>
      <c r="F96" s="306"/>
      <c r="G96"/>
      <c r="H96"/>
      <c r="I96"/>
    </row>
    <row r="97" spans="1:9" ht="20.100000000000001" customHeight="1">
      <c r="A97" s="667" t="s">
        <v>420</v>
      </c>
      <c r="B97" s="669"/>
      <c r="C97" s="586">
        <v>12912818</v>
      </c>
      <c r="D97" s="307">
        <v>37843019</v>
      </c>
      <c r="F97" s="306"/>
      <c r="G97"/>
      <c r="H97"/>
      <c r="I97"/>
    </row>
    <row r="98" spans="1:9" ht="20.100000000000001" customHeight="1">
      <c r="A98" s="667" t="s">
        <v>421</v>
      </c>
      <c r="B98" s="669"/>
      <c r="C98" s="586">
        <v>728230643</v>
      </c>
      <c r="D98" s="307">
        <v>419104538</v>
      </c>
      <c r="F98" s="306"/>
      <c r="G98"/>
      <c r="H98"/>
      <c r="I98"/>
    </row>
    <row r="99" spans="1:9" ht="20.100000000000001" customHeight="1">
      <c r="A99" s="667" t="s">
        <v>766</v>
      </c>
      <c r="B99" s="669"/>
      <c r="C99" s="586">
        <v>1187096210</v>
      </c>
      <c r="D99" s="307"/>
      <c r="F99" s="306"/>
      <c r="G99"/>
      <c r="H99"/>
      <c r="I99"/>
    </row>
    <row r="100" spans="1:9" ht="20.100000000000001" customHeight="1">
      <c r="A100" s="667" t="s">
        <v>422</v>
      </c>
      <c r="B100" s="669"/>
      <c r="C100" s="305">
        <v>315905768</v>
      </c>
      <c r="D100" s="307">
        <v>601452267</v>
      </c>
      <c r="F100" s="306"/>
      <c r="G100"/>
      <c r="H100"/>
      <c r="I100"/>
    </row>
    <row r="101" spans="1:9" ht="20.100000000000001" customHeight="1">
      <c r="A101" s="652" t="s">
        <v>423</v>
      </c>
      <c r="B101" s="653"/>
      <c r="C101" s="569">
        <f>4521524806-SUM(C88:C91)-C92-990000</f>
        <v>269551249</v>
      </c>
      <c r="D101" s="305">
        <v>172429695</v>
      </c>
      <c r="F101" s="306"/>
      <c r="G101"/>
      <c r="H101"/>
      <c r="I101"/>
    </row>
    <row r="102" spans="1:9" ht="20.100000000000001" customHeight="1">
      <c r="A102" s="644" t="s">
        <v>51</v>
      </c>
      <c r="B102" s="645"/>
      <c r="C102" s="570">
        <f>C101+C92+C91+C90+C89+C88</f>
        <v>4520534806</v>
      </c>
      <c r="D102" s="570">
        <f>D101+D92+D91+D90+D89+D88</f>
        <v>3119518982</v>
      </c>
      <c r="F102" s="284"/>
      <c r="G102"/>
      <c r="H102"/>
      <c r="I102"/>
    </row>
    <row r="103" spans="1:9" s="294" customFormat="1" ht="20.100000000000001" customHeight="1">
      <c r="A103" s="641" t="s">
        <v>839</v>
      </c>
      <c r="B103" s="642"/>
      <c r="C103" s="576"/>
      <c r="D103" s="283"/>
      <c r="F103" s="295"/>
      <c r="G103" s="295"/>
      <c r="H103" s="295"/>
      <c r="I103" s="295"/>
    </row>
    <row r="104" spans="1:9" s="293" customFormat="1" ht="20.100000000000001" customHeight="1">
      <c r="A104" s="652" t="s">
        <v>777</v>
      </c>
      <c r="B104" s="653"/>
      <c r="C104" s="569">
        <v>4939190823</v>
      </c>
      <c r="D104" s="282"/>
      <c r="F104" s="296"/>
      <c r="G104" s="296"/>
      <c r="H104" s="296"/>
      <c r="I104" s="296"/>
    </row>
    <row r="105" spans="1:9" ht="20.100000000000001" customHeight="1">
      <c r="A105" s="639" t="s">
        <v>51</v>
      </c>
      <c r="B105" s="640"/>
      <c r="C105" s="576">
        <f>C104</f>
        <v>4939190823</v>
      </c>
      <c r="D105" s="576"/>
      <c r="E105" s="294"/>
      <c r="F105" s="297"/>
      <c r="G105" s="297"/>
      <c r="H105" s="297"/>
      <c r="I105" s="297"/>
    </row>
    <row r="106" spans="1:9" ht="20.100000000000001" customHeight="1">
      <c r="A106" s="686" t="s">
        <v>831</v>
      </c>
      <c r="B106" s="687"/>
      <c r="C106" s="576"/>
      <c r="D106" s="283"/>
      <c r="F106" s="284"/>
      <c r="G106"/>
      <c r="H106"/>
      <c r="I106"/>
    </row>
    <row r="107" spans="1:9" ht="20.100000000000001" customHeight="1">
      <c r="A107" s="657" t="s">
        <v>424</v>
      </c>
      <c r="B107" s="658"/>
      <c r="C107" s="569"/>
      <c r="D107" s="282"/>
      <c r="F107" s="284"/>
      <c r="G107"/>
      <c r="H107"/>
      <c r="I107"/>
    </row>
    <row r="108" spans="1:9" ht="20.100000000000001" customHeight="1">
      <c r="A108" s="657" t="s">
        <v>425</v>
      </c>
      <c r="B108" s="658"/>
      <c r="C108" s="282"/>
      <c r="D108" s="282">
        <v>179634140</v>
      </c>
      <c r="F108" s="308"/>
      <c r="G108"/>
      <c r="H108"/>
      <c r="I108"/>
    </row>
    <row r="109" spans="1:9" ht="20.100000000000001" customHeight="1">
      <c r="A109" s="657" t="s">
        <v>426</v>
      </c>
      <c r="B109" s="658"/>
      <c r="C109" s="282">
        <v>70018300</v>
      </c>
      <c r="D109" s="282">
        <v>70018300</v>
      </c>
      <c r="F109" s="308"/>
      <c r="G109"/>
      <c r="H109"/>
      <c r="I109"/>
    </row>
    <row r="110" spans="1:9" ht="20.100000000000001" customHeight="1">
      <c r="A110" s="657" t="s">
        <v>427</v>
      </c>
      <c r="B110" s="658"/>
      <c r="C110" s="282">
        <v>56249670</v>
      </c>
      <c r="D110" s="282">
        <v>56249670</v>
      </c>
      <c r="F110" s="308"/>
      <c r="G110"/>
      <c r="H110"/>
      <c r="I110"/>
    </row>
    <row r="111" spans="1:9" ht="20.100000000000001" customHeight="1">
      <c r="A111" s="657" t="s">
        <v>428</v>
      </c>
      <c r="B111" s="658"/>
      <c r="C111" s="282">
        <v>84109044</v>
      </c>
      <c r="D111" s="282">
        <v>84109044</v>
      </c>
      <c r="F111" s="308"/>
      <c r="G111"/>
      <c r="H111"/>
      <c r="I111"/>
    </row>
    <row r="112" spans="1:9" ht="20.100000000000001" customHeight="1">
      <c r="A112" s="657" t="s">
        <v>429</v>
      </c>
      <c r="B112" s="658"/>
      <c r="C112" s="282">
        <v>45554727</v>
      </c>
      <c r="D112" s="282">
        <v>45554727</v>
      </c>
      <c r="F112" s="308"/>
      <c r="G112"/>
      <c r="H112"/>
      <c r="I112"/>
    </row>
    <row r="113" spans="1:9" ht="20.100000000000001" customHeight="1">
      <c r="A113" s="657" t="s">
        <v>430</v>
      </c>
      <c r="B113" s="658"/>
      <c r="C113" s="282">
        <v>238688348</v>
      </c>
      <c r="D113" s="282">
        <v>238688348</v>
      </c>
      <c r="F113" s="308"/>
      <c r="G113"/>
      <c r="H113"/>
      <c r="I113"/>
    </row>
    <row r="114" spans="1:9" ht="20.100000000000001" customHeight="1">
      <c r="A114" s="688" t="s">
        <v>431</v>
      </c>
      <c r="B114" s="689"/>
      <c r="C114" s="281">
        <v>109562746</v>
      </c>
      <c r="D114" s="281">
        <v>109562746</v>
      </c>
      <c r="F114" s="308"/>
      <c r="G114"/>
      <c r="H114"/>
      <c r="I114"/>
    </row>
    <row r="115" spans="1:9" ht="20.100000000000001" customHeight="1">
      <c r="A115" s="657" t="s">
        <v>432</v>
      </c>
      <c r="B115" s="658"/>
      <c r="C115" s="282">
        <v>152363966</v>
      </c>
      <c r="D115" s="282">
        <v>152363966</v>
      </c>
      <c r="F115" s="308"/>
      <c r="G115"/>
      <c r="H115"/>
      <c r="I115"/>
    </row>
    <row r="116" spans="1:9" ht="20.100000000000001" customHeight="1">
      <c r="A116" s="657" t="s">
        <v>433</v>
      </c>
      <c r="B116" s="658"/>
      <c r="C116" s="282">
        <v>88481654</v>
      </c>
      <c r="D116" s="282">
        <v>88481654</v>
      </c>
      <c r="F116" s="308"/>
      <c r="G116"/>
      <c r="H116"/>
      <c r="I116"/>
    </row>
    <row r="117" spans="1:9" ht="20.100000000000001" customHeight="1">
      <c r="A117" s="657" t="s">
        <v>434</v>
      </c>
      <c r="B117" s="658"/>
      <c r="C117" s="282">
        <v>27384767</v>
      </c>
      <c r="D117" s="282">
        <v>27384767</v>
      </c>
      <c r="F117" s="308"/>
      <c r="G117"/>
      <c r="H117"/>
      <c r="I117"/>
    </row>
    <row r="118" spans="1:9" ht="20.100000000000001" customHeight="1">
      <c r="A118" s="693" t="s">
        <v>435</v>
      </c>
      <c r="B118" s="693"/>
      <c r="C118" s="282">
        <v>44679714</v>
      </c>
      <c r="D118" s="282">
        <v>44679714</v>
      </c>
      <c r="F118" s="308"/>
      <c r="G118"/>
      <c r="H118"/>
      <c r="I118"/>
    </row>
    <row r="119" spans="1:9" ht="20.100000000000001" customHeight="1">
      <c r="A119" s="693" t="s">
        <v>436</v>
      </c>
      <c r="B119" s="693"/>
      <c r="C119" s="282">
        <v>65420949</v>
      </c>
      <c r="D119" s="282">
        <v>65420949</v>
      </c>
      <c r="F119" s="308"/>
      <c r="G119"/>
      <c r="H119"/>
      <c r="I119"/>
    </row>
    <row r="120" spans="1:9" ht="20.100000000000001" customHeight="1">
      <c r="A120" s="657" t="s">
        <v>437</v>
      </c>
      <c r="B120" s="658"/>
      <c r="C120" s="282">
        <v>46787219</v>
      </c>
      <c r="D120" s="282">
        <v>46787219</v>
      </c>
      <c r="F120" s="308"/>
      <c r="G120"/>
      <c r="H120"/>
      <c r="I120"/>
    </row>
    <row r="121" spans="1:9" ht="20.100000000000001" customHeight="1">
      <c r="A121" s="693" t="s">
        <v>438</v>
      </c>
      <c r="B121" s="693"/>
      <c r="C121" s="282">
        <v>15507947</v>
      </c>
      <c r="D121" s="282">
        <v>15507947</v>
      </c>
      <c r="F121" s="309"/>
      <c r="G121"/>
      <c r="H121"/>
      <c r="I121"/>
    </row>
    <row r="122" spans="1:9" s="288" customFormat="1" ht="20.100000000000001" customHeight="1">
      <c r="A122" s="690" t="s">
        <v>51</v>
      </c>
      <c r="B122" s="690"/>
      <c r="C122" s="283">
        <f>SUM(C108:C121)</f>
        <v>1044809051</v>
      </c>
      <c r="D122" s="283">
        <f>SUM(D108:D121)</f>
        <v>1224443191</v>
      </c>
      <c r="E122" s="268"/>
      <c r="F122" s="284"/>
      <c r="G122"/>
      <c r="H122"/>
      <c r="I122"/>
    </row>
    <row r="123" spans="1:9" s="287" customFormat="1" ht="20.100000000000001" customHeight="1">
      <c r="A123" s="691" t="s">
        <v>840</v>
      </c>
      <c r="B123" s="691"/>
      <c r="C123" s="565"/>
      <c r="D123" s="285"/>
      <c r="E123" s="288"/>
      <c r="F123" s="288"/>
      <c r="G123"/>
      <c r="H123"/>
      <c r="I123"/>
    </row>
    <row r="124" spans="1:9" s="287" customFormat="1" ht="20.100000000000001" customHeight="1">
      <c r="A124" s="692" t="s">
        <v>439</v>
      </c>
      <c r="B124" s="692"/>
      <c r="C124" s="587"/>
      <c r="D124" s="285"/>
      <c r="G124"/>
      <c r="H124"/>
      <c r="I124"/>
    </row>
    <row r="125" spans="1:9" s="288" customFormat="1" ht="20.100000000000001" customHeight="1">
      <c r="A125" s="692" t="s">
        <v>440</v>
      </c>
      <c r="B125" s="692"/>
      <c r="C125" s="587"/>
      <c r="D125" s="310"/>
      <c r="E125" s="287"/>
      <c r="F125" s="287"/>
      <c r="G125"/>
      <c r="H125"/>
      <c r="I125"/>
    </row>
    <row r="126" spans="1:9" s="288" customFormat="1" ht="20.100000000000001" customHeight="1">
      <c r="A126" s="698" t="s">
        <v>441</v>
      </c>
      <c r="B126" s="698"/>
      <c r="C126" s="275">
        <v>6985720000</v>
      </c>
      <c r="D126" s="275">
        <v>6985720000</v>
      </c>
      <c r="G126"/>
      <c r="H126"/>
      <c r="I126"/>
    </row>
    <row r="127" spans="1:9" s="287" customFormat="1" ht="20.100000000000001" customHeight="1">
      <c r="A127" s="698" t="s">
        <v>442</v>
      </c>
      <c r="B127" s="698"/>
      <c r="C127" s="275">
        <v>6211380000</v>
      </c>
      <c r="D127" s="275">
        <v>6211380000</v>
      </c>
      <c r="E127" s="288"/>
      <c r="F127" s="288"/>
      <c r="G127"/>
      <c r="H127"/>
      <c r="I127"/>
    </row>
    <row r="128" spans="1:9" s="288" customFormat="1" ht="20.100000000000001" customHeight="1">
      <c r="A128" s="699" t="s">
        <v>51</v>
      </c>
      <c r="B128" s="699"/>
      <c r="C128" s="588">
        <v>13197100000</v>
      </c>
      <c r="D128" s="276">
        <v>13197100000</v>
      </c>
      <c r="E128" s="287"/>
      <c r="F128" s="287"/>
      <c r="G128"/>
      <c r="H128"/>
      <c r="I128"/>
    </row>
    <row r="129" spans="1:9" s="288" customFormat="1" ht="20.100000000000001" customHeight="1">
      <c r="A129" s="659" t="s">
        <v>443</v>
      </c>
      <c r="B129" s="660"/>
      <c r="C129" s="566"/>
      <c r="D129" s="301"/>
      <c r="G129"/>
      <c r="H129"/>
      <c r="I129"/>
    </row>
    <row r="130" spans="1:9" s="288" customFormat="1" ht="20.100000000000001" customHeight="1">
      <c r="A130" s="694" t="s">
        <v>444</v>
      </c>
      <c r="B130" s="695"/>
      <c r="C130" s="275">
        <v>1319710</v>
      </c>
      <c r="D130" s="275">
        <v>1319710</v>
      </c>
      <c r="G130"/>
      <c r="H130"/>
      <c r="I130"/>
    </row>
    <row r="131" spans="1:9" s="288" customFormat="1" ht="20.100000000000001" customHeight="1">
      <c r="A131" s="694" t="s">
        <v>445</v>
      </c>
      <c r="B131" s="695"/>
      <c r="C131" s="275">
        <v>1319710</v>
      </c>
      <c r="D131" s="275">
        <v>1319710</v>
      </c>
      <c r="G131"/>
      <c r="H131"/>
      <c r="I131"/>
    </row>
    <row r="132" spans="1:9" ht="20.100000000000001" customHeight="1">
      <c r="A132" s="694" t="s">
        <v>446</v>
      </c>
      <c r="B132" s="695"/>
      <c r="C132" s="275">
        <v>1319710</v>
      </c>
      <c r="D132" s="275">
        <v>1319710</v>
      </c>
      <c r="E132" s="288"/>
      <c r="F132" s="288"/>
      <c r="G132"/>
      <c r="H132"/>
      <c r="I132"/>
    </row>
    <row r="133" spans="1:9" ht="20.100000000000001" customHeight="1">
      <c r="A133" s="694" t="s">
        <v>447</v>
      </c>
      <c r="B133" s="695"/>
      <c r="C133" s="275">
        <v>1319710</v>
      </c>
      <c r="D133" s="275">
        <v>1319710</v>
      </c>
      <c r="G133"/>
      <c r="H133"/>
      <c r="I133"/>
    </row>
    <row r="134" spans="1:9" ht="20.100000000000001" customHeight="1">
      <c r="A134" s="694" t="s">
        <v>446</v>
      </c>
      <c r="B134" s="695"/>
      <c r="C134" s="275">
        <v>1319710</v>
      </c>
      <c r="D134" s="275">
        <v>1319710</v>
      </c>
      <c r="G134"/>
      <c r="H134"/>
      <c r="I134"/>
    </row>
    <row r="135" spans="1:9" ht="20.100000000000001" customHeight="1">
      <c r="A135" s="667" t="s">
        <v>448</v>
      </c>
      <c r="B135" s="669"/>
      <c r="C135" s="589"/>
      <c r="D135" s="590"/>
      <c r="G135"/>
      <c r="H135"/>
      <c r="I135"/>
    </row>
    <row r="136" spans="1:9" ht="20.100000000000001" customHeight="1">
      <c r="A136" s="702" t="s">
        <v>449</v>
      </c>
      <c r="B136" s="703"/>
      <c r="C136" s="591"/>
      <c r="D136" s="289"/>
      <c r="G136"/>
      <c r="H136"/>
      <c r="I136"/>
    </row>
    <row r="137" spans="1:9" ht="20.100000000000001" customHeight="1">
      <c r="A137" s="694" t="s">
        <v>450</v>
      </c>
      <c r="B137" s="695"/>
      <c r="C137" s="592">
        <v>2018696693</v>
      </c>
      <c r="D137" s="311">
        <v>1854354860</v>
      </c>
      <c r="G137"/>
      <c r="H137"/>
      <c r="I137"/>
    </row>
    <row r="138" spans="1:9" ht="20.100000000000001" customHeight="1">
      <c r="A138" s="652" t="s">
        <v>451</v>
      </c>
      <c r="B138" s="653"/>
      <c r="C138" s="569"/>
      <c r="D138" s="311"/>
      <c r="E138"/>
      <c r="F138"/>
      <c r="G138"/>
      <c r="H138"/>
      <c r="I138"/>
    </row>
    <row r="139" spans="1:9" ht="20.100000000000001" customHeight="1">
      <c r="A139" s="696" t="s">
        <v>51</v>
      </c>
      <c r="B139" s="697"/>
      <c r="C139" s="312">
        <v>2018696693</v>
      </c>
      <c r="D139" s="312">
        <v>1854354860</v>
      </c>
      <c r="E139"/>
      <c r="F139"/>
      <c r="G139"/>
      <c r="H139"/>
      <c r="I139"/>
    </row>
    <row r="140" spans="1:9" ht="15.75">
      <c r="A140" s="313"/>
      <c r="B140" s="700" t="s">
        <v>779</v>
      </c>
      <c r="C140" s="700"/>
      <c r="D140" s="700"/>
      <c r="E140"/>
      <c r="F140"/>
      <c r="G140"/>
      <c r="H140"/>
      <c r="I140"/>
    </row>
    <row r="141" spans="1:9" ht="16.5">
      <c r="A141" s="314" t="s">
        <v>38</v>
      </c>
      <c r="B141" s="315"/>
      <c r="C141" s="701" t="s">
        <v>39</v>
      </c>
      <c r="D141" s="701"/>
      <c r="E141"/>
      <c r="F141"/>
      <c r="G141"/>
      <c r="H141"/>
      <c r="I141"/>
    </row>
    <row r="142" spans="1:9" ht="16.5">
      <c r="A142" s="315"/>
      <c r="B142" s="315"/>
      <c r="C142" s="593"/>
      <c r="D142" s="360"/>
      <c r="E142"/>
      <c r="F142"/>
      <c r="G142"/>
      <c r="H142"/>
      <c r="I142"/>
    </row>
    <row r="143" spans="1:9" ht="16.5">
      <c r="A143" s="315"/>
      <c r="B143" s="315"/>
      <c r="C143" s="593"/>
      <c r="D143" s="360"/>
      <c r="E143"/>
      <c r="F143"/>
      <c r="G143"/>
      <c r="H143"/>
      <c r="I143"/>
    </row>
    <row r="144" spans="1:9" ht="16.5">
      <c r="A144" s="315"/>
      <c r="B144" s="315"/>
      <c r="C144" s="593"/>
      <c r="D144" s="360"/>
      <c r="E144"/>
      <c r="F144"/>
      <c r="G144"/>
      <c r="H144"/>
      <c r="I144"/>
    </row>
    <row r="145" spans="1:9" ht="16.5">
      <c r="A145" s="315"/>
      <c r="B145" s="315"/>
      <c r="C145" s="593"/>
      <c r="D145" s="360"/>
      <c r="E145"/>
      <c r="F145"/>
      <c r="G145"/>
      <c r="H145"/>
      <c r="I145"/>
    </row>
    <row r="146" spans="1:9" ht="16.5">
      <c r="A146" s="316" t="s">
        <v>452</v>
      </c>
      <c r="B146" s="315"/>
      <c r="C146" s="593"/>
      <c r="D146" s="360"/>
      <c r="E146"/>
      <c r="F146"/>
      <c r="G146"/>
      <c r="H146"/>
      <c r="I146"/>
    </row>
  </sheetData>
  <mergeCells count="137">
    <mergeCell ref="B140:D140"/>
    <mergeCell ref="C141:D141"/>
    <mergeCell ref="A133:B133"/>
    <mergeCell ref="A134:B134"/>
    <mergeCell ref="A135:B135"/>
    <mergeCell ref="A136:B136"/>
    <mergeCell ref="A137:B137"/>
    <mergeCell ref="A138:B138"/>
    <mergeCell ref="A130:B130"/>
    <mergeCell ref="A131:B131"/>
    <mergeCell ref="A132:B132"/>
    <mergeCell ref="A139:B139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98:B98"/>
    <mergeCell ref="A100:B100"/>
    <mergeCell ref="A101:B101"/>
    <mergeCell ref="A102:B102"/>
    <mergeCell ref="A99:B99"/>
    <mergeCell ref="A105:B105"/>
    <mergeCell ref="A94:B94"/>
    <mergeCell ref="A95:B95"/>
    <mergeCell ref="A96:B96"/>
    <mergeCell ref="A97:B97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73:B73"/>
    <mergeCell ref="A72:B72"/>
    <mergeCell ref="A78:B78"/>
    <mergeCell ref="A79:B79"/>
    <mergeCell ref="A74:B74"/>
    <mergeCell ref="A75:B75"/>
    <mergeCell ref="A76:B76"/>
    <mergeCell ref="A77:B77"/>
    <mergeCell ref="A80:B80"/>
    <mergeCell ref="A81:B81"/>
    <mergeCell ref="A82:B82"/>
    <mergeCell ref="A83:B83"/>
    <mergeCell ref="A84:B84"/>
    <mergeCell ref="A103:B103"/>
    <mergeCell ref="A45:B45"/>
    <mergeCell ref="A46:B46"/>
    <mergeCell ref="A104:B104"/>
    <mergeCell ref="A66:B66"/>
    <mergeCell ref="A67:B67"/>
    <mergeCell ref="A68:B68"/>
    <mergeCell ref="A69:B69"/>
    <mergeCell ref="A70:B70"/>
    <mergeCell ref="A71:B71"/>
    <mergeCell ref="A63:B63"/>
    <mergeCell ref="F63:I63"/>
    <mergeCell ref="A64:B64"/>
    <mergeCell ref="A65:B65"/>
    <mergeCell ref="F65:I65"/>
    <mergeCell ref="A59:B59"/>
    <mergeCell ref="A60:B60"/>
    <mergeCell ref="A61:B61"/>
    <mergeCell ref="A62:B62"/>
    <mergeCell ref="A55:B55"/>
    <mergeCell ref="A56:B56"/>
    <mergeCell ref="A57:D57"/>
    <mergeCell ref="A58:D58"/>
    <mergeCell ref="A51:B51"/>
    <mergeCell ref="A52:B52"/>
    <mergeCell ref="A53:B53"/>
    <mergeCell ref="A54:B54"/>
    <mergeCell ref="A42:B42"/>
    <mergeCell ref="A48:B48"/>
    <mergeCell ref="A49:B49"/>
    <mergeCell ref="A50:B50"/>
    <mergeCell ref="A43:B43"/>
    <mergeCell ref="A44:B44"/>
    <mergeCell ref="A47:B47"/>
    <mergeCell ref="A38:B38"/>
    <mergeCell ref="A39:B39"/>
    <mergeCell ref="A40:B40"/>
    <mergeCell ref="A41:B41"/>
    <mergeCell ref="A36:B36"/>
    <mergeCell ref="A33:B33"/>
    <mergeCell ref="A34:B34"/>
    <mergeCell ref="A37:B37"/>
    <mergeCell ref="A31:B31"/>
    <mergeCell ref="A32:B32"/>
    <mergeCell ref="A35:B35"/>
    <mergeCell ref="A24:B24"/>
    <mergeCell ref="A25:B25"/>
    <mergeCell ref="A28:B28"/>
    <mergeCell ref="A29:B29"/>
    <mergeCell ref="A19:B19"/>
    <mergeCell ref="A20:B20"/>
    <mergeCell ref="A21:B21"/>
    <mergeCell ref="A23:B23"/>
    <mergeCell ref="A15:B15"/>
    <mergeCell ref="A16:B16"/>
    <mergeCell ref="A17:B17"/>
    <mergeCell ref="A18:B18"/>
    <mergeCell ref="A13:B13"/>
    <mergeCell ref="A14:B14"/>
    <mergeCell ref="A7:B7"/>
    <mergeCell ref="A8:B8"/>
    <mergeCell ref="A9:B9"/>
    <mergeCell ref="A10:B10"/>
    <mergeCell ref="A3:B3"/>
    <mergeCell ref="A4:B4"/>
    <mergeCell ref="A5:B5"/>
    <mergeCell ref="A6:B6"/>
    <mergeCell ref="A11:B11"/>
    <mergeCell ref="A12:B12"/>
  </mergeCells>
  <phoneticPr fontId="18" type="noConversion"/>
  <pageMargins left="0.72" right="0.25" top="0.23" bottom="0.32" header="0.2" footer="0.33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E12" sqref="E12"/>
    </sheetView>
  </sheetViews>
  <sheetFormatPr defaultRowHeight="12.75"/>
  <cols>
    <col min="2" max="2" width="37.85546875" customWidth="1"/>
    <col min="3" max="3" width="12.85546875" customWidth="1"/>
    <col min="4" max="4" width="13.7109375" customWidth="1"/>
    <col min="5" max="5" width="13.5703125" customWidth="1"/>
    <col min="6" max="6" width="15.140625" customWidth="1"/>
    <col min="8" max="8" width="16.42578125" customWidth="1"/>
    <col min="9" max="9" width="14" bestFit="1" customWidth="1"/>
    <col min="10" max="10" width="13.28515625" customWidth="1"/>
  </cols>
  <sheetData>
    <row r="1" spans="1:6" s="319" customFormat="1" ht="20.25" customHeight="1">
      <c r="A1" s="317" t="s">
        <v>453</v>
      </c>
      <c r="B1" s="318"/>
      <c r="C1" s="318"/>
      <c r="D1" s="318"/>
      <c r="E1" s="318"/>
    </row>
    <row r="2" spans="1:6" s="319" customFormat="1" ht="15.75" customHeight="1">
      <c r="A2" s="715" t="s">
        <v>455</v>
      </c>
      <c r="B2" s="716"/>
      <c r="C2" s="714" t="s">
        <v>324</v>
      </c>
      <c r="D2" s="714"/>
      <c r="E2" s="610" t="s">
        <v>454</v>
      </c>
      <c r="F2" s="610"/>
    </row>
    <row r="3" spans="1:6" s="319" customFormat="1" ht="13.5" customHeight="1">
      <c r="A3" s="717"/>
      <c r="B3" s="718"/>
      <c r="C3" s="714"/>
      <c r="D3" s="714"/>
      <c r="E3" s="609" t="s">
        <v>326</v>
      </c>
      <c r="F3" s="609"/>
    </row>
    <row r="4" spans="1:6" s="319" customFormat="1" ht="14.25" customHeight="1">
      <c r="A4" s="719"/>
      <c r="B4" s="720"/>
      <c r="C4" s="320" t="s">
        <v>538</v>
      </c>
      <c r="D4" s="320" t="s">
        <v>328</v>
      </c>
      <c r="E4" s="320" t="s">
        <v>538</v>
      </c>
      <c r="F4" s="321" t="s">
        <v>328</v>
      </c>
    </row>
    <row r="5" spans="1:6" s="325" customFormat="1" ht="21.95" customHeight="1">
      <c r="A5" s="712" t="s">
        <v>456</v>
      </c>
      <c r="B5" s="712"/>
      <c r="C5" s="322"/>
      <c r="D5" s="323"/>
      <c r="E5" s="323"/>
      <c r="F5" s="324"/>
    </row>
    <row r="6" spans="1:6" s="325" customFormat="1" ht="21.95" customHeight="1">
      <c r="A6" s="713" t="s">
        <v>457</v>
      </c>
      <c r="B6" s="713"/>
      <c r="C6" s="327">
        <f>SUM(C7:C10)</f>
        <v>9556152822</v>
      </c>
      <c r="D6" s="327">
        <f>SUM(D7:D10)</f>
        <v>10227794187</v>
      </c>
      <c r="E6" s="327">
        <f>SUM(E7:E10)</f>
        <v>22314889752</v>
      </c>
      <c r="F6" s="327">
        <f>SUM(F7:F10)</f>
        <v>17288367446</v>
      </c>
    </row>
    <row r="7" spans="1:6" s="325" customFormat="1" ht="21.95" customHeight="1">
      <c r="A7" s="727" t="s">
        <v>458</v>
      </c>
      <c r="B7" s="727"/>
      <c r="C7" s="328"/>
      <c r="D7" s="329"/>
      <c r="E7" s="329"/>
      <c r="F7" s="330"/>
    </row>
    <row r="8" spans="1:6" s="325" customFormat="1" ht="21.95" customHeight="1">
      <c r="A8" s="728" t="s">
        <v>459</v>
      </c>
      <c r="B8" s="729"/>
      <c r="C8" s="336">
        <v>6448554624</v>
      </c>
      <c r="D8" s="332">
        <v>6676148796</v>
      </c>
      <c r="E8" s="332">
        <v>13014377187</v>
      </c>
      <c r="F8" s="332">
        <v>10758379724</v>
      </c>
    </row>
    <row r="9" spans="1:6" s="325" customFormat="1" ht="21.95" customHeight="1">
      <c r="A9" s="728" t="s">
        <v>460</v>
      </c>
      <c r="B9" s="729"/>
      <c r="C9" s="336">
        <v>3027931246</v>
      </c>
      <c r="D9" s="332">
        <v>3411741721</v>
      </c>
      <c r="E9" s="332">
        <v>9048852809</v>
      </c>
      <c r="F9" s="332">
        <v>6140708419</v>
      </c>
    </row>
    <row r="10" spans="1:6" s="325" customFormat="1" ht="21.95" customHeight="1">
      <c r="A10" s="728" t="s">
        <v>461</v>
      </c>
      <c r="B10" s="729"/>
      <c r="C10" s="336">
        <v>79666952</v>
      </c>
      <c r="D10" s="332">
        <v>139903670</v>
      </c>
      <c r="E10" s="332">
        <v>251659756</v>
      </c>
      <c r="F10" s="333">
        <v>389279303</v>
      </c>
    </row>
    <row r="11" spans="1:6" s="335" customFormat="1" ht="21.95" customHeight="1">
      <c r="A11" s="706" t="s">
        <v>51</v>
      </c>
      <c r="B11" s="707"/>
      <c r="C11" s="334">
        <f>SUM(C8:C10)</f>
        <v>9556152822</v>
      </c>
      <c r="D11" s="334">
        <f>SUM(D8:D10)</f>
        <v>10227794187</v>
      </c>
      <c r="E11" s="334">
        <f>SUM(E8:E10)</f>
        <v>22314889752</v>
      </c>
      <c r="F11" s="334">
        <f>SUM(F8:F10)</f>
        <v>17288367446</v>
      </c>
    </row>
    <row r="12" spans="1:6" s="335" customFormat="1" ht="21.95" customHeight="1">
      <c r="A12" s="723" t="s">
        <v>462</v>
      </c>
      <c r="B12" s="724"/>
      <c r="C12" s="506">
        <f>C13</f>
        <v>7854546</v>
      </c>
      <c r="D12" s="506">
        <f>D13</f>
        <v>27927273</v>
      </c>
      <c r="E12" s="334">
        <v>7854546</v>
      </c>
      <c r="F12" s="334">
        <f>SUM(F13)</f>
        <v>104470916</v>
      </c>
    </row>
    <row r="13" spans="1:6" s="335" customFormat="1" ht="21.95" customHeight="1">
      <c r="A13" s="721" t="s">
        <v>463</v>
      </c>
      <c r="B13" s="722"/>
      <c r="C13" s="334">
        <v>7854546</v>
      </c>
      <c r="D13" s="334">
        <v>27927273</v>
      </c>
      <c r="E13" s="334">
        <v>7854546</v>
      </c>
      <c r="F13" s="336">
        <v>104470916</v>
      </c>
    </row>
    <row r="14" spans="1:6" s="335" customFormat="1" ht="21.95" customHeight="1">
      <c r="A14" s="723" t="s">
        <v>464</v>
      </c>
      <c r="B14" s="724"/>
      <c r="C14" s="334">
        <f>SUM(C15:C17)</f>
        <v>9548298276</v>
      </c>
      <c r="D14" s="334">
        <f>SUM(D15:D17)</f>
        <v>10199866914</v>
      </c>
      <c r="E14" s="334">
        <f>E11-E12</f>
        <v>22307035206</v>
      </c>
      <c r="F14" s="334">
        <f>SUM(F15:F17)</f>
        <v>17183896530</v>
      </c>
    </row>
    <row r="15" spans="1:6" s="335" customFormat="1" ht="21.95" customHeight="1">
      <c r="A15" s="725" t="s">
        <v>459</v>
      </c>
      <c r="B15" s="726"/>
      <c r="C15" s="336">
        <f>C8-C12</f>
        <v>6440700078</v>
      </c>
      <c r="D15" s="336">
        <f>D8</f>
        <v>6676148796</v>
      </c>
      <c r="E15" s="336">
        <f>E8-E12</f>
        <v>13006522641</v>
      </c>
      <c r="F15" s="336">
        <f>F8</f>
        <v>10758379724</v>
      </c>
    </row>
    <row r="16" spans="1:6" s="335" customFormat="1" ht="21.95" customHeight="1">
      <c r="A16" s="725" t="s">
        <v>460</v>
      </c>
      <c r="B16" s="726"/>
      <c r="C16" s="336">
        <v>3027931246</v>
      </c>
      <c r="D16" s="336">
        <f>D9-D13</f>
        <v>3383814448</v>
      </c>
      <c r="E16" s="336">
        <f>E9-E13</f>
        <v>9040998263</v>
      </c>
      <c r="F16" s="336">
        <f>F9-F13</f>
        <v>6036237503</v>
      </c>
    </row>
    <row r="17" spans="1:6" s="335" customFormat="1" ht="21.95" customHeight="1">
      <c r="A17" s="725" t="s">
        <v>461</v>
      </c>
      <c r="B17" s="726"/>
      <c r="C17" s="336">
        <v>79666952</v>
      </c>
      <c r="D17" s="336">
        <f>D10</f>
        <v>139903670</v>
      </c>
      <c r="E17" s="332">
        <v>251659756</v>
      </c>
      <c r="F17" s="336">
        <f>F10</f>
        <v>389279303</v>
      </c>
    </row>
    <row r="18" spans="1:6" s="325" customFormat="1" ht="21.95" customHeight="1">
      <c r="A18" s="713" t="s">
        <v>465</v>
      </c>
      <c r="B18" s="713"/>
      <c r="C18" s="326"/>
      <c r="D18" s="337"/>
      <c r="E18" s="337"/>
      <c r="F18" s="337"/>
    </row>
    <row r="19" spans="1:6" s="325" customFormat="1" ht="21.95" customHeight="1">
      <c r="A19" s="727" t="s">
        <v>458</v>
      </c>
      <c r="B19" s="727"/>
      <c r="C19" s="328"/>
      <c r="D19" s="338"/>
      <c r="E19" s="338"/>
      <c r="F19" s="330"/>
    </row>
    <row r="20" spans="1:6" s="325" customFormat="1" ht="21.95" customHeight="1">
      <c r="A20" s="728" t="s">
        <v>466</v>
      </c>
      <c r="B20" s="729"/>
      <c r="C20" s="332">
        <v>5125739720</v>
      </c>
      <c r="D20" s="332">
        <v>5357211789</v>
      </c>
      <c r="E20" s="332">
        <v>10771994012</v>
      </c>
      <c r="F20" s="332">
        <v>8018373117</v>
      </c>
    </row>
    <row r="21" spans="1:6" s="325" customFormat="1" ht="21.95" customHeight="1">
      <c r="A21" s="728" t="s">
        <v>467</v>
      </c>
      <c r="B21" s="729"/>
      <c r="C21" s="332">
        <f>2220450964-5613192</f>
        <v>2214837772</v>
      </c>
      <c r="D21" s="332">
        <v>2460283217</v>
      </c>
      <c r="E21" s="332">
        <f>6381777371-5613192</f>
        <v>6376164179</v>
      </c>
      <c r="F21" s="332">
        <f>4344547736-70304520</f>
        <v>4274243216</v>
      </c>
    </row>
    <row r="22" spans="1:6" s="325" customFormat="1" ht="21.95" customHeight="1">
      <c r="A22" s="728" t="s">
        <v>468</v>
      </c>
      <c r="B22" s="729"/>
      <c r="C22" s="332">
        <v>203202953</v>
      </c>
      <c r="D22" s="332">
        <v>250919509</v>
      </c>
      <c r="E22" s="332">
        <v>362447369</v>
      </c>
      <c r="F22" s="331">
        <v>518603230</v>
      </c>
    </row>
    <row r="23" spans="1:6" s="325" customFormat="1" ht="21.95" customHeight="1">
      <c r="A23" s="730" t="s">
        <v>469</v>
      </c>
      <c r="B23" s="730"/>
      <c r="C23" s="334">
        <f>SUM(C20:C22)</f>
        <v>7543780445</v>
      </c>
      <c r="D23" s="334">
        <f>SUM(D20:D22)</f>
        <v>8068414515</v>
      </c>
      <c r="E23" s="334">
        <f>SUM(E20:E22)</f>
        <v>17510605560</v>
      </c>
      <c r="F23" s="334">
        <f>SUM(F20:F22)</f>
        <v>12811219563</v>
      </c>
    </row>
    <row r="24" spans="1:6" s="325" customFormat="1" ht="21.95" customHeight="1">
      <c r="A24" s="713" t="s">
        <v>470</v>
      </c>
      <c r="B24" s="713"/>
      <c r="C24" s="500">
        <f>C25</f>
        <v>17609375</v>
      </c>
      <c r="D24" s="339">
        <f>SUM(D25:D26)</f>
        <v>99433385</v>
      </c>
      <c r="E24" s="339">
        <f>SUM(E25:E26)</f>
        <v>117793714</v>
      </c>
      <c r="F24" s="561">
        <f>SUM(F25:F27)</f>
        <v>360657240</v>
      </c>
    </row>
    <row r="25" spans="1:6" s="325" customFormat="1" ht="21.95" customHeight="1">
      <c r="A25" s="731" t="s">
        <v>471</v>
      </c>
      <c r="B25" s="731"/>
      <c r="C25" s="501">
        <v>17609375</v>
      </c>
      <c r="D25" s="332">
        <v>33168449</v>
      </c>
      <c r="E25" s="332">
        <v>117793714</v>
      </c>
      <c r="F25" s="331">
        <v>143226304</v>
      </c>
    </row>
    <row r="26" spans="1:6" s="325" customFormat="1" ht="21.95" customHeight="1">
      <c r="A26" s="732" t="s">
        <v>472</v>
      </c>
      <c r="B26" s="733"/>
      <c r="C26" s="340"/>
      <c r="D26" s="332">
        <v>66264936</v>
      </c>
      <c r="E26" s="332"/>
      <c r="F26" s="331">
        <v>66264936</v>
      </c>
    </row>
    <row r="27" spans="1:6" s="325" customFormat="1" ht="21.95" customHeight="1">
      <c r="A27" s="732" t="s">
        <v>473</v>
      </c>
      <c r="B27" s="733"/>
      <c r="C27" s="340"/>
      <c r="D27" s="332"/>
      <c r="E27" s="332"/>
      <c r="F27" s="331">
        <v>151166000</v>
      </c>
    </row>
    <row r="28" spans="1:6" s="325" customFormat="1" ht="21.95" customHeight="1">
      <c r="A28" s="734" t="s">
        <v>474</v>
      </c>
      <c r="B28" s="735"/>
      <c r="C28" s="502">
        <f>C24</f>
        <v>17609375</v>
      </c>
      <c r="D28" s="334">
        <f>SUM(D25:D26)</f>
        <v>99433385</v>
      </c>
      <c r="E28" s="334">
        <f>SUM(E25:E26)</f>
        <v>117793714</v>
      </c>
      <c r="F28" s="334">
        <f>SUM(F25:F26)</f>
        <v>209491240</v>
      </c>
    </row>
    <row r="29" spans="1:6" s="325" customFormat="1" ht="21.95" customHeight="1">
      <c r="A29" s="713" t="s">
        <v>475</v>
      </c>
      <c r="B29" s="713"/>
      <c r="C29" s="342">
        <f>SUM(C30:C33)</f>
        <v>174805260</v>
      </c>
      <c r="D29" s="342">
        <f>SUM(D30:D33)</f>
        <v>69490172</v>
      </c>
      <c r="E29" s="342">
        <f>SUM(E30:E33)</f>
        <v>198672339</v>
      </c>
      <c r="F29" s="342">
        <f>SUM(F30:F33)</f>
        <v>-299710575</v>
      </c>
    </row>
    <row r="30" spans="1:6" s="325" customFormat="1" ht="21.95" customHeight="1">
      <c r="A30" s="731" t="s">
        <v>863</v>
      </c>
      <c r="B30" s="731"/>
      <c r="C30" s="501">
        <v>69991200</v>
      </c>
      <c r="D30" s="343"/>
      <c r="E30" s="343">
        <v>86710168</v>
      </c>
      <c r="F30" s="344"/>
    </row>
    <row r="31" spans="1:6" s="325" customFormat="1" ht="21.95" customHeight="1">
      <c r="A31" s="731" t="s">
        <v>476</v>
      </c>
      <c r="B31" s="731"/>
      <c r="C31" s="501"/>
      <c r="D31" s="343"/>
      <c r="E31" s="343"/>
      <c r="F31" s="344">
        <v>87121053</v>
      </c>
    </row>
    <row r="32" spans="1:6" s="325" customFormat="1" ht="21.95" customHeight="1">
      <c r="A32" s="732" t="s">
        <v>477</v>
      </c>
      <c r="B32" s="733"/>
      <c r="C32" s="504"/>
      <c r="D32" s="343"/>
      <c r="E32" s="343"/>
      <c r="F32" s="344">
        <v>-476321800</v>
      </c>
    </row>
    <row r="33" spans="1:10" s="325" customFormat="1" ht="21.95" customHeight="1">
      <c r="A33" s="732" t="s">
        <v>478</v>
      </c>
      <c r="B33" s="733"/>
      <c r="C33" s="505">
        <v>104814060</v>
      </c>
      <c r="D33" s="343">
        <v>69490172</v>
      </c>
      <c r="E33" s="343">
        <v>111962171</v>
      </c>
      <c r="F33" s="344">
        <f>69490172+20000000</f>
        <v>89490172</v>
      </c>
    </row>
    <row r="34" spans="1:10" s="325" customFormat="1" ht="21.95" customHeight="1">
      <c r="A34" s="706" t="s">
        <v>51</v>
      </c>
      <c r="B34" s="707"/>
      <c r="C34" s="503">
        <f>C30+C33</f>
        <v>174805260</v>
      </c>
      <c r="D34" s="334">
        <f>SUM(D30:D33)</f>
        <v>69490172</v>
      </c>
      <c r="E34" s="334">
        <f>SUM(E30:E33)</f>
        <v>198672339</v>
      </c>
      <c r="F34" s="334">
        <f>SUM(F30:F33)</f>
        <v>-299710575</v>
      </c>
    </row>
    <row r="35" spans="1:10" s="325" customFormat="1" ht="21.95" customHeight="1">
      <c r="A35" s="737" t="s">
        <v>849</v>
      </c>
      <c r="B35" s="738"/>
      <c r="C35" s="503"/>
      <c r="D35" s="334"/>
      <c r="E35" s="334"/>
      <c r="F35" s="336"/>
    </row>
    <row r="36" spans="1:10" s="325" customFormat="1" ht="21.95" customHeight="1">
      <c r="A36" s="704" t="s">
        <v>787</v>
      </c>
      <c r="B36" s="705"/>
      <c r="C36" s="508">
        <v>476470488</v>
      </c>
      <c r="D36" s="336">
        <v>432009515</v>
      </c>
      <c r="E36" s="336">
        <v>1149800350</v>
      </c>
      <c r="F36" s="336">
        <v>1190690206</v>
      </c>
      <c r="H36" s="509"/>
      <c r="I36" s="510"/>
      <c r="J36" s="511"/>
    </row>
    <row r="37" spans="1:10" s="325" customFormat="1" ht="21.95" customHeight="1">
      <c r="A37" s="704" t="s">
        <v>788</v>
      </c>
      <c r="B37" s="705"/>
      <c r="C37" s="508"/>
      <c r="D37" s="336"/>
      <c r="E37" s="336">
        <v>475702</v>
      </c>
      <c r="F37" s="336">
        <v>7357273</v>
      </c>
      <c r="H37" s="509"/>
      <c r="I37" s="510"/>
      <c r="J37" s="511"/>
    </row>
    <row r="38" spans="1:10" s="325" customFormat="1" ht="21.95" customHeight="1">
      <c r="A38" s="704" t="s">
        <v>789</v>
      </c>
      <c r="B38" s="705"/>
      <c r="C38" s="508">
        <v>44404433</v>
      </c>
      <c r="D38" s="336">
        <v>14459775</v>
      </c>
      <c r="E38" s="336">
        <v>67442129</v>
      </c>
      <c r="F38" s="336">
        <v>61214440</v>
      </c>
      <c r="H38" s="509"/>
      <c r="I38" s="510"/>
      <c r="J38" s="511"/>
    </row>
    <row r="39" spans="1:10" s="325" customFormat="1" ht="21.95" customHeight="1">
      <c r="A39" s="704" t="s">
        <v>790</v>
      </c>
      <c r="B39" s="705"/>
      <c r="C39" s="508">
        <v>23989654</v>
      </c>
      <c r="D39" s="336">
        <v>29796424</v>
      </c>
      <c r="E39" s="336">
        <v>74818162</v>
      </c>
      <c r="F39" s="336">
        <v>78214272</v>
      </c>
      <c r="H39" s="509"/>
      <c r="I39" s="510"/>
      <c r="J39" s="511"/>
    </row>
    <row r="40" spans="1:10" s="325" customFormat="1" ht="21.95" customHeight="1">
      <c r="A40" s="704" t="s">
        <v>791</v>
      </c>
      <c r="B40" s="705"/>
      <c r="C40" s="508">
        <v>14404775</v>
      </c>
      <c r="D40" s="336">
        <v>23917006</v>
      </c>
      <c r="E40" s="336">
        <v>164047375</v>
      </c>
      <c r="F40" s="336">
        <v>108001869</v>
      </c>
      <c r="H40" s="509"/>
      <c r="I40" s="510"/>
      <c r="J40" s="511"/>
    </row>
    <row r="41" spans="1:10" s="325" customFormat="1" ht="21.95" customHeight="1">
      <c r="A41" s="704" t="s">
        <v>792</v>
      </c>
      <c r="B41" s="705"/>
      <c r="C41" s="508"/>
      <c r="D41" s="336"/>
      <c r="E41" s="336">
        <v>0</v>
      </c>
      <c r="F41" s="336">
        <v>109343997</v>
      </c>
      <c r="H41" s="509"/>
      <c r="I41" s="510"/>
      <c r="J41" s="511"/>
    </row>
    <row r="42" spans="1:10" s="325" customFormat="1" ht="21.95" customHeight="1">
      <c r="A42" s="704" t="s">
        <v>793</v>
      </c>
      <c r="B42" s="705"/>
      <c r="C42" s="508">
        <f>54630222-2282000</f>
        <v>52348222</v>
      </c>
      <c r="D42" s="336">
        <f>61812290-674000</f>
        <v>61138290</v>
      </c>
      <c r="E42" s="336">
        <v>205314304</v>
      </c>
      <c r="F42" s="336">
        <v>207093375</v>
      </c>
      <c r="H42" s="509"/>
      <c r="I42" s="510"/>
      <c r="J42" s="511"/>
    </row>
    <row r="43" spans="1:10" s="325" customFormat="1" ht="21.95" customHeight="1">
      <c r="A43" s="704" t="s">
        <v>794</v>
      </c>
      <c r="B43" s="705"/>
      <c r="C43" s="508">
        <f>224242016-5891000</f>
        <v>218351016</v>
      </c>
      <c r="D43" s="336">
        <v>219744048</v>
      </c>
      <c r="E43" s="336">
        <v>580311191</v>
      </c>
      <c r="F43" s="336">
        <v>699743093</v>
      </c>
      <c r="H43" s="509"/>
      <c r="I43" s="510"/>
      <c r="J43" s="511"/>
    </row>
    <row r="44" spans="1:10" s="325" customFormat="1" ht="21.95" customHeight="1">
      <c r="A44" s="706" t="s">
        <v>51</v>
      </c>
      <c r="B44" s="707"/>
      <c r="C44" s="503">
        <f>SUM(C36:C43)</f>
        <v>829968588</v>
      </c>
      <c r="D44" s="503">
        <f>SUM(D36:D43)</f>
        <v>781065058</v>
      </c>
      <c r="E44" s="503">
        <f>SUM(E36:E43)</f>
        <v>2242209213</v>
      </c>
      <c r="F44" s="503">
        <f>SUM(F36:F43)</f>
        <v>2461658525</v>
      </c>
    </row>
    <row r="45" spans="1:10" s="325" customFormat="1" ht="21.95" customHeight="1">
      <c r="A45" s="710" t="s">
        <v>850</v>
      </c>
      <c r="B45" s="711"/>
      <c r="C45" s="503"/>
      <c r="D45" s="334"/>
      <c r="E45" s="334"/>
      <c r="F45" s="334"/>
    </row>
    <row r="46" spans="1:10" s="325" customFormat="1" ht="21.95" customHeight="1">
      <c r="A46" s="704" t="s">
        <v>780</v>
      </c>
      <c r="B46" s="705"/>
      <c r="C46" s="503"/>
      <c r="D46" s="336">
        <v>74516900</v>
      </c>
      <c r="E46" s="336">
        <v>154545455</v>
      </c>
      <c r="F46" s="336">
        <v>74516900</v>
      </c>
    </row>
    <row r="47" spans="1:10" s="325" customFormat="1" ht="21.95" customHeight="1">
      <c r="A47" s="708" t="s">
        <v>781</v>
      </c>
      <c r="B47" s="709"/>
      <c r="C47" s="508"/>
      <c r="D47" s="336"/>
      <c r="E47" s="336">
        <v>179634140</v>
      </c>
      <c r="F47" s="334"/>
    </row>
    <row r="48" spans="1:10" s="325" customFormat="1" ht="21.95" customHeight="1">
      <c r="A48" s="708" t="s">
        <v>782</v>
      </c>
      <c r="B48" s="709"/>
      <c r="C48" s="508"/>
      <c r="D48" s="336"/>
      <c r="E48" s="336"/>
      <c r="F48" s="507">
        <v>115599167</v>
      </c>
    </row>
    <row r="49" spans="1:6" s="325" customFormat="1" ht="21.95" customHeight="1">
      <c r="A49" s="704" t="s">
        <v>783</v>
      </c>
      <c r="B49" s="705"/>
      <c r="C49" s="508">
        <v>55852</v>
      </c>
      <c r="D49" s="336">
        <v>400000</v>
      </c>
      <c r="E49" s="505">
        <f>23122036+55852+29280458</f>
        <v>52458346</v>
      </c>
      <c r="F49" s="507">
        <f>2044835+400000</f>
        <v>2444835</v>
      </c>
    </row>
    <row r="50" spans="1:6" s="325" customFormat="1" ht="21.95" customHeight="1">
      <c r="A50" s="706" t="s">
        <v>51</v>
      </c>
      <c r="B50" s="707"/>
      <c r="C50" s="503">
        <f>SUM(C46:C49)</f>
        <v>55852</v>
      </c>
      <c r="D50" s="503">
        <f>SUM(D46:D49)</f>
        <v>74916900</v>
      </c>
      <c r="E50" s="503">
        <f>SUM(E46:E49)</f>
        <v>386637941</v>
      </c>
      <c r="F50" s="503">
        <f>SUM(F46:F49)</f>
        <v>192560902</v>
      </c>
    </row>
    <row r="51" spans="1:6" s="325" customFormat="1" ht="21.95" customHeight="1">
      <c r="A51" s="710" t="s">
        <v>851</v>
      </c>
      <c r="B51" s="711"/>
      <c r="C51" s="503"/>
      <c r="D51" s="334"/>
      <c r="E51" s="334"/>
      <c r="F51" s="334"/>
    </row>
    <row r="52" spans="1:6" s="325" customFormat="1" ht="21.95" customHeight="1">
      <c r="A52" s="708" t="s">
        <v>784</v>
      </c>
      <c r="B52" s="709"/>
      <c r="C52" s="503"/>
      <c r="D52" s="334"/>
      <c r="E52" s="336">
        <v>140426923</v>
      </c>
      <c r="F52" s="334"/>
    </row>
    <row r="53" spans="1:6" s="325" customFormat="1" ht="21.95" customHeight="1">
      <c r="A53" s="708" t="s">
        <v>785</v>
      </c>
      <c r="B53" s="709"/>
      <c r="C53" s="508">
        <f>452727</f>
        <v>452727</v>
      </c>
      <c r="D53" s="336"/>
      <c r="E53" s="336">
        <f>55224894+452727</f>
        <v>55677621</v>
      </c>
      <c r="F53" s="336">
        <v>11485463</v>
      </c>
    </row>
    <row r="54" spans="1:6" s="325" customFormat="1" ht="21.95" customHeight="1">
      <c r="A54" s="708" t="s">
        <v>786</v>
      </c>
      <c r="B54" s="709"/>
      <c r="C54" s="508">
        <v>119398</v>
      </c>
      <c r="D54" s="336">
        <v>4400000</v>
      </c>
      <c r="E54" s="336">
        <f>500286+119398+4157919</f>
        <v>4777603</v>
      </c>
      <c r="F54" s="336">
        <f>4864378+4400000</f>
        <v>9264378</v>
      </c>
    </row>
    <row r="55" spans="1:6" s="325" customFormat="1" ht="21.95" customHeight="1">
      <c r="A55" s="706" t="s">
        <v>51</v>
      </c>
      <c r="B55" s="707"/>
      <c r="C55" s="503">
        <f>SUM(C52:C54)</f>
        <v>572125</v>
      </c>
      <c r="D55" s="503">
        <f>SUM(D52:D54)</f>
        <v>4400000</v>
      </c>
      <c r="E55" s="503">
        <f>SUM(E52:E54)</f>
        <v>200882147</v>
      </c>
      <c r="F55" s="503">
        <f>SUM(F52:F54)</f>
        <v>20749841</v>
      </c>
    </row>
    <row r="56" spans="1:6" s="325" customFormat="1" ht="21.95" customHeight="1">
      <c r="A56" s="734" t="s">
        <v>795</v>
      </c>
      <c r="B56" s="735"/>
      <c r="C56" s="341"/>
      <c r="D56" s="336"/>
      <c r="E56" s="336"/>
      <c r="F56" s="344"/>
    </row>
    <row r="57" spans="1:6" s="346" customFormat="1" ht="21.95" customHeight="1">
      <c r="A57" s="734" t="s">
        <v>479</v>
      </c>
      <c r="B57" s="735"/>
      <c r="C57" s="503">
        <f>C14-C23+C28-C34+C50-C55-C44</f>
        <v>1016837085</v>
      </c>
      <c r="D57" s="503">
        <v>1466672062</v>
      </c>
      <c r="E57" s="503">
        <f>E14-E23+E28-E34+E50-E55-E44</f>
        <v>2659097602</v>
      </c>
      <c r="F57" s="345">
        <v>2743197318</v>
      </c>
    </row>
    <row r="58" spans="1:6" s="349" customFormat="1" ht="21.95" customHeight="1">
      <c r="A58" s="728" t="s">
        <v>480</v>
      </c>
      <c r="B58" s="736"/>
      <c r="C58" s="347"/>
      <c r="D58" s="348"/>
      <c r="E58" s="348"/>
      <c r="F58" s="348">
        <v>151166000</v>
      </c>
    </row>
    <row r="59" spans="1:6" s="349" customFormat="1" ht="21.95" customHeight="1">
      <c r="A59" s="728" t="s">
        <v>481</v>
      </c>
      <c r="B59" s="736"/>
      <c r="C59" s="347"/>
      <c r="D59" s="348"/>
      <c r="E59" s="348"/>
      <c r="F59" s="348">
        <v>11031340</v>
      </c>
    </row>
    <row r="60" spans="1:6" s="351" customFormat="1" ht="21.95" customHeight="1">
      <c r="A60" s="728" t="s">
        <v>482</v>
      </c>
      <c r="B60" s="736"/>
      <c r="C60" s="505">
        <f>C57-C58+C59</f>
        <v>1016837085</v>
      </c>
      <c r="D60" s="505">
        <f>D57-D58+D59</f>
        <v>1466672062</v>
      </c>
      <c r="E60" s="505">
        <f>E57-E58+E59</f>
        <v>2659097602</v>
      </c>
      <c r="F60" s="350">
        <f>F57-F58+F59</f>
        <v>2603062658</v>
      </c>
    </row>
    <row r="61" spans="1:6" s="351" customFormat="1" ht="21.95" customHeight="1">
      <c r="A61" s="728" t="s">
        <v>483</v>
      </c>
      <c r="B61" s="736"/>
      <c r="C61" s="347"/>
      <c r="D61" s="352"/>
      <c r="E61" s="352"/>
      <c r="F61" s="352"/>
    </row>
    <row r="62" spans="1:6" s="351" customFormat="1" ht="21.95" customHeight="1">
      <c r="A62" s="728" t="s">
        <v>484</v>
      </c>
      <c r="B62" s="736"/>
      <c r="C62" s="347"/>
      <c r="D62" s="352"/>
      <c r="E62" s="352"/>
      <c r="F62" s="352"/>
    </row>
    <row r="63" spans="1:6" s="351" customFormat="1" ht="21.95" customHeight="1">
      <c r="A63" s="728" t="s">
        <v>485</v>
      </c>
      <c r="B63" s="736"/>
      <c r="C63" s="547">
        <v>223704159</v>
      </c>
      <c r="D63" s="547">
        <v>322667853</v>
      </c>
      <c r="E63" s="547">
        <v>585001473</v>
      </c>
      <c r="F63" s="548">
        <f>F60*22/100</f>
        <v>572673784.75999999</v>
      </c>
    </row>
    <row r="64" spans="1:6" s="325" customFormat="1" ht="21.95" customHeight="1">
      <c r="A64" s="741"/>
      <c r="B64" s="742"/>
      <c r="C64" s="353"/>
      <c r="D64" s="354"/>
      <c r="E64" s="354"/>
      <c r="F64" s="355"/>
    </row>
    <row r="65" spans="1:7" s="356" customFormat="1" ht="14.25" customHeight="1">
      <c r="A65" s="2"/>
      <c r="B65" s="205"/>
      <c r="C65" s="205"/>
      <c r="D65" s="2"/>
      <c r="E65" s="740"/>
      <c r="F65" s="740"/>
      <c r="G65" s="2"/>
    </row>
    <row r="66" spans="1:7" s="356" customFormat="1" ht="14.25" customHeight="1">
      <c r="A66" s="2"/>
      <c r="B66" s="205"/>
      <c r="C66" s="595" t="s">
        <v>864</v>
      </c>
      <c r="D66" s="700" t="s">
        <v>865</v>
      </c>
      <c r="E66" s="700"/>
      <c r="F66" s="700"/>
      <c r="G66" s="2"/>
    </row>
    <row r="67" spans="1:7" s="346" customFormat="1" ht="16.5">
      <c r="A67" s="259" t="s">
        <v>866</v>
      </c>
      <c r="B67" s="260"/>
      <c r="C67" s="260"/>
      <c r="D67" s="739" t="s">
        <v>867</v>
      </c>
      <c r="E67" s="739"/>
      <c r="F67" s="739"/>
      <c r="G67" s="261"/>
    </row>
    <row r="68" spans="1:7" s="325" customFormat="1">
      <c r="A68" s="2"/>
      <c r="B68" s="205"/>
      <c r="C68" s="205"/>
      <c r="D68" s="2"/>
      <c r="E68" s="2"/>
      <c r="F68" s="2"/>
      <c r="G68" s="2"/>
    </row>
    <row r="69" spans="1:7" s="325" customFormat="1">
      <c r="A69" s="2"/>
      <c r="B69" s="205"/>
      <c r="C69" s="205"/>
      <c r="D69" s="2"/>
      <c r="E69" s="2"/>
      <c r="F69" s="2"/>
      <c r="G69" s="2"/>
    </row>
    <row r="70" spans="1:7" s="325" customFormat="1">
      <c r="A70" s="2"/>
      <c r="B70" s="205"/>
      <c r="C70" s="205"/>
      <c r="D70" s="2"/>
      <c r="E70" s="2"/>
      <c r="F70" s="2"/>
      <c r="G70" s="2"/>
    </row>
    <row r="71" spans="1:7">
      <c r="A71" s="2"/>
      <c r="B71" s="205"/>
      <c r="C71" s="205"/>
      <c r="D71" s="2"/>
      <c r="E71" s="2"/>
      <c r="F71" s="2"/>
      <c r="G71" s="2"/>
    </row>
    <row r="72" spans="1:7" ht="15.75">
      <c r="A72" s="258"/>
      <c r="B72" s="205"/>
      <c r="C72" s="205"/>
      <c r="D72" s="2"/>
      <c r="E72" s="2"/>
      <c r="F72" s="2"/>
      <c r="G72" s="2"/>
    </row>
    <row r="73" spans="1:7" ht="15.75">
      <c r="A73" s="258" t="s">
        <v>353</v>
      </c>
      <c r="B73" s="205"/>
      <c r="C73" s="205"/>
      <c r="D73" s="2"/>
      <c r="E73" s="2"/>
      <c r="F73" s="2"/>
      <c r="G73" s="2"/>
    </row>
    <row r="74" spans="1:7" ht="15.75">
      <c r="A74" s="258"/>
      <c r="B74" s="205"/>
      <c r="C74" s="205"/>
      <c r="D74" s="2"/>
      <c r="E74" s="2"/>
      <c r="F74" s="2"/>
      <c r="G74" s="2"/>
    </row>
    <row r="75" spans="1:7">
      <c r="A75" s="325"/>
      <c r="B75" s="325"/>
      <c r="C75" s="325"/>
      <c r="D75" s="325"/>
      <c r="E75" s="325"/>
    </row>
  </sheetData>
  <mergeCells count="67">
    <mergeCell ref="D66:F66"/>
    <mergeCell ref="D67:F67"/>
    <mergeCell ref="E65:F65"/>
    <mergeCell ref="A57:B57"/>
    <mergeCell ref="A58:B58"/>
    <mergeCell ref="A59:B59"/>
    <mergeCell ref="A60:B60"/>
    <mergeCell ref="A61:B61"/>
    <mergeCell ref="A62:B62"/>
    <mergeCell ref="A64:B64"/>
    <mergeCell ref="A33:B33"/>
    <mergeCell ref="A34:B34"/>
    <mergeCell ref="A56:B56"/>
    <mergeCell ref="A63:B63"/>
    <mergeCell ref="A45:B45"/>
    <mergeCell ref="A46:B46"/>
    <mergeCell ref="A47:B47"/>
    <mergeCell ref="A48:B48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E2:F2"/>
    <mergeCell ref="E3:F3"/>
    <mergeCell ref="C2:D3"/>
    <mergeCell ref="A2:B4"/>
    <mergeCell ref="A13:B13"/>
    <mergeCell ref="A14:B14"/>
    <mergeCell ref="A7:B7"/>
    <mergeCell ref="A8:B8"/>
    <mergeCell ref="A9:B9"/>
    <mergeCell ref="A10:B10"/>
    <mergeCell ref="A52:B52"/>
    <mergeCell ref="A44:B44"/>
    <mergeCell ref="A41:B41"/>
    <mergeCell ref="A42:B42"/>
    <mergeCell ref="A43:B43"/>
    <mergeCell ref="A5:B5"/>
    <mergeCell ref="A6:B6"/>
    <mergeCell ref="A15:B15"/>
    <mergeCell ref="A16:B16"/>
    <mergeCell ref="A11:B11"/>
    <mergeCell ref="A49:B49"/>
    <mergeCell ref="A50:B50"/>
    <mergeCell ref="A55:B55"/>
    <mergeCell ref="A53:B53"/>
    <mergeCell ref="A54:B54"/>
    <mergeCell ref="A37:B37"/>
    <mergeCell ref="A38:B38"/>
    <mergeCell ref="A39:B39"/>
    <mergeCell ref="A40:B40"/>
    <mergeCell ref="A51:B51"/>
  </mergeCells>
  <phoneticPr fontId="18" type="noConversion"/>
  <pageMargins left="0.31" right="0.25" top="0.23" bottom="0.25" header="0.17" footer="0.17"/>
  <pageSetup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topLeftCell="A16" workbookViewId="0">
      <selection activeCell="D36" sqref="D36"/>
    </sheetView>
  </sheetViews>
  <sheetFormatPr defaultRowHeight="15"/>
  <cols>
    <col min="1" max="1" width="6.140625" style="360" customWidth="1"/>
    <col min="2" max="2" width="25.28515625" style="360" customWidth="1"/>
    <col min="3" max="6" width="16.5703125" style="360" customWidth="1"/>
    <col min="7" max="7" width="8" style="360" customWidth="1"/>
    <col min="8" max="8" width="9.140625" style="360"/>
    <col min="9" max="9" width="17" style="360" customWidth="1"/>
    <col min="10" max="10" width="17.5703125" style="360" customWidth="1"/>
    <col min="11" max="16384" width="9.140625" style="360"/>
  </cols>
  <sheetData>
    <row r="1" spans="1:7" s="358" customFormat="1" ht="19.5" customHeight="1">
      <c r="A1" s="357" t="s">
        <v>486</v>
      </c>
    </row>
    <row r="2" spans="1:7" ht="19.5" customHeight="1">
      <c r="A2" s="359" t="s">
        <v>487</v>
      </c>
      <c r="B2" s="358"/>
      <c r="C2" s="358"/>
    </row>
    <row r="3" spans="1:7" ht="19.5" customHeight="1">
      <c r="A3" s="361" t="s">
        <v>488</v>
      </c>
      <c r="B3" s="362"/>
      <c r="C3" s="362"/>
      <c r="D3" s="362"/>
      <c r="E3" s="362"/>
      <c r="F3" s="362"/>
      <c r="G3" s="362"/>
    </row>
    <row r="4" spans="1:7" ht="42" customHeight="1">
      <c r="A4" s="743" t="s">
        <v>489</v>
      </c>
      <c r="B4" s="744"/>
      <c r="C4" s="744"/>
      <c r="D4" s="744"/>
      <c r="E4" s="744"/>
      <c r="F4" s="744"/>
    </row>
    <row r="5" spans="1:7" ht="40.5" customHeight="1">
      <c r="A5" s="743" t="s">
        <v>767</v>
      </c>
      <c r="B5" s="744"/>
      <c r="C5" s="744"/>
      <c r="D5" s="744"/>
      <c r="E5" s="744"/>
      <c r="F5" s="744"/>
      <c r="G5" s="363"/>
    </row>
    <row r="6" spans="1:7" ht="36" customHeight="1">
      <c r="A6" s="743" t="s">
        <v>490</v>
      </c>
      <c r="B6" s="744"/>
      <c r="C6" s="744"/>
      <c r="D6" s="744"/>
      <c r="E6" s="744"/>
      <c r="F6" s="744"/>
      <c r="G6" s="363"/>
    </row>
    <row r="7" spans="1:7" ht="7.5" customHeight="1">
      <c r="A7" s="313"/>
    </row>
    <row r="8" spans="1:7" ht="16.5" customHeight="1">
      <c r="A8" s="364" t="s">
        <v>768</v>
      </c>
    </row>
    <row r="9" spans="1:7" ht="5.25" customHeight="1"/>
    <row r="10" spans="1:7" s="368" customFormat="1" ht="29.25" customHeight="1">
      <c r="A10" s="365" t="s">
        <v>45</v>
      </c>
      <c r="B10" s="366" t="s">
        <v>491</v>
      </c>
      <c r="C10" s="367" t="s">
        <v>492</v>
      </c>
      <c r="D10" s="366" t="s">
        <v>493</v>
      </c>
      <c r="E10" s="366" t="s">
        <v>494</v>
      </c>
      <c r="F10" s="367" t="s">
        <v>769</v>
      </c>
    </row>
    <row r="11" spans="1:7" s="368" customFormat="1" ht="1.5" customHeight="1">
      <c r="A11" s="369"/>
      <c r="B11" s="369"/>
      <c r="C11" s="370"/>
      <c r="D11" s="369"/>
      <c r="E11" s="369"/>
      <c r="F11" s="369"/>
    </row>
    <row r="12" spans="1:7" ht="25.5" customHeight="1">
      <c r="A12" s="371">
        <v>1</v>
      </c>
      <c r="B12" s="372" t="s">
        <v>495</v>
      </c>
      <c r="C12" s="373">
        <v>73737058</v>
      </c>
      <c r="D12" s="373"/>
      <c r="E12" s="373"/>
      <c r="F12" s="373">
        <f>C12+D12-E12</f>
        <v>73737058</v>
      </c>
    </row>
    <row r="13" spans="1:7" ht="1.5" customHeight="1">
      <c r="A13" s="374"/>
      <c r="B13" s="374"/>
      <c r="C13" s="374"/>
      <c r="D13" s="374"/>
      <c r="E13" s="374"/>
      <c r="F13" s="374"/>
    </row>
    <row r="14" spans="1:7" ht="9.75" hidden="1" customHeight="1"/>
    <row r="15" spans="1:7" ht="25.5" customHeight="1">
      <c r="A15" s="364" t="s">
        <v>770</v>
      </c>
    </row>
    <row r="16" spans="1:7" ht="15" customHeight="1"/>
    <row r="17" spans="1:8" s="368" customFormat="1" ht="30.75" customHeight="1">
      <c r="A17" s="365" t="s">
        <v>45</v>
      </c>
      <c r="B17" s="366" t="s">
        <v>491</v>
      </c>
      <c r="C17" s="367" t="s">
        <v>496</v>
      </c>
      <c r="D17" s="366" t="s">
        <v>493</v>
      </c>
      <c r="E17" s="366" t="s">
        <v>494</v>
      </c>
      <c r="F17" s="367" t="s">
        <v>769</v>
      </c>
    </row>
    <row r="18" spans="1:8" s="368" customFormat="1" ht="3" customHeight="1">
      <c r="A18" s="369"/>
      <c r="B18" s="369"/>
      <c r="C18" s="370"/>
      <c r="D18" s="369"/>
      <c r="E18" s="369"/>
      <c r="F18" s="369"/>
    </row>
    <row r="19" spans="1:8" ht="25.5" customHeight="1">
      <c r="A19" s="375">
        <v>1</v>
      </c>
      <c r="B19" s="376" t="s">
        <v>497</v>
      </c>
      <c r="C19" s="377">
        <v>15674955426</v>
      </c>
      <c r="D19" s="377">
        <v>8273547322</v>
      </c>
      <c r="E19" s="377">
        <v>14638075647</v>
      </c>
      <c r="F19" s="377">
        <f>C19+D19-E19</f>
        <v>9310427101</v>
      </c>
    </row>
    <row r="20" spans="1:8" ht="25.5" customHeight="1">
      <c r="A20" s="378">
        <v>2</v>
      </c>
      <c r="B20" s="379" t="s">
        <v>498</v>
      </c>
      <c r="C20" s="380">
        <v>143209406</v>
      </c>
      <c r="D20" s="380">
        <v>1073592000</v>
      </c>
      <c r="E20" s="380"/>
      <c r="F20" s="377">
        <f>C20+D20-E20</f>
        <v>1216801406</v>
      </c>
    </row>
    <row r="21" spans="1:8" ht="4.5" customHeight="1">
      <c r="A21" s="381"/>
      <c r="B21" s="381"/>
      <c r="C21" s="382"/>
      <c r="D21" s="382"/>
      <c r="E21" s="382"/>
      <c r="F21" s="382"/>
    </row>
    <row r="22" spans="1:8" ht="24.75" customHeight="1">
      <c r="A22" s="361" t="s">
        <v>771</v>
      </c>
    </row>
    <row r="23" spans="1:8" ht="19.5" customHeight="1">
      <c r="C23" s="383"/>
      <c r="D23" s="383"/>
      <c r="E23" s="383"/>
      <c r="F23" s="383"/>
    </row>
    <row r="24" spans="1:8" s="368" customFormat="1" ht="35.25" customHeight="1">
      <c r="A24" s="365" t="s">
        <v>45</v>
      </c>
      <c r="B24" s="366" t="s">
        <v>491</v>
      </c>
      <c r="C24" s="367" t="s">
        <v>496</v>
      </c>
      <c r="D24" s="366" t="s">
        <v>493</v>
      </c>
      <c r="E24" s="366" t="s">
        <v>494</v>
      </c>
      <c r="F24" s="367" t="s">
        <v>769</v>
      </c>
    </row>
    <row r="25" spans="1:8" s="368" customFormat="1" ht="4.5" customHeight="1">
      <c r="A25" s="369"/>
      <c r="B25" s="369"/>
      <c r="C25" s="370"/>
      <c r="D25" s="369"/>
      <c r="E25" s="369"/>
      <c r="F25" s="369"/>
    </row>
    <row r="26" spans="1:8" ht="25.5" customHeight="1">
      <c r="A26" s="384">
        <v>1</v>
      </c>
      <c r="B26" s="385" t="s">
        <v>499</v>
      </c>
      <c r="C26" s="386">
        <v>0</v>
      </c>
      <c r="D26" s="386"/>
      <c r="E26" s="386">
        <v>750196000</v>
      </c>
      <c r="F26" s="386">
        <f>C26+D26-E26</f>
        <v>-750196000</v>
      </c>
    </row>
    <row r="27" spans="1:8" ht="25.5" customHeight="1">
      <c r="A27" s="387"/>
      <c r="B27" s="388" t="s">
        <v>772</v>
      </c>
      <c r="C27" s="389"/>
      <c r="D27" s="389"/>
      <c r="E27" s="389"/>
      <c r="F27" s="389">
        <f>C27+D27-E27</f>
        <v>0</v>
      </c>
    </row>
    <row r="28" spans="1:8" ht="1.5" customHeight="1">
      <c r="A28" s="390"/>
      <c r="B28" s="391"/>
      <c r="C28" s="392"/>
      <c r="D28" s="393"/>
      <c r="E28" s="393"/>
      <c r="F28" s="393"/>
    </row>
    <row r="29" spans="1:8" ht="8.25" hidden="1" customHeight="1">
      <c r="A29" s="394"/>
      <c r="B29" s="374"/>
      <c r="C29" s="393"/>
      <c r="D29" s="393"/>
      <c r="E29" s="393"/>
      <c r="F29" s="393"/>
    </row>
    <row r="30" spans="1:8" ht="19.5" customHeight="1">
      <c r="E30" s="395" t="s">
        <v>796</v>
      </c>
      <c r="F30" s="396"/>
      <c r="G30" s="397"/>
    </row>
    <row r="31" spans="1:8" ht="17.25">
      <c r="A31" s="398" t="s">
        <v>500</v>
      </c>
      <c r="B31" s="399"/>
      <c r="E31" s="398" t="s">
        <v>501</v>
      </c>
      <c r="F31" s="399"/>
      <c r="G31" s="400"/>
      <c r="H31" s="400"/>
    </row>
    <row r="32" spans="1:8" ht="15.75">
      <c r="A32" s="358"/>
      <c r="B32" s="358"/>
      <c r="C32" s="358"/>
      <c r="D32" s="358"/>
      <c r="E32" s="358"/>
      <c r="F32" s="358"/>
      <c r="G32" s="358"/>
      <c r="H32" s="401"/>
    </row>
    <row r="36" spans="1:2" ht="15.75">
      <c r="A36" s="357" t="s">
        <v>502</v>
      </c>
      <c r="B36" s="358"/>
    </row>
  </sheetData>
  <mergeCells count="3">
    <mergeCell ref="A4:F4"/>
    <mergeCell ref="A5:F5"/>
    <mergeCell ref="A6:F6"/>
  </mergeCells>
  <phoneticPr fontId="18" type="noConversion"/>
  <pageMargins left="0.49" right="0.25" top="0.34" bottom="0.37" header="0.22" footer="0.2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5"/>
  <sheetViews>
    <sheetView workbookViewId="0">
      <selection activeCell="C12" sqref="C12"/>
    </sheetView>
  </sheetViews>
  <sheetFormatPr defaultRowHeight="12.75"/>
  <cols>
    <col min="1" max="1" width="7.28515625" customWidth="1"/>
    <col min="2" max="2" width="32.7109375" customWidth="1"/>
    <col min="3" max="3" width="18.5703125" customWidth="1"/>
    <col min="4" max="4" width="18.28515625" customWidth="1"/>
    <col min="5" max="5" width="18.140625" customWidth="1"/>
    <col min="6" max="6" width="18.5703125" customWidth="1"/>
    <col min="7" max="7" width="20.140625" customWidth="1"/>
    <col min="8" max="8" width="14" bestFit="1" customWidth="1"/>
  </cols>
  <sheetData>
    <row r="2" spans="1:8">
      <c r="F2" s="747" t="s">
        <v>799</v>
      </c>
      <c r="G2" s="747"/>
    </row>
    <row r="3" spans="1:8" ht="21.75">
      <c r="A3" s="748" t="s">
        <v>857</v>
      </c>
      <c r="B3" s="749"/>
      <c r="C3" s="749"/>
      <c r="D3" s="749"/>
      <c r="E3" s="749"/>
      <c r="F3" s="749"/>
      <c r="G3" s="749"/>
    </row>
    <row r="4" spans="1:8" ht="21.75">
      <c r="A4" s="404"/>
      <c r="B4" s="404"/>
      <c r="C4" s="404"/>
      <c r="D4" s="404"/>
      <c r="E4" s="404"/>
      <c r="F4" s="404"/>
      <c r="G4" s="404"/>
    </row>
    <row r="5" spans="1:8" ht="17.25" customHeight="1">
      <c r="A5" s="750" t="s">
        <v>45</v>
      </c>
      <c r="B5" s="750" t="s">
        <v>800</v>
      </c>
      <c r="C5" s="750" t="s">
        <v>801</v>
      </c>
      <c r="D5" s="750" t="s">
        <v>802</v>
      </c>
      <c r="E5" s="750" t="s">
        <v>803</v>
      </c>
      <c r="F5" s="750" t="s">
        <v>804</v>
      </c>
      <c r="G5" s="750" t="s">
        <v>805</v>
      </c>
    </row>
    <row r="6" spans="1:8" ht="23.25" customHeight="1">
      <c r="A6" s="751"/>
      <c r="B6" s="752"/>
      <c r="C6" s="751"/>
      <c r="D6" s="751"/>
      <c r="E6" s="751"/>
      <c r="F6" s="751"/>
      <c r="G6" s="751"/>
    </row>
    <row r="7" spans="1:8" s="456" customFormat="1" ht="15.75">
      <c r="A7" s="523" t="s">
        <v>73</v>
      </c>
      <c r="B7" s="524" t="s">
        <v>806</v>
      </c>
      <c r="C7" s="525"/>
      <c r="D7" s="525"/>
      <c r="E7" s="525"/>
      <c r="F7" s="525"/>
      <c r="G7" s="525"/>
    </row>
    <row r="8" spans="1:8" ht="15.75">
      <c r="A8" s="526">
        <v>1</v>
      </c>
      <c r="B8" s="527" t="s">
        <v>813</v>
      </c>
      <c r="C8" s="528">
        <v>3896619770</v>
      </c>
      <c r="D8" s="528">
        <v>2775860313</v>
      </c>
      <c r="E8" s="528">
        <v>2330423315</v>
      </c>
      <c r="F8" s="528">
        <v>179554441</v>
      </c>
      <c r="G8" s="528">
        <v>9182457839</v>
      </c>
      <c r="H8" s="516"/>
    </row>
    <row r="9" spans="1:8" ht="15.75">
      <c r="A9" s="526">
        <v>2</v>
      </c>
      <c r="B9" s="527" t="s">
        <v>814</v>
      </c>
      <c r="C9" s="529"/>
      <c r="D9" s="529">
        <v>322160000</v>
      </c>
      <c r="E9" s="529"/>
      <c r="F9" s="529"/>
      <c r="G9" s="528">
        <f>F9+E9+D9+C9</f>
        <v>322160000</v>
      </c>
      <c r="H9" s="516"/>
    </row>
    <row r="10" spans="1:8" ht="15.75">
      <c r="A10" s="526">
        <v>3</v>
      </c>
      <c r="B10" s="527" t="s">
        <v>807</v>
      </c>
      <c r="C10" s="529"/>
      <c r="D10" s="529"/>
      <c r="E10" s="529"/>
      <c r="F10" s="529"/>
      <c r="G10" s="528">
        <f>F10+E10+D10+C10</f>
        <v>0</v>
      </c>
      <c r="H10" s="516"/>
    </row>
    <row r="11" spans="1:8" ht="15.75">
      <c r="A11" s="526">
        <v>4</v>
      </c>
      <c r="B11" s="527" t="s">
        <v>808</v>
      </c>
      <c r="C11" s="529"/>
      <c r="D11" s="529"/>
      <c r="E11" s="529">
        <v>198726548</v>
      </c>
      <c r="F11" s="529">
        <v>92458488</v>
      </c>
      <c r="G11" s="528">
        <f>F11+E11+D11+C11</f>
        <v>291185036</v>
      </c>
      <c r="H11" s="516"/>
    </row>
    <row r="12" spans="1:8" ht="15.75">
      <c r="A12" s="526">
        <v>5</v>
      </c>
      <c r="B12" s="527" t="s">
        <v>815</v>
      </c>
      <c r="C12" s="530">
        <f>C8+C9-C11</f>
        <v>3896619770</v>
      </c>
      <c r="D12" s="528">
        <f>D8+D9-D11</f>
        <v>3098020313</v>
      </c>
      <c r="E12" s="528">
        <f>E8+E9-E11</f>
        <v>2131696767</v>
      </c>
      <c r="F12" s="528">
        <f>F8+F9-F11</f>
        <v>87095953</v>
      </c>
      <c r="G12" s="528">
        <f>F12+E12+D12+C12</f>
        <v>9213432803</v>
      </c>
      <c r="H12" s="516"/>
    </row>
    <row r="13" spans="1:8" s="456" customFormat="1" ht="15.75">
      <c r="A13" s="531" t="s">
        <v>85</v>
      </c>
      <c r="B13" s="532" t="s">
        <v>809</v>
      </c>
      <c r="C13" s="530"/>
      <c r="D13" s="528"/>
      <c r="E13" s="528"/>
      <c r="F13" s="528"/>
      <c r="G13" s="528"/>
      <c r="H13" s="533"/>
    </row>
    <row r="14" spans="1:8" ht="15.75">
      <c r="A14" s="526">
        <v>1</v>
      </c>
      <c r="B14" s="527" t="s">
        <v>813</v>
      </c>
      <c r="C14" s="530">
        <f>3278520405+91469</f>
        <v>3278611874</v>
      </c>
      <c r="D14" s="528">
        <v>1980656285</v>
      </c>
      <c r="E14" s="528">
        <v>1928544046</v>
      </c>
      <c r="F14" s="528">
        <v>137088509</v>
      </c>
      <c r="G14" s="528">
        <f>SUM(C14:F14)+1</f>
        <v>7324900715</v>
      </c>
      <c r="H14" s="516"/>
    </row>
    <row r="15" spans="1:8" ht="15.75">
      <c r="A15" s="526">
        <v>2</v>
      </c>
      <c r="B15" s="527" t="s">
        <v>816</v>
      </c>
      <c r="C15" s="534">
        <f>8492687.1882666+'[1]6T.15'!C15</f>
        <v>25478061.564799793</v>
      </c>
      <c r="D15" s="529">
        <f>47255349.5210264+'[1]6T.15'!D15</f>
        <v>128342715.22974584</v>
      </c>
      <c r="E15" s="529">
        <f>37567192.8333333+'[1]6T.15'!E15</f>
        <v>120981851.34210519</v>
      </c>
      <c r="F15" s="529">
        <f>944601.8+'[1]6T.15'!F15</f>
        <v>5683003.2999999998</v>
      </c>
      <c r="G15" s="529">
        <f>F15+E15+D15+C15</f>
        <v>280485631.43665081</v>
      </c>
      <c r="H15" s="516"/>
    </row>
    <row r="16" spans="1:8" ht="15.75">
      <c r="A16" s="526">
        <v>3</v>
      </c>
      <c r="B16" s="527" t="s">
        <v>808</v>
      </c>
      <c r="C16" s="534"/>
      <c r="D16" s="529"/>
      <c r="E16" s="529">
        <f>'[1]6T.15'!E16</f>
        <v>82802729</v>
      </c>
      <c r="F16" s="529">
        <f>'[1]6T.15'!F16</f>
        <v>67955384</v>
      </c>
      <c r="G16" s="529">
        <f>C16+D16+E16+F16</f>
        <v>150758113</v>
      </c>
      <c r="H16" s="516"/>
    </row>
    <row r="17" spans="1:8" ht="15.75">
      <c r="A17" s="526">
        <v>4</v>
      </c>
      <c r="B17" s="527" t="s">
        <v>815</v>
      </c>
      <c r="C17" s="530">
        <f>C14+C15-C16</f>
        <v>3304089935.5647998</v>
      </c>
      <c r="D17" s="530">
        <f>D14+D15-D16</f>
        <v>2108999000.2297459</v>
      </c>
      <c r="E17" s="530">
        <f>E14+E15-E16</f>
        <v>1966723168.3421052</v>
      </c>
      <c r="F17" s="530">
        <f>F14+F15-F16</f>
        <v>74816128.300000012</v>
      </c>
      <c r="G17" s="530">
        <f>G14+G15-G16+1</f>
        <v>7454628234.4366512</v>
      </c>
      <c r="H17" s="516"/>
    </row>
    <row r="18" spans="1:8" s="456" customFormat="1">
      <c r="A18" s="535" t="s">
        <v>87</v>
      </c>
      <c r="B18" s="532" t="s">
        <v>810</v>
      </c>
      <c r="C18" s="536"/>
      <c r="D18" s="537"/>
      <c r="E18" s="537"/>
      <c r="F18" s="537"/>
      <c r="G18" s="537">
        <f>C18+D18+E18+F18</f>
        <v>0</v>
      </c>
      <c r="H18" s="533"/>
    </row>
    <row r="19" spans="1:8" ht="17.25" customHeight="1">
      <c r="A19" s="526">
        <v>1</v>
      </c>
      <c r="B19" s="527" t="s">
        <v>817</v>
      </c>
      <c r="C19" s="530">
        <f>C8-C14</f>
        <v>618007896</v>
      </c>
      <c r="D19" s="530">
        <f>D8-D14</f>
        <v>795204028</v>
      </c>
      <c r="E19" s="530">
        <f>E8-E14</f>
        <v>401879269</v>
      </c>
      <c r="F19" s="530">
        <f>F8-F14</f>
        <v>42465932</v>
      </c>
      <c r="G19" s="528">
        <f>SUM(C19:F19)-1</f>
        <v>1857557124</v>
      </c>
      <c r="H19" s="516"/>
    </row>
    <row r="20" spans="1:8" ht="17.25" customHeight="1">
      <c r="A20" s="526">
        <v>2</v>
      </c>
      <c r="B20" s="527" t="s">
        <v>811</v>
      </c>
      <c r="C20" s="530">
        <f>C12-C17</f>
        <v>592529834.43520021</v>
      </c>
      <c r="D20" s="530">
        <f>D12-D17</f>
        <v>989021312.77025414</v>
      </c>
      <c r="E20" s="530">
        <f>E12-E17</f>
        <v>164973598.65789485</v>
      </c>
      <c r="F20" s="530">
        <f>F12-F17</f>
        <v>12279824.699999988</v>
      </c>
      <c r="G20" s="528">
        <f>SUM(C20:F20)-2</f>
        <v>1758804568.5633492</v>
      </c>
      <c r="H20" s="516"/>
    </row>
    <row r="21" spans="1:8">
      <c r="A21" s="517"/>
      <c r="B21" s="518"/>
      <c r="C21" s="519"/>
      <c r="D21" s="519"/>
      <c r="E21" s="519"/>
      <c r="F21" s="519"/>
      <c r="G21" s="519"/>
      <c r="H21" s="516"/>
    </row>
    <row r="22" spans="1:8">
      <c r="A22" s="520"/>
      <c r="B22" s="520"/>
      <c r="C22" s="520" t="s">
        <v>798</v>
      </c>
      <c r="D22" s="521"/>
      <c r="E22" s="521"/>
      <c r="F22" s="520"/>
      <c r="G22" s="521"/>
    </row>
    <row r="23" spans="1:8" ht="16.5">
      <c r="A23" s="520"/>
      <c r="B23" s="538" t="s">
        <v>515</v>
      </c>
      <c r="C23" s="745" t="s">
        <v>812</v>
      </c>
      <c r="D23" s="746"/>
      <c r="E23" s="746"/>
      <c r="F23" s="745" t="s">
        <v>517</v>
      </c>
      <c r="G23" s="746"/>
    </row>
    <row r="24" spans="1:8">
      <c r="A24" s="520"/>
      <c r="B24" s="520"/>
      <c r="C24" s="520"/>
      <c r="D24" s="520"/>
      <c r="E24" s="520"/>
      <c r="F24" s="520"/>
      <c r="G24" s="521"/>
    </row>
    <row r="25" spans="1:8">
      <c r="A25" s="520"/>
      <c r="B25" s="520"/>
      <c r="C25" s="520"/>
      <c r="D25" s="520"/>
      <c r="E25" s="520"/>
      <c r="F25" s="521"/>
      <c r="G25" s="520"/>
    </row>
  </sheetData>
  <mergeCells count="11">
    <mergeCell ref="G5:G6"/>
    <mergeCell ref="C23:E23"/>
    <mergeCell ref="F23:G23"/>
    <mergeCell ref="F2:G2"/>
    <mergeCell ref="A3:G3"/>
    <mergeCell ref="A5:A6"/>
    <mergeCell ref="B5:B6"/>
    <mergeCell ref="C5:C6"/>
    <mergeCell ref="D5:D6"/>
    <mergeCell ref="E5:E6"/>
    <mergeCell ref="F5:F6"/>
  </mergeCells>
  <phoneticPr fontId="18" type="noConversion"/>
  <pageMargins left="0.34" right="0.34" top="0.7" bottom="1" header="0.5" footer="0.5"/>
  <pageSetup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17"/>
  <sheetViews>
    <sheetView tabSelected="1" workbookViewId="0">
      <selection activeCell="E7" sqref="E7"/>
    </sheetView>
  </sheetViews>
  <sheetFormatPr defaultRowHeight="12.75"/>
  <cols>
    <col min="1" max="1" width="45.42578125" style="4" customWidth="1"/>
    <col min="2" max="2" width="22.85546875" style="4" customWidth="1"/>
    <col min="3" max="3" width="20.42578125" style="4" customWidth="1"/>
    <col min="4" max="4" width="19.85546875" style="4" customWidth="1"/>
    <col min="5" max="5" width="19.7109375" style="4" customWidth="1"/>
    <col min="6" max="16384" width="9.140625" style="4"/>
  </cols>
  <sheetData>
    <row r="1" spans="1:10" customFormat="1"/>
    <row r="2" spans="1:10" customFormat="1" ht="21.75">
      <c r="A2" s="402" t="s">
        <v>503</v>
      </c>
      <c r="B2" s="403"/>
      <c r="C2" s="403"/>
      <c r="D2" s="403"/>
      <c r="E2" s="403"/>
      <c r="F2" s="403"/>
      <c r="G2" s="403"/>
    </row>
    <row r="3" spans="1:10" customFormat="1" ht="21.75">
      <c r="A3" s="404"/>
      <c r="B3" s="404"/>
      <c r="C3" s="404"/>
      <c r="D3" s="404"/>
      <c r="E3" s="405" t="s">
        <v>504</v>
      </c>
      <c r="F3" s="404"/>
      <c r="G3" s="405"/>
    </row>
    <row r="4" spans="1:10" ht="38.25" customHeight="1">
      <c r="A4" s="406" t="s">
        <v>505</v>
      </c>
      <c r="B4" s="407" t="s">
        <v>506</v>
      </c>
      <c r="C4" s="407" t="s">
        <v>507</v>
      </c>
      <c r="D4" s="407" t="s">
        <v>508</v>
      </c>
      <c r="E4" s="407" t="s">
        <v>870</v>
      </c>
      <c r="F4" s="408"/>
      <c r="G4" s="408"/>
      <c r="H4" s="408"/>
      <c r="I4" s="408"/>
      <c r="J4" s="408"/>
    </row>
    <row r="5" spans="1:10" ht="30" customHeight="1">
      <c r="A5" s="409" t="s">
        <v>509</v>
      </c>
      <c r="B5" s="410"/>
      <c r="C5" s="411"/>
      <c r="D5" s="411"/>
      <c r="E5" s="411"/>
      <c r="F5" s="412"/>
      <c r="G5" s="412"/>
      <c r="H5" s="412"/>
      <c r="I5" s="412"/>
      <c r="J5" s="412"/>
    </row>
    <row r="6" spans="1:10" ht="30" customHeight="1">
      <c r="A6" s="413" t="s">
        <v>510</v>
      </c>
      <c r="B6" s="515">
        <v>1123735164</v>
      </c>
      <c r="C6" s="515">
        <v>2246943411</v>
      </c>
      <c r="D6" s="515">
        <v>2877239109</v>
      </c>
      <c r="E6" s="415">
        <f>B6+C6-D6</f>
        <v>493439466</v>
      </c>
      <c r="F6" s="416"/>
      <c r="G6" s="416"/>
      <c r="H6" s="416"/>
      <c r="I6" s="412"/>
      <c r="J6" s="412"/>
    </row>
    <row r="7" spans="1:10" ht="30" customHeight="1">
      <c r="A7" s="413" t="s">
        <v>511</v>
      </c>
      <c r="B7" s="515">
        <v>325180627</v>
      </c>
      <c r="C7" s="515">
        <v>589506248</v>
      </c>
      <c r="D7" s="515">
        <v>617681403</v>
      </c>
      <c r="E7" s="415">
        <f>B7+C7-D7</f>
        <v>297005472</v>
      </c>
      <c r="F7" s="412"/>
      <c r="G7" s="412"/>
      <c r="H7" s="416"/>
      <c r="I7" s="412"/>
      <c r="J7" s="412"/>
    </row>
    <row r="8" spans="1:10" ht="30" customHeight="1">
      <c r="A8" s="413" t="s">
        <v>512</v>
      </c>
      <c r="B8" s="515">
        <v>2654180</v>
      </c>
      <c r="C8" s="515">
        <v>71811779</v>
      </c>
      <c r="D8" s="515">
        <v>73475959</v>
      </c>
      <c r="E8" s="415">
        <f>B8+C8-D8</f>
        <v>990000</v>
      </c>
      <c r="F8" s="412"/>
      <c r="G8" s="412"/>
      <c r="H8" s="412"/>
      <c r="I8" s="412"/>
      <c r="J8" s="412"/>
    </row>
    <row r="9" spans="1:10" ht="30" customHeight="1">
      <c r="A9" s="413" t="s">
        <v>513</v>
      </c>
      <c r="B9" s="414"/>
      <c r="C9" s="415">
        <v>125818500</v>
      </c>
      <c r="D9" s="415">
        <v>125818500</v>
      </c>
      <c r="E9" s="415">
        <f>B9+C9-D9</f>
        <v>0</v>
      </c>
      <c r="F9" s="412"/>
      <c r="G9" s="412"/>
      <c r="H9" s="412"/>
      <c r="I9" s="412"/>
      <c r="J9" s="412"/>
    </row>
    <row r="10" spans="1:10" ht="30" customHeight="1">
      <c r="A10" s="417" t="s">
        <v>51</v>
      </c>
      <c r="B10" s="418">
        <f>SUM(B6:B9)</f>
        <v>1451569971</v>
      </c>
      <c r="C10" s="418">
        <f>SUM(C6:C9)</f>
        <v>3034079938</v>
      </c>
      <c r="D10" s="418">
        <f>SUM(D6:D9)</f>
        <v>3694214971</v>
      </c>
      <c r="E10" s="418">
        <f>SUM(E6:E9)</f>
        <v>791434938</v>
      </c>
      <c r="F10" s="412"/>
      <c r="G10" s="412"/>
      <c r="H10" s="412"/>
      <c r="I10" s="412"/>
      <c r="J10" s="412"/>
    </row>
    <row r="11" spans="1:10" ht="30" customHeight="1">
      <c r="A11" s="417" t="s">
        <v>514</v>
      </c>
      <c r="B11" s="414"/>
      <c r="C11" s="413"/>
      <c r="D11" s="413"/>
      <c r="E11" s="413"/>
      <c r="F11" s="412"/>
      <c r="G11" s="412"/>
      <c r="H11" s="412"/>
      <c r="I11" s="412"/>
      <c r="J11" s="412"/>
    </row>
    <row r="12" spans="1:10" ht="30" customHeight="1">
      <c r="A12" s="413" t="s">
        <v>510</v>
      </c>
      <c r="B12" s="414"/>
      <c r="C12" s="413"/>
      <c r="D12" s="413"/>
      <c r="E12" s="413"/>
      <c r="F12" s="412"/>
      <c r="G12" s="412"/>
      <c r="H12" s="412"/>
      <c r="I12" s="412"/>
      <c r="J12" s="412"/>
    </row>
    <row r="13" spans="1:10" ht="30" customHeight="1">
      <c r="A13" s="413" t="s">
        <v>511</v>
      </c>
      <c r="B13" s="414"/>
      <c r="C13" s="413"/>
      <c r="D13" s="413"/>
      <c r="E13" s="413"/>
      <c r="F13" s="412"/>
      <c r="G13" s="412"/>
      <c r="H13" s="412"/>
      <c r="I13" s="412"/>
      <c r="J13" s="412"/>
    </row>
    <row r="14" spans="1:10" ht="30" customHeight="1">
      <c r="A14" s="413" t="s">
        <v>512</v>
      </c>
      <c r="B14" s="414"/>
      <c r="C14" s="413"/>
      <c r="D14" s="413"/>
      <c r="E14" s="413"/>
      <c r="F14" s="412"/>
      <c r="G14" s="412"/>
      <c r="H14" s="412"/>
      <c r="I14" s="412"/>
      <c r="J14" s="412"/>
    </row>
    <row r="15" spans="1:10" ht="30" customHeight="1">
      <c r="A15" s="419" t="s">
        <v>513</v>
      </c>
      <c r="B15" s="420"/>
      <c r="C15" s="421"/>
      <c r="D15" s="421"/>
      <c r="E15" s="421"/>
      <c r="F15" s="412"/>
      <c r="G15" s="412"/>
      <c r="H15" s="412"/>
      <c r="I15" s="412"/>
      <c r="J15" s="412"/>
    </row>
    <row r="16" spans="1:10" ht="21" customHeight="1">
      <c r="A16" s="422"/>
      <c r="B16" s="423"/>
      <c r="C16" s="424"/>
      <c r="D16" s="424"/>
      <c r="E16" s="424"/>
      <c r="F16" s="412"/>
      <c r="G16" s="412"/>
      <c r="H16" s="412"/>
      <c r="I16" s="412"/>
      <c r="J16" s="412"/>
    </row>
    <row r="17" spans="1:7" s="427" customFormat="1" ht="21" customHeight="1">
      <c r="A17" s="425" t="s">
        <v>515</v>
      </c>
      <c r="B17" s="426" t="s">
        <v>516</v>
      </c>
      <c r="C17" s="426"/>
      <c r="D17" s="753" t="s">
        <v>517</v>
      </c>
      <c r="E17" s="754"/>
      <c r="F17" s="753"/>
      <c r="G17" s="754"/>
    </row>
  </sheetData>
  <mergeCells count="2">
    <mergeCell ref="D17:E17"/>
    <mergeCell ref="F17:G17"/>
  </mergeCells>
  <phoneticPr fontId="18" type="noConversion"/>
  <pageMargins left="1.18" right="0.27" top="0.57999999999999996" bottom="0.35" header="0.5" footer="0.16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J858"/>
  <sheetViews>
    <sheetView topLeftCell="A7" workbookViewId="0">
      <selection activeCell="G20" sqref="G20"/>
    </sheetView>
  </sheetViews>
  <sheetFormatPr defaultRowHeight="16.5"/>
  <cols>
    <col min="1" max="1" width="32" style="428" customWidth="1"/>
    <col min="2" max="2" width="17.28515625" style="428" customWidth="1"/>
    <col min="3" max="3" width="16.7109375" style="428" customWidth="1"/>
    <col min="4" max="4" width="16.5703125" style="428" customWidth="1"/>
    <col min="5" max="5" width="16.85546875" style="428" customWidth="1"/>
    <col min="6" max="6" width="0.7109375" style="428" hidden="1" customWidth="1"/>
    <col min="7" max="7" width="16.7109375" style="428" customWidth="1"/>
    <col min="8" max="8" width="15.7109375" style="428" customWidth="1"/>
    <col min="9" max="9" width="9.140625" style="428"/>
    <col min="10" max="10" width="26.42578125" style="428" customWidth="1"/>
    <col min="11" max="16384" width="9.140625" style="428"/>
  </cols>
  <sheetData>
    <row r="1" spans="1:10" ht="9" customHeight="1"/>
    <row r="2" spans="1:10" s="429" customFormat="1">
      <c r="A2" s="762" t="s">
        <v>858</v>
      </c>
      <c r="B2" s="762"/>
      <c r="C2" s="762"/>
      <c r="D2" s="762"/>
      <c r="E2" s="762"/>
      <c r="F2" s="762"/>
      <c r="G2" s="762"/>
      <c r="H2" s="762"/>
    </row>
    <row r="3" spans="1:10" s="429" customFormat="1" ht="18" customHeight="1">
      <c r="A3" s="763" t="s">
        <v>518</v>
      </c>
      <c r="B3" s="763"/>
      <c r="C3" s="763"/>
      <c r="D3" s="763"/>
      <c r="E3" s="763"/>
      <c r="F3" s="763"/>
      <c r="G3" s="763"/>
      <c r="H3" s="763"/>
    </row>
    <row r="4" spans="1:10" s="431" customFormat="1" ht="18.75" customHeight="1">
      <c r="A4" s="758" t="s">
        <v>519</v>
      </c>
      <c r="B4" s="755" t="s">
        <v>520</v>
      </c>
      <c r="C4" s="755" t="s">
        <v>521</v>
      </c>
      <c r="D4" s="755" t="s">
        <v>522</v>
      </c>
      <c r="E4" s="755" t="s">
        <v>523</v>
      </c>
      <c r="F4" s="755" t="s">
        <v>524</v>
      </c>
      <c r="G4" s="430" t="s">
        <v>525</v>
      </c>
      <c r="H4" s="758" t="s">
        <v>51</v>
      </c>
    </row>
    <row r="5" spans="1:10" s="431" customFormat="1" ht="18.75" customHeight="1">
      <c r="A5" s="759"/>
      <c r="B5" s="756"/>
      <c r="C5" s="756"/>
      <c r="D5" s="756"/>
      <c r="E5" s="756"/>
      <c r="F5" s="756"/>
      <c r="G5" s="432" t="s">
        <v>526</v>
      </c>
      <c r="H5" s="759"/>
    </row>
    <row r="6" spans="1:10" s="431" customFormat="1" ht="6.75" customHeight="1">
      <c r="A6" s="760"/>
      <c r="B6" s="757"/>
      <c r="C6" s="757"/>
      <c r="D6" s="757"/>
      <c r="E6" s="757"/>
      <c r="F6" s="757"/>
      <c r="G6" s="433"/>
      <c r="H6" s="760"/>
    </row>
    <row r="7" spans="1:10" ht="23.25" customHeight="1">
      <c r="A7" s="434" t="s">
        <v>527</v>
      </c>
      <c r="B7" s="435">
        <v>13197100000</v>
      </c>
      <c r="C7" s="436">
        <v>1166591330</v>
      </c>
      <c r="D7" s="436">
        <v>572915308</v>
      </c>
      <c r="E7" s="436">
        <v>8860000</v>
      </c>
      <c r="F7" s="436">
        <v>0</v>
      </c>
      <c r="G7" s="436">
        <v>2296964436</v>
      </c>
      <c r="H7" s="436">
        <f>G7+F7+E7+D7+C7+B7</f>
        <v>17242431074</v>
      </c>
      <c r="J7" s="437"/>
    </row>
    <row r="8" spans="1:10" ht="23.25" customHeight="1">
      <c r="A8" s="438" t="s">
        <v>528</v>
      </c>
      <c r="B8" s="439"/>
      <c r="C8" s="440"/>
      <c r="D8" s="440">
        <v>114848222</v>
      </c>
      <c r="E8" s="440"/>
      <c r="F8" s="440"/>
      <c r="G8" s="440">
        <v>3286836669</v>
      </c>
      <c r="H8" s="441">
        <f>B8+C8+D8+E8+F8+G8</f>
        <v>3401684891</v>
      </c>
    </row>
    <row r="9" spans="1:10" ht="23.25" customHeight="1">
      <c r="A9" s="438" t="s">
        <v>529</v>
      </c>
      <c r="B9" s="439"/>
      <c r="C9" s="440"/>
      <c r="D9" s="440"/>
      <c r="E9" s="440"/>
      <c r="F9" s="440"/>
      <c r="G9" s="440">
        <v>2296964436</v>
      </c>
      <c r="H9" s="441">
        <f>B9+C9+D9+E9+F9+G9</f>
        <v>2296964436</v>
      </c>
      <c r="J9" s="437"/>
    </row>
    <row r="10" spans="1:10" s="429" customFormat="1" ht="26.25" customHeight="1">
      <c r="A10" s="442" t="s">
        <v>530</v>
      </c>
      <c r="B10" s="443">
        <f t="shared" ref="B10:G10" si="0">B7+B8-B9</f>
        <v>13197100000</v>
      </c>
      <c r="C10" s="443">
        <f t="shared" si="0"/>
        <v>1166591330</v>
      </c>
      <c r="D10" s="443">
        <f t="shared" si="0"/>
        <v>687763530</v>
      </c>
      <c r="E10" s="443">
        <f t="shared" si="0"/>
        <v>8860000</v>
      </c>
      <c r="F10" s="443">
        <f t="shared" si="0"/>
        <v>0</v>
      </c>
      <c r="G10" s="443">
        <f t="shared" si="0"/>
        <v>3286836669</v>
      </c>
      <c r="H10" s="444">
        <f>B10+C10+D10+E10+F10+G10</f>
        <v>18347151529</v>
      </c>
      <c r="J10" s="445"/>
    </row>
    <row r="11" spans="1:10" s="429" customFormat="1" ht="26.25" customHeight="1">
      <c r="A11" s="446" t="s">
        <v>531</v>
      </c>
      <c r="B11" s="447">
        <f>B10</f>
        <v>13197100000</v>
      </c>
      <c r="C11" s="447">
        <f t="shared" ref="C11:H11" si="1">C10</f>
        <v>1166591330</v>
      </c>
      <c r="D11" s="447">
        <f t="shared" si="1"/>
        <v>687763530</v>
      </c>
      <c r="E11" s="447">
        <f t="shared" si="1"/>
        <v>8860000</v>
      </c>
      <c r="F11" s="447">
        <f t="shared" si="1"/>
        <v>0</v>
      </c>
      <c r="G11" s="447">
        <f>G10</f>
        <v>3286836669</v>
      </c>
      <c r="H11" s="447">
        <f t="shared" si="1"/>
        <v>18347151529</v>
      </c>
    </row>
    <row r="12" spans="1:10" ht="23.25" customHeight="1">
      <c r="A12" s="438" t="s">
        <v>532</v>
      </c>
      <c r="B12" s="439"/>
      <c r="C12" s="440">
        <f>687763530+587942+163753891</f>
        <v>852105363</v>
      </c>
      <c r="D12" s="440"/>
      <c r="E12" s="440"/>
      <c r="F12" s="440"/>
      <c r="G12" s="512">
        <v>2074096129</v>
      </c>
      <c r="H12" s="441">
        <f>B12+C12+D12+E12+F12+G12</f>
        <v>2926201492</v>
      </c>
    </row>
    <row r="13" spans="1:10" ht="23.25" customHeight="1">
      <c r="A13" s="438" t="s">
        <v>533</v>
      </c>
      <c r="B13" s="439"/>
      <c r="C13" s="440"/>
      <c r="D13" s="440">
        <v>687763530</v>
      </c>
      <c r="E13" s="440"/>
      <c r="F13" s="440"/>
      <c r="G13" s="512">
        <v>3286836669</v>
      </c>
      <c r="H13" s="441">
        <f>B13+C13+D13+E13+F13+G13</f>
        <v>3974600199</v>
      </c>
    </row>
    <row r="14" spans="1:10" s="429" customFormat="1" ht="23.25" customHeight="1">
      <c r="A14" s="442" t="s">
        <v>773</v>
      </c>
      <c r="B14" s="448">
        <f t="shared" ref="B14:G14" si="2">B10+B12-B13</f>
        <v>13197100000</v>
      </c>
      <c r="C14" s="448">
        <f t="shared" si="2"/>
        <v>2018696693</v>
      </c>
      <c r="D14" s="448">
        <f t="shared" si="2"/>
        <v>0</v>
      </c>
      <c r="E14" s="448">
        <f t="shared" si="2"/>
        <v>8860000</v>
      </c>
      <c r="F14" s="448">
        <f t="shared" si="2"/>
        <v>0</v>
      </c>
      <c r="G14" s="448">
        <f t="shared" si="2"/>
        <v>2074096129</v>
      </c>
      <c r="H14" s="444">
        <f>B14+C14+D14+E14+F14+G14</f>
        <v>17298752822</v>
      </c>
    </row>
    <row r="15" spans="1:10" s="429" customFormat="1" ht="7.5" customHeight="1">
      <c r="A15" s="449"/>
      <c r="B15" s="450"/>
      <c r="C15" s="450"/>
      <c r="D15" s="450"/>
      <c r="E15" s="450"/>
      <c r="F15" s="450"/>
      <c r="G15" s="450"/>
      <c r="H15" s="451"/>
    </row>
    <row r="16" spans="1:10" ht="18" customHeight="1">
      <c r="A16" s="452"/>
      <c r="B16" s="452"/>
      <c r="E16" s="761" t="s">
        <v>797</v>
      </c>
      <c r="F16" s="761"/>
      <c r="G16" s="761"/>
      <c r="H16" s="761"/>
    </row>
    <row r="17" spans="1:8" s="240" customFormat="1" ht="18.75" customHeight="1">
      <c r="A17" s="602" t="s">
        <v>534</v>
      </c>
      <c r="B17" s="602"/>
      <c r="C17" s="562"/>
      <c r="E17" s="602" t="s">
        <v>861</v>
      </c>
      <c r="F17" s="602"/>
      <c r="G17" s="602"/>
      <c r="H17" s="602"/>
    </row>
    <row r="18" spans="1:8" s="453" customFormat="1" ht="18.75" customHeight="1">
      <c r="H18" s="454"/>
    </row>
    <row r="19" spans="1:8" s="38" customFormat="1" ht="18.75" customHeight="1"/>
    <row r="20" spans="1:8" s="38" customFormat="1" ht="18.75" customHeight="1"/>
    <row r="21" spans="1:8" s="38" customFormat="1" ht="18.75" customHeight="1">
      <c r="A21" s="601" t="s">
        <v>535</v>
      </c>
      <c r="B21" s="601"/>
      <c r="C21" s="563"/>
    </row>
    <row r="22" spans="1:8" s="453" customFormat="1" ht="18.75" customHeight="1"/>
    <row r="23" spans="1:8" ht="18.75" customHeight="1">
      <c r="A23" s="452"/>
      <c r="B23" s="452"/>
    </row>
    <row r="24" spans="1:8" ht="18.75" customHeight="1">
      <c r="A24" s="452"/>
      <c r="B24" s="452"/>
    </row>
    <row r="25" spans="1:8" ht="18.75" customHeight="1">
      <c r="A25" s="452"/>
      <c r="B25" s="452"/>
    </row>
    <row r="26" spans="1:8" ht="18.75" customHeight="1">
      <c r="A26" s="452"/>
      <c r="B26" s="452"/>
    </row>
    <row r="27" spans="1:8" ht="18.75" customHeight="1">
      <c r="A27" s="452"/>
      <c r="B27" s="452"/>
    </row>
    <row r="28" spans="1:8" ht="18.75" customHeight="1">
      <c r="A28" s="452"/>
      <c r="B28" s="452"/>
    </row>
    <row r="29" spans="1:8" ht="18.75" customHeight="1">
      <c r="A29" s="452"/>
      <c r="B29" s="452"/>
    </row>
    <row r="30" spans="1:8" ht="18.75" customHeight="1">
      <c r="A30" s="452"/>
      <c r="B30" s="452"/>
    </row>
    <row r="31" spans="1:8" ht="18.75" customHeight="1">
      <c r="A31" s="452"/>
      <c r="B31" s="452"/>
    </row>
    <row r="32" spans="1:8" ht="18.75" customHeight="1">
      <c r="A32" s="452"/>
      <c r="B32" s="452"/>
    </row>
    <row r="33" spans="1:2" ht="18.75" customHeight="1">
      <c r="A33" s="452"/>
      <c r="B33" s="452"/>
    </row>
    <row r="34" spans="1:2" ht="18.75" customHeight="1">
      <c r="A34" s="452"/>
      <c r="B34" s="452"/>
    </row>
    <row r="35" spans="1:2" ht="18.75" customHeight="1">
      <c r="A35" s="452"/>
      <c r="B35" s="452"/>
    </row>
    <row r="36" spans="1:2" ht="18.75" customHeight="1">
      <c r="A36" s="452"/>
      <c r="B36" s="452"/>
    </row>
    <row r="37" spans="1:2" ht="18.75" customHeight="1">
      <c r="A37" s="452"/>
      <c r="B37" s="452"/>
    </row>
    <row r="38" spans="1:2" ht="18.75" customHeight="1">
      <c r="A38" s="452"/>
      <c r="B38" s="452"/>
    </row>
    <row r="39" spans="1:2" ht="18.75" customHeight="1">
      <c r="A39" s="452"/>
      <c r="B39" s="452"/>
    </row>
    <row r="40" spans="1:2" ht="18.75" customHeight="1">
      <c r="A40" s="452"/>
      <c r="B40" s="452"/>
    </row>
    <row r="41" spans="1:2" ht="18.75" customHeight="1">
      <c r="A41" s="452"/>
      <c r="B41" s="452"/>
    </row>
    <row r="42" spans="1:2" ht="18.75" customHeight="1">
      <c r="A42" s="452"/>
      <c r="B42" s="452"/>
    </row>
    <row r="43" spans="1:2" ht="18.75" customHeight="1">
      <c r="A43" s="452"/>
      <c r="B43" s="452"/>
    </row>
    <row r="44" spans="1:2" ht="18.75" customHeight="1">
      <c r="A44" s="452"/>
      <c r="B44" s="452"/>
    </row>
    <row r="45" spans="1:2" ht="18.75" customHeight="1">
      <c r="A45" s="452"/>
      <c r="B45" s="452"/>
    </row>
    <row r="46" spans="1:2" ht="18.75" customHeight="1">
      <c r="A46" s="452"/>
      <c r="B46" s="452"/>
    </row>
    <row r="47" spans="1:2" ht="18.75" customHeight="1">
      <c r="A47" s="452"/>
      <c r="B47" s="452"/>
    </row>
    <row r="48" spans="1:2" ht="18.75" customHeight="1">
      <c r="A48" s="452"/>
      <c r="B48" s="452"/>
    </row>
    <row r="49" spans="1:2" ht="18.75" customHeight="1">
      <c r="A49" s="452"/>
      <c r="B49" s="452"/>
    </row>
    <row r="50" spans="1:2" ht="18.75" customHeight="1">
      <c r="A50" s="452"/>
      <c r="B50" s="452"/>
    </row>
    <row r="51" spans="1:2" ht="18.75" customHeight="1">
      <c r="A51" s="452"/>
      <c r="B51" s="452"/>
    </row>
    <row r="52" spans="1:2" ht="18.75" customHeight="1">
      <c r="A52" s="452"/>
      <c r="B52" s="452"/>
    </row>
    <row r="53" spans="1:2" ht="18.75" customHeight="1">
      <c r="A53" s="452"/>
      <c r="B53" s="452"/>
    </row>
    <row r="54" spans="1:2" ht="18.75" customHeight="1">
      <c r="A54" s="452"/>
      <c r="B54" s="452"/>
    </row>
    <row r="55" spans="1:2" ht="18.75" customHeight="1">
      <c r="A55" s="452"/>
      <c r="B55" s="452"/>
    </row>
    <row r="56" spans="1:2" ht="18.75" customHeight="1">
      <c r="A56" s="452"/>
      <c r="B56" s="452"/>
    </row>
    <row r="57" spans="1:2" ht="18.75" customHeight="1">
      <c r="A57" s="452"/>
      <c r="B57" s="452"/>
    </row>
    <row r="58" spans="1:2" ht="18.75" customHeight="1">
      <c r="A58" s="452"/>
      <c r="B58" s="452"/>
    </row>
    <row r="59" spans="1:2" ht="18.75" customHeight="1">
      <c r="A59" s="452"/>
      <c r="B59" s="452"/>
    </row>
    <row r="60" spans="1:2" ht="18.75" customHeight="1">
      <c r="A60" s="452"/>
      <c r="B60" s="452"/>
    </row>
    <row r="61" spans="1:2" ht="18.75" customHeight="1">
      <c r="A61" s="452"/>
      <c r="B61" s="452"/>
    </row>
    <row r="62" spans="1:2" ht="18.75" customHeight="1">
      <c r="A62" s="452"/>
      <c r="B62" s="452"/>
    </row>
    <row r="63" spans="1:2" ht="18.75" customHeight="1">
      <c r="A63" s="452"/>
      <c r="B63" s="452"/>
    </row>
    <row r="64" spans="1:2" ht="18.75" customHeight="1">
      <c r="A64" s="452"/>
      <c r="B64" s="452"/>
    </row>
    <row r="65" spans="1:2" ht="18.75" customHeight="1">
      <c r="A65" s="452"/>
      <c r="B65" s="452"/>
    </row>
    <row r="66" spans="1:2" ht="18.75" customHeight="1">
      <c r="A66" s="452"/>
      <c r="B66" s="452"/>
    </row>
    <row r="67" spans="1:2" ht="18.75" customHeight="1">
      <c r="A67" s="452"/>
      <c r="B67" s="452"/>
    </row>
    <row r="68" spans="1:2" ht="18.75" customHeight="1">
      <c r="A68" s="452"/>
      <c r="B68" s="452"/>
    </row>
    <row r="69" spans="1:2" ht="18.75" customHeight="1">
      <c r="A69" s="452"/>
      <c r="B69" s="452"/>
    </row>
    <row r="70" spans="1:2" ht="18.75" customHeight="1">
      <c r="A70" s="452"/>
      <c r="B70" s="452"/>
    </row>
    <row r="71" spans="1:2" ht="18.75" customHeight="1">
      <c r="A71" s="452"/>
      <c r="B71" s="452"/>
    </row>
    <row r="72" spans="1:2" ht="18.75" customHeight="1">
      <c r="A72" s="452"/>
      <c r="B72" s="452"/>
    </row>
    <row r="73" spans="1:2" ht="18.75" customHeight="1">
      <c r="A73" s="452"/>
      <c r="B73" s="452"/>
    </row>
    <row r="74" spans="1:2" ht="18.75" customHeight="1">
      <c r="A74" s="452"/>
      <c r="B74" s="452"/>
    </row>
    <row r="75" spans="1:2" ht="18.75" customHeight="1">
      <c r="A75" s="452"/>
      <c r="B75" s="452"/>
    </row>
    <row r="76" spans="1:2" ht="18.75" customHeight="1">
      <c r="A76" s="452"/>
      <c r="B76" s="452"/>
    </row>
    <row r="77" spans="1:2" ht="18.75" customHeight="1">
      <c r="A77" s="452"/>
      <c r="B77" s="452"/>
    </row>
    <row r="78" spans="1:2" ht="18.75" customHeight="1">
      <c r="A78" s="452"/>
      <c r="B78" s="452"/>
    </row>
    <row r="79" spans="1:2" ht="18.75" customHeight="1">
      <c r="A79" s="452"/>
      <c r="B79" s="452"/>
    </row>
    <row r="80" spans="1:2" ht="18.75" customHeight="1">
      <c r="A80" s="452"/>
      <c r="B80" s="452"/>
    </row>
    <row r="81" spans="1:2" ht="18.75" customHeight="1">
      <c r="A81" s="452"/>
      <c r="B81" s="452"/>
    </row>
    <row r="82" spans="1:2" ht="18.75" customHeight="1">
      <c r="A82" s="452"/>
      <c r="B82" s="452"/>
    </row>
    <row r="83" spans="1:2" ht="18.75" customHeight="1">
      <c r="A83" s="452"/>
      <c r="B83" s="452"/>
    </row>
    <row r="84" spans="1:2" ht="18.75" customHeight="1">
      <c r="A84" s="452"/>
      <c r="B84" s="452"/>
    </row>
    <row r="85" spans="1:2" ht="18.75" customHeight="1">
      <c r="A85" s="452"/>
      <c r="B85" s="452"/>
    </row>
    <row r="86" spans="1:2" ht="18.75" customHeight="1">
      <c r="A86" s="452"/>
      <c r="B86" s="452"/>
    </row>
    <row r="87" spans="1:2" ht="18.75" customHeight="1">
      <c r="A87" s="452"/>
      <c r="B87" s="452"/>
    </row>
    <row r="88" spans="1:2" ht="18.75" customHeight="1">
      <c r="A88" s="452"/>
      <c r="B88" s="452"/>
    </row>
    <row r="89" spans="1:2" ht="18.75" customHeight="1">
      <c r="A89" s="452"/>
      <c r="B89" s="452"/>
    </row>
    <row r="90" spans="1:2" ht="18.75" customHeight="1">
      <c r="A90" s="452"/>
      <c r="B90" s="452"/>
    </row>
    <row r="91" spans="1:2" ht="18.75" customHeight="1"/>
    <row r="92" spans="1:2" ht="18.75" customHeight="1"/>
    <row r="93" spans="1:2" ht="18.75" customHeight="1"/>
    <row r="94" spans="1:2" ht="18.75" customHeight="1"/>
    <row r="95" spans="1:2" ht="18.75" customHeight="1"/>
    <row r="96" spans="1:2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</sheetData>
  <mergeCells count="13">
    <mergeCell ref="A2:H2"/>
    <mergeCell ref="A3:H3"/>
    <mergeCell ref="A4:A6"/>
    <mergeCell ref="B4:B6"/>
    <mergeCell ref="C4:C6"/>
    <mergeCell ref="D4:D6"/>
    <mergeCell ref="E4:E6"/>
    <mergeCell ref="F4:F6"/>
    <mergeCell ref="H4:H6"/>
    <mergeCell ref="A17:B17"/>
    <mergeCell ref="A21:B21"/>
    <mergeCell ref="E17:H17"/>
    <mergeCell ref="E16:H16"/>
  </mergeCells>
  <phoneticPr fontId="18" type="noConversion"/>
  <pageMargins left="0.85" right="0.38" top="0.83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CĐKT</vt:lpstr>
      <vt:lpstr>KQKD</vt:lpstr>
      <vt:lpstr>LCTT</vt:lpstr>
      <vt:lpstr>TM P4</vt:lpstr>
      <vt:lpstr>TM P5</vt:lpstr>
      <vt:lpstr>TMp6</vt:lpstr>
      <vt:lpstr>PL TS</vt:lpstr>
      <vt:lpstr>PL thue</vt:lpstr>
      <vt:lpstr>PL Von</vt:lpstr>
      <vt:lpstr>Sheet2</vt:lpstr>
      <vt:lpstr>TH CPC </vt:lpstr>
      <vt:lpstr>Sheet1</vt:lpstr>
      <vt:lpstr>KP CD</vt:lpstr>
      <vt:lpstr>ttr</vt:lpstr>
      <vt:lpstr>Z</vt:lpstr>
      <vt:lpstr>Sheet6</vt:lpstr>
      <vt:lpstr>Sheet5</vt:lpstr>
      <vt:lpstr>Sheet4</vt:lpstr>
      <vt:lpstr>Sheet3</vt:lpstr>
      <vt:lpstr>CĐKT!Print_Titles</vt:lpstr>
      <vt:lpstr>Sheet5!Print_Titles</vt:lpstr>
      <vt:lpstr>'TH CPC '!Print_Titles</vt:lpstr>
      <vt:lpstr>'TM P4'!Print_Titles</vt:lpstr>
      <vt:lpstr>Z!Print_Titles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2015-10-19T02:21:22Z</cp:lastPrinted>
  <dcterms:created xsi:type="dcterms:W3CDTF">2015-10-07T08:37:32Z</dcterms:created>
  <dcterms:modified xsi:type="dcterms:W3CDTF">2015-10-20T01:50:59Z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1940bd1134e045aaa72260be89331241.psdsxs" Id="Rf1a8ef6db8204c87" /></Relationships>
</file>