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9975" firstSheet="1" activeTab="3"/>
  </bookViews>
  <sheets>
    <sheet name="tt con bcdps " sheetId="1" r:id="rId1"/>
    <sheet name="bcdsps tt me" sheetId="2" r:id="rId2"/>
    <sheet name="bcdps hop nhat" sheetId="3" r:id="rId3"/>
    <sheet name="BCDKT" sheetId="4" r:id="rId4"/>
    <sheet name="BCKQHĐK" sheetId="5" r:id="rId5"/>
    <sheet name="TMBCTC" sheetId="6" r:id="rId6"/>
    <sheet name="BCLCTT" sheetId="7" r:id="rId7"/>
  </sheets>
  <externalReferences>
    <externalReference r:id="rId10"/>
  </externalReferences>
  <definedNames>
    <definedName name="_xlnm.Print_Titles" localSheetId="2">'bcdps hop nhat'!$4:$5</definedName>
    <definedName name="_xlnm.Print_Titles" localSheetId="1">'bcdsps tt me'!$4:$5</definedName>
    <definedName name="_xlnm.Print_Titles" localSheetId="0">'tt con bcdps '!$4:$5</definedName>
  </definedNames>
  <calcPr fullCalcOnLoad="1"/>
</workbook>
</file>

<file path=xl/sharedStrings.xml><?xml version="1.0" encoding="utf-8"?>
<sst xmlns="http://schemas.openxmlformats.org/spreadsheetml/2006/main" count="841" uniqueCount="602">
  <si>
    <t>B¶ng c©n ®èi ph¸t sinh c¸c tµi kho¶n</t>
  </si>
  <si>
    <t>Cty CP §Çu T­ ThiÕt bÞ vµ X©y L¾p §iÖn Thiªn Tr­êng</t>
  </si>
  <si>
    <t>Tªn tµi kho¶n</t>
  </si>
  <si>
    <t>Nî</t>
  </si>
  <si>
    <t>D­ ®Çu kú</t>
  </si>
  <si>
    <t>Cã</t>
  </si>
  <si>
    <t>Sè d­ cuèi kú</t>
  </si>
  <si>
    <t>CÔNG TY CPĐT TB &amp; XL Điện Thiên Trường</t>
  </si>
  <si>
    <t>Địa chỉ: Lô 55 Đường N2 - Cụm CN An Xá - TP Nam Định</t>
  </si>
  <si>
    <t>Tel: 03503.839.839      Fax: 03503.834578</t>
  </si>
  <si>
    <t xml:space="preserve">       Mẫu số : Q-01d</t>
  </si>
  <si>
    <t>DN- BẢNG CÂN ĐỐI KẾ TOÁN</t>
  </si>
  <si>
    <t>Chỉ tiêu</t>
  </si>
  <si>
    <t>Mã chỉ tiêu</t>
  </si>
  <si>
    <t>Thuyết minh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</si>
  <si>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</si>
  <si>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</si>
  <si>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</si>
  <si>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</si>
  <si>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</si>
  <si>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</si>
  <si>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</si>
  <si>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</si>
  <si>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</si>
  <si>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</si>
  <si>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</si>
  <si>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</si>
  <si>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</si>
  <si>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</si>
  <si>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</si>
  <si>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</si>
  <si>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</si>
  <si>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</si>
  <si>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</si>
  <si>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</si>
  <si>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</si>
  <si>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</si>
  <si>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</si>
  <si>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</si>
  <si>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</si>
  <si>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</si>
  <si>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</si>
  <si>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</si>
  <si>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</si>
  <si>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</si>
  <si>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</si>
  <si>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</si>
  <si>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</si>
  <si>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</si>
  <si>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</si>
  <si>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</si>
  <si>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</si>
  <si>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</si>
  <si>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</si>
  <si>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</si>
  <si>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</si>
  <si>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</si>
  <si>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</si>
  <si>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</si>
  <si>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</si>
  <si>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</si>
  <si>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</si>
  <si>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</si>
  <si>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</si>
  <si>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</si>
  <si>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</si>
  <si>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</si>
  <si>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</si>
  <si>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</si>
  <si>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</si>
  <si>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</si>
  <si>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</si>
  <si>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</si>
  <si>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</si>
  <si>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</si>
  <si>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</si>
  <si>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</si>
  <si>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</si>
  <si>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</si>
  <si>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</si>
  <si>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</si>
  <si>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</si>
  <si>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</si>
  <si>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</si>
  <si>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</si>
  <si>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</si>
  <si>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</si>
  <si>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</si>
  <si>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</si>
  <si>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</si>
  <si>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</si>
  <si>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</si>
  <si>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</si>
  <si>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</si>
  <si>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</si>
  <si>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</si>
  <si>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</si>
  <si>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</si>
  <si>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</si>
  <si>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</si>
  <si>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</si>
  <si>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</si>
  <si>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</si>
  <si>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</si>
  <si>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</si>
  <si>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</si>
  <si>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</si>
  <si>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</si>
  <si>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</si>
  <si>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</si>
  <si>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</si>
  <si>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</si>
  <si>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</si>
  <si>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</si>
  <si>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</si>
  <si>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</si>
  <si>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</si>
  <si>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</si>
  <si>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</si>
  <si>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</si>
  <si>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</si>
  <si>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</si>
  <si>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</si>
  <si>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</si>
  <si>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</si>
  <si>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</si>
  <si>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</si>
  <si>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</si>
  <si>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</si>
  <si>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</si>
  <si>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</si>
  <si>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</si>
  <si>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</si>
  <si>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</si>
  <si>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</si>
  <si>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</si>
  <si>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</si>
  <si>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</si>
  <si>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</si>
  <si>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</si>
  <si>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</si>
  <si>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</si>
  <si>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</si>
  <si>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</si>
  <si>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</si>
  <si>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</si>
  <si>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</si>
  <si>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</si>
  <si>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</si>
  <si>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</si>
  <si>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</si>
  <si>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</si>
  <si>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</si>
  <si>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</si>
  <si>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</si>
  <si>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</si>
  <si>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</si>
  <si>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</si>
  <si>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</si>
  <si>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</si>
  <si>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</si>
  <si>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</si>
  <si>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</si>
  <si>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</si>
  <si>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</si>
  <si>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</si>
  <si>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</si>
  <si>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</si>
  <si>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</si>
  <si>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</si>
  <si>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</si>
  <si>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</si>
  <si>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</si>
  <si>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</si>
  <si>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</si>
  <si>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</si>
  <si>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</si>
  <si>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</si>
  <si>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</si>
  <si>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</si>
  <si>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</si>
  <si>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</si>
  <si>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</si>
  <si>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</si>
  <si>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</si>
  <si>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</si>
  <si>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</si>
  <si>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</si>
  <si>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</si>
  <si>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</si>
  <si>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</si>
  <si>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</si>
  <si>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</si>
  <si>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</si>
  <si>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</si>
  <si>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</si>
  <si>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</si>
  <si>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</si>
  <si>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</si>
  <si>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</si>
  <si>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</si>
  <si>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</si>
  <si>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</si>
  <si>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</si>
  <si>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</si>
  <si>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</si>
  <si>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</si>
  <si>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</si>
  <si>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</si>
  <si>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</si>
  <si>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</si>
  <si>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</si>
  <si>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</si>
  <si>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</si>
  <si>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</si>
  <si>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</si>
  <si>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</si>
  <si>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 xml:space="preserve">     Người lập biểu </t>
  </si>
  <si>
    <t xml:space="preserve">    Kế toán trưởng </t>
  </si>
  <si>
    <t xml:space="preserve">Giám đốc </t>
  </si>
  <si>
    <t xml:space="preserve">Trần Thị Hồng Mến </t>
  </si>
  <si>
    <t>CTY CPĐT TB &amp; XL Điện Thiên Trường</t>
  </si>
  <si>
    <t xml:space="preserve">       Mẫu số :Q-02d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</si>
  <si>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</si>
  <si>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</si>
  <si>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</si>
  <si>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</si>
  <si>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</si>
  <si>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</si>
  <si>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</si>
  <si>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</si>
  <si>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</si>
  <si>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</si>
  <si>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</si>
  <si>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</si>
  <si>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</si>
  <si>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</si>
  <si>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</si>
  <si>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</si>
  <si>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</si>
  <si>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</si>
  <si>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</si>
  <si>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</si>
  <si>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</si>
  <si>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</si>
  <si>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</si>
  <si>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</si>
  <si>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</si>
  <si>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</si>
  <si>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</si>
  <si>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</si>
  <si>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</si>
  <si>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</si>
  <si>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</si>
  <si>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</si>
  <si>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</si>
  <si>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</si>
  <si>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</si>
  <si>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</si>
  <si>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</si>
  <si>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</si>
  <si>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</si>
  <si>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</si>
  <si>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</si>
  <si>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</si>
  <si>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</si>
  <si>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</si>
  <si>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</si>
  <si>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</si>
  <si>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 xml:space="preserve">B¶n ThuyÕt minh b¸o c¸o tµi chÝnh </t>
  </si>
  <si>
    <t>I. Th«ng tin bæ sung cho c¸c kho¶n môc tr×nh bµy trong b¶ng c©n ®èi kÕ to¸n</t>
  </si>
  <si>
    <t>§¬n vÞ tÝnh: ®ång VN</t>
  </si>
  <si>
    <t>1. TiÒn vµ t­¬ng ®­¬ng tiÒn:</t>
  </si>
  <si>
    <t>Sè cuèi kú</t>
  </si>
  <si>
    <t>. TiÒn mÆt</t>
  </si>
  <si>
    <t>. TiÒn göi ng©n hµng</t>
  </si>
  <si>
    <t>. T­¬ng ®­¬ng tiÒn</t>
  </si>
  <si>
    <t>Céng</t>
  </si>
  <si>
    <t>. Nguyªn liÖu, vËt liÖu</t>
  </si>
  <si>
    <t>. C«ng cô dông cô</t>
  </si>
  <si>
    <t>. Chi phÝ SX, KD dë dang</t>
  </si>
  <si>
    <t>. Thµnh phÈm</t>
  </si>
  <si>
    <t>. Hµng ho¸</t>
  </si>
  <si>
    <t>. Hµng göi ®i b¸n</t>
  </si>
  <si>
    <t>Kho¶n môc</t>
  </si>
  <si>
    <t>Tæng céng</t>
  </si>
  <si>
    <t>(1) Nguyªn gi¸ TSC§ h÷u h×nh</t>
  </si>
  <si>
    <t>Trong ®ã: Mua s¾m</t>
  </si>
  <si>
    <t xml:space="preserve">               Gãp vèn </t>
  </si>
  <si>
    <t xml:space="preserve">               X©y dùng</t>
  </si>
  <si>
    <t>Trong ®ã: Thanh lý</t>
  </si>
  <si>
    <t>(2) Gi¸ trÞ ®· hao mßn luü kÕ</t>
  </si>
  <si>
    <t xml:space="preserve">(3) Gi¸ trÞ cßn l¹i cña TSC§ </t>
  </si>
  <si>
    <t>h÷u h×nh (1-2)</t>
  </si>
  <si>
    <t>Trong ®ã:</t>
  </si>
  <si>
    <t xml:space="preserve">TSC§ ®· dïng ®Ó thÕ chÊp, cÇm </t>
  </si>
  <si>
    <t>cè c¸c kho¶n vay</t>
  </si>
  <si>
    <t>TSC§ t¹m thêi kh«ng sö dông</t>
  </si>
  <si>
    <t>TSC§ chê thanh lý</t>
  </si>
  <si>
    <t>QuyÒn sö dông ®Êt</t>
  </si>
  <si>
    <t>QuyÒn ph¸t hµnh</t>
  </si>
  <si>
    <t>PhÇn mÒm kÕ to¸n</t>
  </si>
  <si>
    <t>…</t>
  </si>
  <si>
    <t>TSC§ kh¸c</t>
  </si>
  <si>
    <t>dông ®Êt</t>
  </si>
  <si>
    <t>ph¸t hµnh</t>
  </si>
  <si>
    <t xml:space="preserve">kÕ to¸n </t>
  </si>
  <si>
    <t>....</t>
  </si>
  <si>
    <t>v« h×nh</t>
  </si>
  <si>
    <t>kh¸c</t>
  </si>
  <si>
    <t>(1)Nguyªn gi¸ TSC§ v« h×nh</t>
  </si>
  <si>
    <t>T¹o ra tõ néi bé doanh nghiÖp</t>
  </si>
  <si>
    <t>Thanh lý nh­îng b¸n</t>
  </si>
  <si>
    <t>Gi¶m kh¸c</t>
  </si>
  <si>
    <t>(2) Gi¸ trÞ hao mßn luü kÕ</t>
  </si>
  <si>
    <t>(3) Gi¸ trÞ cßn l¹i cña TSC§</t>
  </si>
  <si>
    <t>. T¹i ngµy ®Çu n¨m</t>
  </si>
  <si>
    <t>XDCB dë dang</t>
  </si>
  <si>
    <t>Tæng</t>
  </si>
  <si>
    <t>(1) C¸c kho¶n ®Çu t­ tµi chÝnh ng¾n h¹n:</t>
  </si>
  <si>
    <t>. Chøng kho¸n ®Çu t­ ng¾n h¹n</t>
  </si>
  <si>
    <t>. §Çu t­ tµi chÝnh ng¾n h¹n kh¸c</t>
  </si>
  <si>
    <t>(2) C¸c kho¶n ®Çu t­ tµi chÝnh dµi h¹n:</t>
  </si>
  <si>
    <t>. §Çu t­ vµo c¬ së kinh doanh ®ång kiÓm so¸t</t>
  </si>
  <si>
    <t>. §Çu t­ tµi chÝnh dµi h¹n kh¸c</t>
  </si>
  <si>
    <t>. ThuÕ gi¸ trÞ gia t¨ng ph¶i nép</t>
  </si>
  <si>
    <t>. ThuÕ tiªu thô ®Æc biÖt</t>
  </si>
  <si>
    <t>. ThuÕ xuÊt nhËp khÈu</t>
  </si>
  <si>
    <t xml:space="preserve">. ThuÕ thu nhËp doanh nghiÖp </t>
  </si>
  <si>
    <t>. ThuÕ thu nhËp c¸ nh©n</t>
  </si>
  <si>
    <t>. ThuÕ tµi nguyªn</t>
  </si>
  <si>
    <t>. ThuÕ nhµ ®Êt, tiÒn thuª ®Êt</t>
  </si>
  <si>
    <t>. C¸c lo¹i thuÕ kh¸c</t>
  </si>
  <si>
    <t>. PhÝ, lÖ phÝ vµ c¸c kho¶n ph¶i nép kh¸c</t>
  </si>
  <si>
    <t>ChØ tiªu</t>
  </si>
  <si>
    <t xml:space="preserve">Sè </t>
  </si>
  <si>
    <t>T¨ng</t>
  </si>
  <si>
    <t xml:space="preserve">Gi¶m </t>
  </si>
  <si>
    <t xml:space="preserve">II. Th«ng tin bæ sung cho c¸c kho¶n môc tr×nh bµy trong b¸o c¸o kÕt qu¶ ho¹t ®éng kinh doanh </t>
  </si>
  <si>
    <t>Trong ®ã: Doanh thu trao ®æi hµng ho¸</t>
  </si>
  <si>
    <t>Trong ®ã: Doanh thu trao ®æi dÞch vô</t>
  </si>
  <si>
    <t>TiÒn l·i, cæ tøc, lîi nhuËn ®­îc chia</t>
  </si>
  <si>
    <t>L·i chªnh lÖch tû gi¸ ®· thùc hiÖn</t>
  </si>
  <si>
    <t>L·i chªnh lÖch tû gi¸ ch­a thùc hiÖn</t>
  </si>
  <si>
    <t>Ng­êi lËp biÓu</t>
  </si>
  <si>
    <t>KÕ to¸n tr­ëng</t>
  </si>
  <si>
    <t>Gi¸m ®èc</t>
  </si>
  <si>
    <t xml:space="preserve">       Mẫu số : Q-03d</t>
  </si>
  <si>
    <t>DN - BÁO CÁO LƯU CHUYỂN TIỀN TỆ - PPTT- QUÝ</t>
  </si>
  <si>
    <t>Lũy kế từ đầu năm đến cuối quý này(Năm nay)</t>
  </si>
  <si>
    <t>Lũy kế từ đầu năm đến cuối quý này(Năm trước)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</si>
  <si>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</si>
  <si>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</si>
  <si>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</si>
  <si>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</si>
  <si>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</si>
  <si>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</si>
  <si>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</si>
  <si>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</si>
  <si>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</si>
  <si>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</si>
  <si>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</si>
  <si>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</si>
  <si>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</si>
  <si>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</si>
  <si>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</si>
  <si>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</si>
  <si>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</si>
  <si>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</si>
  <si>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</si>
  <si>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</si>
  <si>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</si>
  <si>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</si>
  <si>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</si>
  <si>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</si>
  <si>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</si>
  <si>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</si>
  <si>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</si>
  <si>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</si>
  <si>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</si>
  <si>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</si>
  <si>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</si>
  <si>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</si>
  <si>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</si>
  <si>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</si>
  <si>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</si>
  <si>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</si>
  <si>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</si>
  <si>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Số đầu năm</t>
  </si>
  <si>
    <t>Sè ®Çu n¨m</t>
  </si>
  <si>
    <t>. Sè d­ ®Çu n¨m</t>
  </si>
  <si>
    <t>Sè d­ ®Çu n¨m</t>
  </si>
  <si>
    <t>.Sè d­ ®Çu n¨m</t>
  </si>
  <si>
    <t>§Çu n¨m</t>
  </si>
  <si>
    <t>®Çu n¨m</t>
  </si>
  <si>
    <t>. Sè t¨ng trong kú</t>
  </si>
  <si>
    <t>. Sè gi¶m trong kú</t>
  </si>
  <si>
    <t>Sè t¨ng trong kú</t>
  </si>
  <si>
    <t>Sè gi¶m trong kú</t>
  </si>
  <si>
    <t>Mua trong kú</t>
  </si>
  <si>
    <t>. Sè t¨ng trong trong kú</t>
  </si>
  <si>
    <t>.Sè t¨ng trong kú</t>
  </si>
  <si>
    <t>.Sè gi¶m trong kú</t>
  </si>
  <si>
    <t>.Sè d­ cuèi kú</t>
  </si>
  <si>
    <t>Sè d­</t>
  </si>
  <si>
    <t>Tµi kho¶n</t>
  </si>
  <si>
    <t>Ph¸t sinh</t>
  </si>
  <si>
    <t>D­ cuèi kú</t>
  </si>
  <si>
    <t xml:space="preserve">TiÒn mÆt                                                                                                                         </t>
  </si>
  <si>
    <t xml:space="preserve">TiÒn mÆt ViÖt Nam                                                                                                                </t>
  </si>
  <si>
    <t xml:space="preserve">TiÒn göi ng©n hµng                                                                                                               </t>
  </si>
  <si>
    <t xml:space="preserve">TiÒn VND göi ng©n hµng                                                                                                           </t>
  </si>
  <si>
    <t xml:space="preserve">Ng©n hµng ®Çu t­ vµ ph¸t triÓn Nam §Þnh                                                                                          </t>
  </si>
  <si>
    <t xml:space="preserve">Ng©n hµng N«ng nghiÖp &amp; PTNT - Nam §Þnh                                                                                          </t>
  </si>
  <si>
    <t xml:space="preserve">TiÒn ngo¹i tÖ göi ng©n hµng                                                                                                      </t>
  </si>
  <si>
    <t xml:space="preserve">Ph¶i thu cña kh¸ch hµng                                                                                                          </t>
  </si>
  <si>
    <t xml:space="preserve">ThuÕ GTGT ®­îc khÊu trõ                                                                                                          </t>
  </si>
  <si>
    <t xml:space="preserve">ThuÕ GTGT ®­îc khÊu trõ cña hµng ho¸ dÞch vô                                                                                     </t>
  </si>
  <si>
    <t xml:space="preserve">Nguyªn liÖu, vËt liÖu                                                                                                            </t>
  </si>
  <si>
    <t xml:space="preserve">Nguyªn liÖu, vËt liÖu chÝnh x©y l¾p                                                                                              </t>
  </si>
  <si>
    <t xml:space="preserve">C«ng cô, dông cô                                                                                                                 </t>
  </si>
  <si>
    <t xml:space="preserve">Chi phÝ SXKD dë dang                                                                                                             </t>
  </si>
  <si>
    <t xml:space="preserve">Chi phÝ SXKD dë dang - X©y l¾p                                                                                                   </t>
  </si>
  <si>
    <t xml:space="preserve">Tµi s¶n cè ®Þnh h÷u h×nh                                                                                                         </t>
  </si>
  <si>
    <t xml:space="preserve">Tµi S¶n m¸y mãc, thiÕt bÞ, ph­¬ng tiÖn vËn t¶i                                                                                   </t>
  </si>
  <si>
    <t xml:space="preserve">Nhµ cöa, vËt kiÕn tróc                                                                                                           </t>
  </si>
  <si>
    <t xml:space="preserve">M¸y mãc, thiÕt bÞ                                                                                                                </t>
  </si>
  <si>
    <t xml:space="preserve">TSC§ v« h×nh                                                                                                                     </t>
  </si>
  <si>
    <t xml:space="preserve">QuyÒn sö dông ®Êt                                                                                                                </t>
  </si>
  <si>
    <t xml:space="preserve">Hao mßn tµi s¶n cè ®Þnh                                                                                                          </t>
  </si>
  <si>
    <t xml:space="preserve">Hao mßn TSC§ h÷u h×nh                                                                                                            </t>
  </si>
  <si>
    <t xml:space="preserve">Hao mßn TSC§ v« h×nh                                                                                                             </t>
  </si>
  <si>
    <t xml:space="preserve">Vay ng¾n h¹n                                                                                                                     </t>
  </si>
  <si>
    <t xml:space="preserve">Vay ng¾n h¹n vay ngoµi                                                                                                           </t>
  </si>
  <si>
    <t xml:space="preserve">Vay ng¾n h¹n ng©n hµng NN &amp; PTNT                                                                                                 </t>
  </si>
  <si>
    <t xml:space="preserve">Ph¶i tr¶ cho ng­êi b¸n                                                                                                           </t>
  </si>
  <si>
    <t xml:space="preserve">ThuÕ vµ c¸c kho¶n ph¶i nép Nhµ n­íc                                                                                              </t>
  </si>
  <si>
    <t xml:space="preserve">ThuÕ GTGT ph¶i nép                                                                                                               </t>
  </si>
  <si>
    <t xml:space="preserve">ThuÕ GTGT ®Çu ra ph¶i nép                                                                                                        </t>
  </si>
  <si>
    <t xml:space="preserve">ThuÕ thu nhËp doanh nghiÖp                                                                                                       </t>
  </si>
  <si>
    <t xml:space="preserve">C¸c lo¹i thuÕ kh¸c                                                                                                               </t>
  </si>
  <si>
    <t xml:space="preserve">Ph¶i tr¶ c«ng nh©n viªn                                                                                                          </t>
  </si>
  <si>
    <t xml:space="preserve">Ph¶i tr¶ c«ng nh©n viªn- VP                                                                                                      </t>
  </si>
  <si>
    <t xml:space="preserve">Ph¶i tr¶, ph¶i nép kh¸c                                                                                                          </t>
  </si>
  <si>
    <t xml:space="preserve">B¶o hiÓm x· héi &amp; BHYT                                                                                                           </t>
  </si>
  <si>
    <t xml:space="preserve">Nguån vèn kinh doanh                                                                                                             </t>
  </si>
  <si>
    <t xml:space="preserve">L·i ch­a ph©n phèi                                                                                                               </t>
  </si>
  <si>
    <t xml:space="preserve">L·i n¨m tr­íc                                                                                                                    </t>
  </si>
  <si>
    <t xml:space="preserve">L·i n¨m nay                                                                                                                      </t>
  </si>
  <si>
    <t xml:space="preserve">Doanh thu b¸n hµng                                                                                                               </t>
  </si>
  <si>
    <t xml:space="preserve">Doanh thu b¸n hµng x©y l¾p                                                                                                       </t>
  </si>
  <si>
    <t xml:space="preserve">Thu nhËp ho¹t ®éng tµi chÝnh                                                                                                     </t>
  </si>
  <si>
    <t xml:space="preserve">Chi phÝ NVL trùc tiÕp                                                                                                            </t>
  </si>
  <si>
    <t xml:space="preserve">Chi phÝ NVL trùc tiÕp - X©y l¾p                                                                                                  </t>
  </si>
  <si>
    <t xml:space="preserve">Chi phÝ s¶n xuÊt chung                                                                                                           </t>
  </si>
  <si>
    <t xml:space="preserve">Chi phÝ dÞch vô mua ngoµi                                                                                                        </t>
  </si>
  <si>
    <t xml:space="preserve">Gi¸ vèn hµng b¸n                                                                                                                 </t>
  </si>
  <si>
    <t xml:space="preserve">Gi¸ vèn c«ng tr×nh x©y l¾p                                                                                                       </t>
  </si>
  <si>
    <t xml:space="preserve">Chi phÝ ho¹t ®éng tµi chÝnh                                                                                                      </t>
  </si>
  <si>
    <t xml:space="preserve">Chi phÝ ho¹t ®éng tµi chÝnh  NH                                                                                                  </t>
  </si>
  <si>
    <t xml:space="preserve">Chi phÝ qu¶n lý doanh nghiÖp                                                                                                     </t>
  </si>
  <si>
    <t xml:space="preserve">Chi phÝ thuÕ TNDN                                                                                                                </t>
  </si>
  <si>
    <t xml:space="preserve">X¸c ®Þnh kÕt qu¶ kinh doanh                                                                                                      </t>
  </si>
  <si>
    <t>. Sè d­ cuèi kú</t>
  </si>
  <si>
    <t>. T¹i ngµy cuèi kú</t>
  </si>
  <si>
    <t>Cuèi kú</t>
  </si>
  <si>
    <t>trong kú</t>
  </si>
  <si>
    <t>trong  kú</t>
  </si>
  <si>
    <t>cuèi kú</t>
  </si>
  <si>
    <t xml:space="preserve">ThiÕt bÞ, dông cô qu¶n lý                                                                                                        </t>
  </si>
  <si>
    <t>.T¹i ngµy cuèi kú</t>
  </si>
  <si>
    <t xml:space="preserve">ChuyÓn sang CCDC </t>
  </si>
  <si>
    <t xml:space="preserve">M¸y mãc thiÕt bÞ, ph­¬ng tiÖn vËn t¶i  </t>
  </si>
  <si>
    <t xml:space="preserve">C©y c¶nh </t>
  </si>
  <si>
    <t xml:space="preserve"> Dông cô qu¶n lý</t>
  </si>
  <si>
    <t xml:space="preserve">Gi¶m  </t>
  </si>
  <si>
    <t xml:space="preserve">Ng©n hµng Techcombank                                                                                                            </t>
  </si>
  <si>
    <t xml:space="preserve">DN- BÁO CÁO KẾT QUẢ KINH DOANH - QUÝ </t>
  </si>
  <si>
    <t xml:space="preserve">Nhµ cöa vËt kiÕn tróc, </t>
  </si>
  <si>
    <t xml:space="preserve">Doanh thu b¸n nguyªn vËt liÖu x©y l¾p                                                                                            </t>
  </si>
  <si>
    <t xml:space="preserve">Gi¸ vèn nguyªn vËt liÖu                                                                                                          </t>
  </si>
  <si>
    <t xml:space="preserve">Ph¶i thu néi bé                                                                                                                  </t>
  </si>
  <si>
    <t xml:space="preserve">Ph¶i thu néi bé kh¸c                                                                                                             </t>
  </si>
  <si>
    <t xml:space="preserve">Ph¶i tr¶ néi bé                                                                                                                  </t>
  </si>
  <si>
    <t>con</t>
  </si>
  <si>
    <t>Giarm 642</t>
  </si>
  <si>
    <t>. §Çu t­ vµo c«ng ty con</t>
  </si>
  <si>
    <t xml:space="preserve">Gãp vµo c«ng ty con </t>
  </si>
  <si>
    <t xml:space="preserve">§Çu t­ chøng kho¸n dµi h¹n                                                                                                       </t>
  </si>
  <si>
    <t xml:space="preserve">§Çu t­ CK DH: Cæ phiÕu                                                                                                           </t>
  </si>
  <si>
    <t xml:space="preserve">TiÒn ViÖt Nam                                                                                                                    </t>
  </si>
  <si>
    <t xml:space="preserve">NH Agribank chi nh¸nh Thµnh Nam - Nam §Þnh                                                                                       </t>
  </si>
  <si>
    <t xml:space="preserve">ThuÕ GTGT ®­îc khÊu trõ cña hµng hãa, dÞch vô                                                                                    </t>
  </si>
  <si>
    <t xml:space="preserve">Chi phÝ s¶n xuÊt,kinh doanh dë dang                                                                                              </t>
  </si>
  <si>
    <t xml:space="preserve">Ph­¬ng tiÖn vËn t¶i, truyÒn dÉn                                                                                                  </t>
  </si>
  <si>
    <t xml:space="preserve">TSC§ kh¸c                                                                                                                        </t>
  </si>
  <si>
    <t xml:space="preserve">Hao mßn TSC§ thuª tµi chÝnh                                                                                                      </t>
  </si>
  <si>
    <t xml:space="preserve"> Ph¶i tr¶ c«ng nh©n viªn                                                                                                         </t>
  </si>
  <si>
    <t xml:space="preserve">Vèn ®Çu t­ cña chñ së h÷u                                                                                                        </t>
  </si>
  <si>
    <t xml:space="preserve">Lîi nhuËn ch­a ph©n phèi n¨m tr­íc                                                                                               </t>
  </si>
  <si>
    <t xml:space="preserve">Doanh thu  ho¹t ®éng tµi chÝnh                                                                                                   </t>
  </si>
  <si>
    <t xml:space="preserve">Chi phÝ b»ng tiÒn kh¸c                                                                                                           </t>
  </si>
  <si>
    <t xml:space="preserve">Gi¸ vèn hµng b¸n x©y l¾p                                                                                                         </t>
  </si>
  <si>
    <t xml:space="preserve">Gi¸ vèn hµng b¸n NVL                                                                                                             </t>
  </si>
  <si>
    <t xml:space="preserve">Chi phÝ  nh©n viªn qu¶n lý                                                                                                       </t>
  </si>
  <si>
    <t xml:space="preserve">Chi phÝ thuÕ TNDN hiÖn hµnh                                                                                                      </t>
  </si>
  <si>
    <t>Báo cáo tài chính cty hợp nhất</t>
  </si>
  <si>
    <t xml:space="preserve">c«ng ty TNHH MTV T­ VÊn x©y l¾p ®iÖn thiªn tr­êng </t>
  </si>
  <si>
    <t xml:space="preserve">Chi phÝ nguyªn vËt liÖu trùc tiÕp                                                                                                </t>
  </si>
  <si>
    <t xml:space="preserve">Chi phÝ  nh©n c«ng trùc tiÕp                                                                                                     </t>
  </si>
  <si>
    <t xml:space="preserve">Ph¶i thu kh¸c                                                                                                                    </t>
  </si>
  <si>
    <t xml:space="preserve">ThuÕ nhµ ®Êt,tiÒn thuª ®Êt                                                                                                       </t>
  </si>
  <si>
    <t xml:space="preserve">TiÒn thuª ®Êt                                                                                                                    </t>
  </si>
  <si>
    <t xml:space="preserve">Chi phÝ nh©n c«ng trùc tiÕp                                                                                                      </t>
  </si>
  <si>
    <t xml:space="preserve">Chi phÝ nh©n c«ng trùc tiÕp - X©y l¾p                                                                                            </t>
  </si>
  <si>
    <t xml:space="preserve">Chi phÝ vËn chuyÓn                                                                                                               </t>
  </si>
  <si>
    <t xml:space="preserve">Chi phÝ khÊu hao TSC§                                                                                                            </t>
  </si>
  <si>
    <t xml:space="preserve">Chi phÝ  b»ng tiÒn kh¸c                                                                                                          </t>
  </si>
  <si>
    <t xml:space="preserve">C¸c kho¶n thu nhËp bÊt th­êng                                                                                                    </t>
  </si>
  <si>
    <t xml:space="preserve">TrÇn ThÞ HuyÒn Trang </t>
  </si>
  <si>
    <t xml:space="preserve">Vay ng¾n h¹n ng©n hµng ®Çu t­                                                                                                    </t>
  </si>
  <si>
    <t xml:space="preserve">Ph¶i tr¶ c«ng nh©n viªn- TT X©y L¾p                                                                                              </t>
  </si>
  <si>
    <t>Tõ ngµy 01/01/2015 ®Õn 30/09/2015</t>
  </si>
  <si>
    <t>Quý 3 năm tài chính 2015</t>
  </si>
  <si>
    <t>quý 3  n¨m 2015</t>
  </si>
  <si>
    <t xml:space="preserve"> Quý 3 năm tài chính 2015</t>
  </si>
  <si>
    <t>Lập ngày 05 tháng 11 năm 2015</t>
  </si>
  <si>
    <t>LËp, ngµy 05 th¸ng 11 n¨m 2015</t>
  </si>
  <si>
    <t>I.1</t>
  </si>
  <si>
    <t xml:space="preserve">2.Ph¶i thu cña kh¸ch hµng </t>
  </si>
  <si>
    <t>3. Hµng tån kho</t>
  </si>
  <si>
    <t xml:space="preserve">(1). Ph¶i thu cña kh¸ch hµng ng¾n h¹n </t>
  </si>
  <si>
    <t xml:space="preserve">(2). Tr¶ tr­íc cho ng­êi b¸n </t>
  </si>
  <si>
    <t>(3). Ph¶i thu néi bé ng¾n h¹n</t>
  </si>
  <si>
    <t xml:space="preserve">(4). C¸c kho¶n ph¶i thu kh¸c </t>
  </si>
  <si>
    <t>I.2 (1)</t>
  </si>
  <si>
    <t>I.2 (2)</t>
  </si>
  <si>
    <t>I.2 (4)</t>
  </si>
  <si>
    <t>I.3</t>
  </si>
  <si>
    <t xml:space="preserve">4.Tµi s¶n ng¾n h¹n kh¸c </t>
  </si>
  <si>
    <t xml:space="preserve">. ThuÕ GTGT cßn ®­îc khÊu trõ </t>
  </si>
  <si>
    <t xml:space="preserve">. Chi phÝ tr¶ tr­íc ng¾n h¹n </t>
  </si>
  <si>
    <t xml:space="preserve">. Tµi s¶n ng¾n h¹n kh¸c </t>
  </si>
  <si>
    <t>I.4</t>
  </si>
  <si>
    <t>I.5.(2)</t>
  </si>
  <si>
    <t>I.5.(1)</t>
  </si>
  <si>
    <t>5. T×nh h×nh t¨ng gi¶m tµi s¶n cè ®Þnh h÷u h×nh:</t>
  </si>
  <si>
    <t>I.6.(1)</t>
  </si>
  <si>
    <t>I.6.(2)</t>
  </si>
  <si>
    <t>6. T×nh h×nh t¨ng gi¶m TSC§ v« h×nh:</t>
  </si>
  <si>
    <t>7. T×nh h×nh t¨ng gi¶m XDCB dë dang</t>
  </si>
  <si>
    <t>8. T×nh h×nh t¨ng gi¶m c¸c kho¶n ®Çu t­ vµo ®¬n vÞ kh¸c</t>
  </si>
  <si>
    <t>9. Vay và nî ng¾n h¹n</t>
  </si>
  <si>
    <t>a. Vay và nợ ngắn hạn</t>
  </si>
  <si>
    <t>b. Phải trả người bán</t>
  </si>
  <si>
    <t>c. Người mua trả tiền trước</t>
  </si>
  <si>
    <t>d. Thuế và các khoản phải nộp nhà nước</t>
  </si>
  <si>
    <t>e. Phải trả nội bộ</t>
  </si>
  <si>
    <t>f. Các khoản phải trả, phải nộp ngắn hạn khác</t>
  </si>
  <si>
    <t>I.9.a</t>
  </si>
  <si>
    <t>I.9.b</t>
  </si>
  <si>
    <t>I.9.c</t>
  </si>
  <si>
    <t>I.10</t>
  </si>
  <si>
    <t>I.9f</t>
  </si>
  <si>
    <t>10. ThuÕ vµ c¸c kho¶n ph¶i nép nhµ n­íc</t>
  </si>
  <si>
    <t>11. T×nh h×nh t¨ng gi¶m nguån vèn chñ së h÷u:</t>
  </si>
  <si>
    <t>(1). Vèn ®Çu t­ cña chñ së h÷u vèn</t>
  </si>
  <si>
    <t>(2). ThÆng d­ vèn cæ phÇn</t>
  </si>
  <si>
    <t>(3). Vèn kh¸c cña chñ së h÷u</t>
  </si>
  <si>
    <t>(4). Cæ phiÕu quü (*)</t>
  </si>
  <si>
    <t>(5). Chªnh lÖch tû gi¸ hèi ®o¸i</t>
  </si>
  <si>
    <t>(6). C¸c quü thuéc vèn chñ së h÷u</t>
  </si>
  <si>
    <t>(7). Lîi nhuËn sau thuÕ ch­a ph©n phèi</t>
  </si>
  <si>
    <t>I.10.(1)</t>
  </si>
  <si>
    <t>I.11(7)</t>
  </si>
  <si>
    <t>Luü kÕ tõ ®Çu n¨m ®Õn cuèi quý nµy n¨m tr­íc</t>
  </si>
  <si>
    <t>Luü kÕ tõ ®Çu n¨m ®Õn cuèi quý nµy n¨m nay</t>
  </si>
  <si>
    <t>1. Chi tiÕt doanh thu vµ thu nhËp kh¸c:</t>
  </si>
  <si>
    <t>II.1</t>
  </si>
  <si>
    <t xml:space="preserve">2. Gi¸ vèn hµng b¸n </t>
  </si>
  <si>
    <t>Gi¸ vèn cña hîp ®ång x©y l¾p</t>
  </si>
  <si>
    <t xml:space="preserve">Gi¸ vèn cña hµng ho¸ nguyªn vËt liÖu </t>
  </si>
  <si>
    <t>II.2</t>
  </si>
  <si>
    <t>II.1.(3)</t>
  </si>
  <si>
    <t>(1). Doanh thu b¸n hµng</t>
  </si>
  <si>
    <t>(2).Doanh thu cung cÊp dÞch vô</t>
  </si>
  <si>
    <t>(3). Doanh thu ho¹t ®éng tµi chÝnh</t>
  </si>
  <si>
    <t xml:space="preserve">3.Chi phÝ tµi chÝnh </t>
  </si>
  <si>
    <t xml:space="preserve">L·i tiÒn vay </t>
  </si>
  <si>
    <t>II.3</t>
  </si>
  <si>
    <t>II.4</t>
  </si>
  <si>
    <t>II.5</t>
  </si>
  <si>
    <t>II.6</t>
  </si>
  <si>
    <t xml:space="preserve">4.Chi phÝ qu¶n lý doanh nghiÖp </t>
  </si>
  <si>
    <t xml:space="preserve">Chi phÝ qu¶n lý doanh nghiÖp </t>
  </si>
  <si>
    <t xml:space="preserve">5.C¸c kho¶n thu nhËp kh¸c  </t>
  </si>
  <si>
    <t xml:space="preserve">C¸c kho¶n thu nhËp kh¸c </t>
  </si>
  <si>
    <t xml:space="preserve">6.Chi phÝ thuÕ TNDN hiÖn hµnh </t>
  </si>
  <si>
    <t xml:space="preserve">Tæng lîi nhuËn kÕ to¸n tr­íc thuÕ </t>
  </si>
  <si>
    <t xml:space="preserve">Tæng thu nhËp tÝnh thuÕ TNDN </t>
  </si>
  <si>
    <t xml:space="preserve">ThuÕ suÊt thuÕ TNDN </t>
  </si>
  <si>
    <t xml:space="preserve">Chi phÝ thuÕ TNDN hiÖn hµnh </t>
  </si>
</sst>
</file>

<file path=xl/styles.xml><?xml version="1.0" encoding="utf-8"?>
<styleSheet xmlns="http://schemas.openxmlformats.org/spreadsheetml/2006/main">
  <numFmts count="18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 ###,###,###,###,###"/>
    <numFmt numFmtId="171" formatCode="_(* #,##0_);_(* \(#,##0\);_(* &quot;-&quot;??_);_(@_)"/>
    <numFmt numFmtId="172" formatCode="_(* #,##0.0_);_(* \(#,##0.0\);_(* &quot;-&quot;?_);_(@_)"/>
    <numFmt numFmtId="173" formatCode="_(* #,##0.0_);_(* \(#,##0.0\);_(* &quot;-&quot;??_);_(@_)"/>
  </numFmts>
  <fonts count="77">
    <font>
      <sz val="12"/>
      <name val="Times New Roman"/>
      <family val="0"/>
    </font>
    <font>
      <sz val="16"/>
      <name val=".VnHelvetInsH"/>
      <family val="2"/>
    </font>
    <font>
      <sz val="9"/>
      <name val=".VnArialH"/>
      <family val="2"/>
    </font>
    <font>
      <sz val="8"/>
      <name val=".VnArialH"/>
      <family val="2"/>
    </font>
    <font>
      <b/>
      <sz val="10"/>
      <name val=".VnTime"/>
      <family val="2"/>
    </font>
    <font>
      <sz val="12"/>
      <name val="Arial"/>
      <family val="2"/>
    </font>
    <font>
      <sz val="10"/>
      <name val=".VnTim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sz val="11"/>
      <name val=".VnArialH"/>
      <family val="2"/>
    </font>
    <font>
      <b/>
      <sz val="16"/>
      <name val=".VnTimeH"/>
      <family val="2"/>
    </font>
    <font>
      <sz val="16"/>
      <name val=".VnTimeH"/>
      <family val="2"/>
    </font>
    <font>
      <sz val="12"/>
      <name val=".VnTime"/>
      <family val="2"/>
    </font>
    <font>
      <b/>
      <sz val="12"/>
      <name val=".VnTime"/>
      <family val="2"/>
    </font>
    <font>
      <i/>
      <sz val="12"/>
      <name val=".VnTime"/>
      <family val="2"/>
    </font>
    <font>
      <sz val="9"/>
      <name val=".VnTime"/>
      <family val="2"/>
    </font>
    <font>
      <b/>
      <i/>
      <sz val="12"/>
      <name val=".VnTime"/>
      <family val="2"/>
    </font>
    <font>
      <sz val="8"/>
      <name val=".VnTime"/>
      <family val="2"/>
    </font>
    <font>
      <b/>
      <sz val="9"/>
      <name val=".VnTime"/>
      <family val="2"/>
    </font>
    <font>
      <sz val="14"/>
      <name val=".VnTime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color indexed="10"/>
      <name val=".VnTime"/>
      <family val="2"/>
    </font>
    <font>
      <b/>
      <sz val="11"/>
      <name val=".VnTime"/>
      <family val="2"/>
    </font>
    <font>
      <b/>
      <sz val="12"/>
      <color indexed="9"/>
      <name val="Arial"/>
      <family val="2"/>
    </font>
    <font>
      <b/>
      <sz val="8"/>
      <name val=".VnTime"/>
      <family val="2"/>
    </font>
    <font>
      <b/>
      <sz val="11"/>
      <color indexed="10"/>
      <name val="Arial"/>
      <family val="2"/>
    </font>
    <font>
      <b/>
      <sz val="9"/>
      <color indexed="10"/>
      <name val=".VnTime"/>
      <family val="2"/>
    </font>
    <font>
      <sz val="9"/>
      <color indexed="48"/>
      <name val=".VnTime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8"/>
      <color indexed="8"/>
      <name val=".VnArialH"/>
      <family val="2"/>
    </font>
    <font>
      <b/>
      <sz val="10"/>
      <color indexed="8"/>
      <name val=".VnTime"/>
      <family val="2"/>
    </font>
    <font>
      <sz val="10"/>
      <color indexed="8"/>
      <name val=".VnTime"/>
      <family val="2"/>
    </font>
    <font>
      <sz val="12"/>
      <color indexed="10"/>
      <name val="Times New Roman"/>
      <family val="1"/>
    </font>
    <font>
      <sz val="10"/>
      <color indexed="10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medium"/>
    </border>
    <border>
      <left style="thin">
        <color indexed="63"/>
      </left>
      <right style="thin">
        <color indexed="63"/>
      </right>
      <top style="hair">
        <color indexed="63"/>
      </top>
      <bottom style="medium"/>
    </border>
    <border>
      <left style="thin">
        <color indexed="63"/>
      </left>
      <right style="medium">
        <color indexed="63"/>
      </right>
      <top style="hair">
        <color indexed="63"/>
      </top>
      <bottom style="medium"/>
    </border>
    <border>
      <left style="medium">
        <color indexed="63"/>
      </left>
      <right style="thin">
        <color indexed="63"/>
      </right>
      <top style="medium"/>
      <bottom style="hair">
        <color indexed="63"/>
      </bottom>
    </border>
    <border>
      <left style="thin">
        <color indexed="63"/>
      </left>
      <right style="thin">
        <color indexed="63"/>
      </right>
      <top style="medium"/>
      <bottom style="hair">
        <color indexed="63"/>
      </bottom>
    </border>
    <border>
      <left style="thin">
        <color indexed="63"/>
      </left>
      <right style="medium">
        <color indexed="63"/>
      </right>
      <top style="medium"/>
      <bottom style="hair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33" borderId="0" xfId="89" applyFont="1" applyFill="1" applyAlignment="1">
      <alignment/>
      <protection/>
    </xf>
    <xf numFmtId="0" fontId="7" fillId="33" borderId="0" xfId="89" applyFont="1" applyFill="1">
      <alignment/>
      <protection/>
    </xf>
    <xf numFmtId="0" fontId="7" fillId="33" borderId="0" xfId="89" applyFont="1" applyFill="1" applyAlignment="1">
      <alignment horizontal="center"/>
      <protection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171" fontId="10" fillId="0" borderId="0" xfId="42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1" fontId="11" fillId="0" borderId="11" xfId="42" applyNumberFormat="1" applyFont="1" applyFill="1" applyBorder="1" applyAlignment="1">
      <alignment horizontal="center" vertical="center" wrapText="1"/>
    </xf>
    <xf numFmtId="171" fontId="11" fillId="0" borderId="12" xfId="42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3" xfId="0" applyFont="1" applyBorder="1" applyAlignment="1">
      <alignment/>
    </xf>
    <xf numFmtId="0" fontId="11" fillId="33" borderId="14" xfId="0" applyFont="1" applyFill="1" applyBorder="1" applyAlignment="1">
      <alignment/>
    </xf>
    <xf numFmtId="0" fontId="11" fillId="0" borderId="14" xfId="0" applyFont="1" applyBorder="1" applyAlignment="1">
      <alignment/>
    </xf>
    <xf numFmtId="171" fontId="11" fillId="0" borderId="14" xfId="42" applyNumberFormat="1" applyFont="1" applyBorder="1" applyAlignment="1">
      <alignment/>
    </xf>
    <xf numFmtId="171" fontId="11" fillId="0" borderId="15" xfId="42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3" xfId="0" applyFont="1" applyBorder="1" applyAlignment="1">
      <alignment/>
    </xf>
    <xf numFmtId="0" fontId="12" fillId="33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171" fontId="12" fillId="0" borderId="14" xfId="42" applyNumberFormat="1" applyFont="1" applyBorder="1" applyAlignment="1">
      <alignment/>
    </xf>
    <xf numFmtId="171" fontId="12" fillId="0" borderId="15" xfId="42" applyNumberFormat="1" applyFont="1" applyBorder="1" applyAlignment="1">
      <alignment/>
    </xf>
    <xf numFmtId="171" fontId="11" fillId="0" borderId="15" xfId="42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33" borderId="17" xfId="0" applyFont="1" applyFill="1" applyBorder="1" applyAlignment="1">
      <alignment/>
    </xf>
    <xf numFmtId="0" fontId="12" fillId="0" borderId="17" xfId="0" applyFont="1" applyBorder="1" applyAlignment="1">
      <alignment/>
    </xf>
    <xf numFmtId="171" fontId="12" fillId="0" borderId="17" xfId="42" applyNumberFormat="1" applyFont="1" applyBorder="1" applyAlignment="1">
      <alignment/>
    </xf>
    <xf numFmtId="171" fontId="12" fillId="0" borderId="18" xfId="42" applyNumberFormat="1" applyFont="1" applyBorder="1" applyAlignment="1">
      <alignment/>
    </xf>
    <xf numFmtId="0" fontId="11" fillId="0" borderId="0" xfId="89" applyFont="1">
      <alignment/>
      <protection/>
    </xf>
    <xf numFmtId="0" fontId="11" fillId="33" borderId="0" xfId="89" applyFont="1" applyFill="1">
      <alignment/>
      <protection/>
    </xf>
    <xf numFmtId="171" fontId="11" fillId="0" borderId="0" xfId="42" applyNumberFormat="1" applyFont="1" applyAlignment="1">
      <alignment/>
    </xf>
    <xf numFmtId="0" fontId="12" fillId="0" borderId="0" xfId="0" applyFont="1" applyAlignment="1">
      <alignment/>
    </xf>
    <xf numFmtId="0" fontId="7" fillId="0" borderId="0" xfId="89" applyFont="1">
      <alignment/>
      <protection/>
    </xf>
    <xf numFmtId="0" fontId="7" fillId="0" borderId="0" xfId="89" applyFont="1" applyAlignment="1">
      <alignment horizontal="center"/>
      <protection/>
    </xf>
    <xf numFmtId="171" fontId="11" fillId="0" borderId="0" xfId="42" applyNumberFormat="1" applyFont="1" applyAlignment="1">
      <alignment horizontal="center"/>
    </xf>
    <xf numFmtId="171" fontId="7" fillId="0" borderId="0" xfId="42" applyNumberFormat="1" applyFont="1" applyAlignment="1">
      <alignment/>
    </xf>
    <xf numFmtId="171" fontId="7" fillId="0" borderId="0" xfId="42" applyNumberFormat="1" applyFont="1" applyAlignment="1">
      <alignment/>
    </xf>
    <xf numFmtId="0" fontId="10" fillId="0" borderId="0" xfId="89" applyFont="1">
      <alignment/>
      <protection/>
    </xf>
    <xf numFmtId="0" fontId="0" fillId="33" borderId="0" xfId="0" applyFill="1" applyAlignment="1">
      <alignment/>
    </xf>
    <xf numFmtId="0" fontId="10" fillId="0" borderId="0" xfId="0" applyFont="1" applyAlignment="1">
      <alignment/>
    </xf>
    <xf numFmtId="171" fontId="10" fillId="0" borderId="0" xfId="42" applyNumberFormat="1" applyFont="1" applyAlignment="1">
      <alignment/>
    </xf>
    <xf numFmtId="0" fontId="11" fillId="33" borderId="0" xfId="89" applyFont="1" applyFill="1" applyAlignment="1">
      <alignment/>
      <protection/>
    </xf>
    <xf numFmtId="0" fontId="14" fillId="0" borderId="0" xfId="0" applyFont="1" applyAlignment="1">
      <alignment/>
    </xf>
    <xf numFmtId="0" fontId="11" fillId="33" borderId="0" xfId="89" applyFont="1" applyFill="1" applyAlignment="1">
      <alignment horizontal="center"/>
      <protection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71" fontId="11" fillId="0" borderId="0" xfId="0" applyNumberFormat="1" applyFont="1" applyAlignment="1">
      <alignment/>
    </xf>
    <xf numFmtId="171" fontId="11" fillId="0" borderId="14" xfId="42" applyNumberFormat="1" applyFont="1" applyBorder="1" applyAlignment="1">
      <alignment/>
    </xf>
    <xf numFmtId="0" fontId="12" fillId="0" borderId="16" xfId="0" applyFont="1" applyBorder="1" applyAlignment="1">
      <alignment vertical="center" wrapText="1"/>
    </xf>
    <xf numFmtId="171" fontId="11" fillId="0" borderId="0" xfId="42" applyNumberFormat="1" applyFont="1" applyAlignment="1">
      <alignment/>
    </xf>
    <xf numFmtId="0" fontId="11" fillId="0" borderId="0" xfId="89" applyFont="1" applyAlignment="1">
      <alignment horizontal="center"/>
      <protection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1" fontId="17" fillId="0" borderId="0" xfId="42" applyNumberFormat="1" applyFont="1" applyAlignment="1">
      <alignment/>
    </xf>
    <xf numFmtId="171" fontId="17" fillId="33" borderId="0" xfId="42" applyNumberFormat="1" applyFont="1" applyFill="1" applyAlignment="1">
      <alignment/>
    </xf>
    <xf numFmtId="0" fontId="19" fillId="0" borderId="0" xfId="0" applyFont="1" applyAlignment="1">
      <alignment horizontal="right"/>
    </xf>
    <xf numFmtId="171" fontId="20" fillId="0" borderId="19" xfId="42" applyNumberFormat="1" applyFont="1" applyBorder="1" applyAlignment="1">
      <alignment horizontal="center"/>
    </xf>
    <xf numFmtId="171" fontId="19" fillId="0" borderId="0" xfId="0" applyNumberFormat="1" applyFont="1" applyAlignment="1">
      <alignment horizontal="right"/>
    </xf>
    <xf numFmtId="171" fontId="17" fillId="0" borderId="0" xfId="0" applyNumberFormat="1" applyFont="1" applyAlignment="1">
      <alignment/>
    </xf>
    <xf numFmtId="0" fontId="19" fillId="0" borderId="0" xfId="0" applyFont="1" applyAlignment="1">
      <alignment/>
    </xf>
    <xf numFmtId="171" fontId="17" fillId="0" borderId="19" xfId="42" applyNumberFormat="1" applyFont="1" applyBorder="1" applyAlignment="1">
      <alignment horizontal="center" vertical="center" wrapText="1"/>
    </xf>
    <xf numFmtId="171" fontId="17" fillId="33" borderId="19" xfId="42" applyNumberFormat="1" applyFont="1" applyFill="1" applyBorder="1" applyAlignment="1">
      <alignment horizontal="center" vertical="center" wrapText="1"/>
    </xf>
    <xf numFmtId="0" fontId="21" fillId="0" borderId="19" xfId="0" applyFont="1" applyBorder="1" applyAlignment="1">
      <alignment/>
    </xf>
    <xf numFmtId="171" fontId="17" fillId="0" borderId="19" xfId="42" applyNumberFormat="1" applyFont="1" applyBorder="1" applyAlignment="1">
      <alignment/>
    </xf>
    <xf numFmtId="171" fontId="17" fillId="33" borderId="19" xfId="42" applyNumberFormat="1" applyFont="1" applyFill="1" applyBorder="1" applyAlignment="1">
      <alignment/>
    </xf>
    <xf numFmtId="171" fontId="18" fillId="33" borderId="19" xfId="42" applyNumberFormat="1" applyFont="1" applyFill="1" applyBorder="1" applyAlignment="1">
      <alignment/>
    </xf>
    <xf numFmtId="0" fontId="17" fillId="0" borderId="19" xfId="0" applyFont="1" applyBorder="1" applyAlignment="1">
      <alignment/>
    </xf>
    <xf numFmtId="171" fontId="20" fillId="0" borderId="19" xfId="42" applyNumberFormat="1" applyFont="1" applyBorder="1" applyAlignment="1">
      <alignment/>
    </xf>
    <xf numFmtId="171" fontId="20" fillId="33" borderId="19" xfId="42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171" fontId="22" fillId="0" borderId="19" xfId="42" applyNumberFormat="1" applyFont="1" applyBorder="1" applyAlignment="1">
      <alignment/>
    </xf>
    <xf numFmtId="0" fontId="21" fillId="0" borderId="19" xfId="0" applyFont="1" applyBorder="1" applyAlignment="1">
      <alignment wrapText="1"/>
    </xf>
    <xf numFmtId="171" fontId="22" fillId="0" borderId="20" xfId="42" applyNumberFormat="1" applyFont="1" applyBorder="1" applyAlignment="1">
      <alignment/>
    </xf>
    <xf numFmtId="171" fontId="22" fillId="0" borderId="19" xfId="42" applyNumberFormat="1" applyFont="1" applyBorder="1" applyAlignment="1">
      <alignment/>
    </xf>
    <xf numFmtId="171" fontId="20" fillId="0" borderId="20" xfId="42" applyNumberFormat="1" applyFont="1" applyBorder="1" applyAlignment="1">
      <alignment/>
    </xf>
    <xf numFmtId="171" fontId="20" fillId="0" borderId="19" xfId="42" applyNumberFormat="1" applyFont="1" applyBorder="1" applyAlignment="1">
      <alignment/>
    </xf>
    <xf numFmtId="171" fontId="20" fillId="0" borderId="0" xfId="42" applyNumberFormat="1" applyFont="1" applyAlignment="1">
      <alignment/>
    </xf>
    <xf numFmtId="171" fontId="17" fillId="33" borderId="0" xfId="42" applyNumberFormat="1" applyFont="1" applyFill="1" applyBorder="1" applyAlignment="1">
      <alignment/>
    </xf>
    <xf numFmtId="171" fontId="20" fillId="0" borderId="19" xfId="42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171" fontId="17" fillId="0" borderId="22" xfId="42" applyNumberFormat="1" applyFont="1" applyBorder="1" applyAlignment="1">
      <alignment/>
    </xf>
    <xf numFmtId="171" fontId="17" fillId="0" borderId="23" xfId="42" applyNumberFormat="1" applyFont="1" applyBorder="1" applyAlignment="1">
      <alignment/>
    </xf>
    <xf numFmtId="0" fontId="17" fillId="0" borderId="24" xfId="0" applyFont="1" applyBorder="1" applyAlignment="1">
      <alignment/>
    </xf>
    <xf numFmtId="171" fontId="17" fillId="0" borderId="25" xfId="42" applyNumberFormat="1" applyFont="1" applyBorder="1" applyAlignment="1">
      <alignment/>
    </xf>
    <xf numFmtId="171" fontId="17" fillId="0" borderId="26" xfId="42" applyNumberFormat="1" applyFont="1" applyBorder="1" applyAlignment="1">
      <alignment/>
    </xf>
    <xf numFmtId="0" fontId="21" fillId="0" borderId="24" xfId="0" applyFont="1" applyBorder="1" applyAlignment="1">
      <alignment/>
    </xf>
    <xf numFmtId="0" fontId="17" fillId="0" borderId="27" xfId="0" applyFont="1" applyBorder="1" applyAlignment="1">
      <alignment/>
    </xf>
    <xf numFmtId="171" fontId="17" fillId="0" borderId="28" xfId="42" applyNumberFormat="1" applyFont="1" applyBorder="1" applyAlignment="1">
      <alignment/>
    </xf>
    <xf numFmtId="171" fontId="17" fillId="0" borderId="29" xfId="42" applyNumberFormat="1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31" xfId="0" applyFont="1" applyBorder="1" applyAlignment="1">
      <alignment/>
    </xf>
    <xf numFmtId="171" fontId="18" fillId="0" borderId="32" xfId="42" applyNumberFormat="1" applyFont="1" applyBorder="1" applyAlignment="1">
      <alignment horizontal="center"/>
    </xf>
    <xf numFmtId="171" fontId="18" fillId="33" borderId="33" xfId="42" applyNumberFormat="1" applyFont="1" applyFill="1" applyBorder="1" applyAlignment="1">
      <alignment horizontal="center"/>
    </xf>
    <xf numFmtId="0" fontId="17" fillId="0" borderId="34" xfId="0" applyFont="1" applyBorder="1" applyAlignment="1">
      <alignment/>
    </xf>
    <xf numFmtId="171" fontId="17" fillId="0" borderId="35" xfId="42" applyNumberFormat="1" applyFont="1" applyBorder="1" applyAlignment="1">
      <alignment/>
    </xf>
    <xf numFmtId="171" fontId="18" fillId="0" borderId="36" xfId="42" applyNumberFormat="1" applyFont="1" applyBorder="1" applyAlignment="1">
      <alignment horizontal="center"/>
    </xf>
    <xf numFmtId="171" fontId="4" fillId="33" borderId="37" xfId="42" applyNumberFormat="1" applyFont="1" applyFill="1" applyBorder="1" applyAlignment="1">
      <alignment horizontal="center"/>
    </xf>
    <xf numFmtId="171" fontId="18" fillId="33" borderId="37" xfId="42" applyNumberFormat="1" applyFont="1" applyFill="1" applyBorder="1" applyAlignment="1">
      <alignment horizontal="center"/>
    </xf>
    <xf numFmtId="171" fontId="22" fillId="33" borderId="19" xfId="42" applyNumberFormat="1" applyFont="1" applyFill="1" applyBorder="1" applyAlignment="1">
      <alignment/>
    </xf>
    <xf numFmtId="171" fontId="17" fillId="33" borderId="0" xfId="42" applyNumberFormat="1" applyFont="1" applyFill="1" applyAlignment="1">
      <alignment horizontal="center"/>
    </xf>
    <xf numFmtId="171" fontId="17" fillId="0" borderId="30" xfId="42" applyNumberFormat="1" applyFont="1" applyBorder="1" applyAlignment="1">
      <alignment/>
    </xf>
    <xf numFmtId="171" fontId="17" fillId="0" borderId="31" xfId="42" applyNumberFormat="1" applyFont="1" applyBorder="1" applyAlignment="1">
      <alignment/>
    </xf>
    <xf numFmtId="0" fontId="19" fillId="0" borderId="0" xfId="0" applyFont="1" applyAlignment="1">
      <alignment/>
    </xf>
    <xf numFmtId="171" fontId="17" fillId="0" borderId="0" xfId="42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71" fontId="17" fillId="0" borderId="0" xfId="42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71" fontId="24" fillId="0" borderId="0" xfId="42" applyNumberFormat="1" applyFont="1" applyAlignment="1">
      <alignment/>
    </xf>
    <xf numFmtId="171" fontId="24" fillId="33" borderId="0" xfId="42" applyNumberFormat="1" applyFont="1" applyFill="1" applyAlignment="1">
      <alignment/>
    </xf>
    <xf numFmtId="171" fontId="24" fillId="33" borderId="0" xfId="42" applyNumberFormat="1" applyFont="1" applyFill="1" applyAlignment="1">
      <alignment/>
    </xf>
    <xf numFmtId="171" fontId="24" fillId="0" borderId="0" xfId="42" applyNumberFormat="1" applyFont="1" applyAlignment="1">
      <alignment/>
    </xf>
    <xf numFmtId="171" fontId="25" fillId="0" borderId="0" xfId="42" applyNumberFormat="1" applyFont="1" applyAlignment="1">
      <alignment/>
    </xf>
    <xf numFmtId="171" fontId="25" fillId="33" borderId="0" xfId="42" applyNumberFormat="1" applyFont="1" applyFill="1" applyAlignment="1">
      <alignment/>
    </xf>
    <xf numFmtId="171" fontId="10" fillId="33" borderId="0" xfId="42" applyNumberFormat="1" applyFont="1" applyFill="1" applyAlignment="1">
      <alignment/>
    </xf>
    <xf numFmtId="0" fontId="10" fillId="34" borderId="0" xfId="0" applyFont="1" applyFill="1" applyAlignment="1">
      <alignment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33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171" fontId="7" fillId="0" borderId="39" xfId="42" applyNumberFormat="1" applyFont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171" fontId="5" fillId="0" borderId="14" xfId="42" applyNumberFormat="1" applyFont="1" applyBorder="1" applyAlignment="1">
      <alignment/>
    </xf>
    <xf numFmtId="171" fontId="7" fillId="0" borderId="14" xfId="42" applyNumberFormat="1" applyFont="1" applyBorder="1" applyAlignment="1">
      <alignment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171" fontId="28" fillId="0" borderId="19" xfId="42" applyNumberFormat="1" applyFont="1" applyBorder="1" applyAlignment="1">
      <alignment/>
    </xf>
    <xf numFmtId="171" fontId="28" fillId="33" borderId="19" xfId="42" applyNumberFormat="1" applyFont="1" applyFill="1" applyBorder="1" applyAlignment="1">
      <alignment/>
    </xf>
    <xf numFmtId="171" fontId="10" fillId="0" borderId="0" xfId="89" applyNumberFormat="1" applyFont="1">
      <alignment/>
      <protection/>
    </xf>
    <xf numFmtId="171" fontId="0" fillId="0" borderId="0" xfId="0" applyNumberFormat="1" applyAlignment="1">
      <alignment/>
    </xf>
    <xf numFmtId="171" fontId="12" fillId="0" borderId="14" xfId="42" applyNumberFormat="1" applyFont="1" applyBorder="1" applyAlignment="1">
      <alignment/>
    </xf>
    <xf numFmtId="171" fontId="12" fillId="0" borderId="15" xfId="42" applyNumberFormat="1" applyFont="1" applyBorder="1" applyAlignment="1">
      <alignment/>
    </xf>
    <xf numFmtId="0" fontId="18" fillId="33" borderId="0" xfId="89" applyFont="1" applyFill="1" applyAlignment="1">
      <alignment/>
      <protection/>
    </xf>
    <xf numFmtId="0" fontId="29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171" fontId="30" fillId="0" borderId="0" xfId="42" applyNumberFormat="1" applyFont="1" applyAlignment="1">
      <alignment/>
    </xf>
    <xf numFmtId="0" fontId="11" fillId="33" borderId="0" xfId="0" applyFont="1" applyFill="1" applyAlignment="1">
      <alignment/>
    </xf>
    <xf numFmtId="171" fontId="23" fillId="0" borderId="19" xfId="42" applyNumberFormat="1" applyFont="1" applyBorder="1" applyAlignment="1">
      <alignment horizontal="center"/>
    </xf>
    <xf numFmtId="171" fontId="23" fillId="0" borderId="19" xfId="42" applyNumberFormat="1" applyFont="1" applyBorder="1" applyAlignment="1">
      <alignment/>
    </xf>
    <xf numFmtId="171" fontId="23" fillId="33" borderId="19" xfId="42" applyNumberFormat="1" applyFont="1" applyFill="1" applyBorder="1" applyAlignment="1">
      <alignment/>
    </xf>
    <xf numFmtId="171" fontId="31" fillId="0" borderId="19" xfId="42" applyNumberFormat="1" applyFont="1" applyBorder="1" applyAlignment="1">
      <alignment/>
    </xf>
    <xf numFmtId="0" fontId="32" fillId="0" borderId="0" xfId="0" applyFont="1" applyAlignment="1">
      <alignment/>
    </xf>
    <xf numFmtId="171" fontId="32" fillId="0" borderId="0" xfId="42" applyNumberFormat="1" applyFont="1" applyAlignment="1">
      <alignment/>
    </xf>
    <xf numFmtId="171" fontId="10" fillId="0" borderId="0" xfId="0" applyNumberFormat="1" applyFont="1" applyAlignment="1">
      <alignment/>
    </xf>
    <xf numFmtId="171" fontId="7" fillId="34" borderId="0" xfId="42" applyNumberFormat="1" applyFont="1" applyFill="1" applyAlignment="1">
      <alignment/>
    </xf>
    <xf numFmtId="171" fontId="10" fillId="34" borderId="0" xfId="42" applyNumberFormat="1" applyFont="1" applyFill="1" applyAlignment="1">
      <alignment/>
    </xf>
    <xf numFmtId="171" fontId="33" fillId="0" borderId="19" xfId="42" applyNumberFormat="1" applyFont="1" applyBorder="1" applyAlignment="1">
      <alignment/>
    </xf>
    <xf numFmtId="0" fontId="18" fillId="0" borderId="19" xfId="0" applyFont="1" applyBorder="1" applyAlignment="1">
      <alignment/>
    </xf>
    <xf numFmtId="171" fontId="34" fillId="0" borderId="19" xfId="42" applyNumberFormat="1" applyFont="1" applyBorder="1" applyAlignment="1">
      <alignment/>
    </xf>
    <xf numFmtId="171" fontId="32" fillId="0" borderId="0" xfId="0" applyNumberFormat="1" applyFont="1" applyAlignment="1">
      <alignment/>
    </xf>
    <xf numFmtId="0" fontId="35" fillId="0" borderId="0" xfId="0" applyFont="1" applyAlignment="1">
      <alignment/>
    </xf>
    <xf numFmtId="171" fontId="0" fillId="0" borderId="0" xfId="42" applyNumberFormat="1" applyFont="1" applyAlignment="1">
      <alignment/>
    </xf>
    <xf numFmtId="0" fontId="38" fillId="35" borderId="40" xfId="0" applyFont="1" applyFill="1" applyBorder="1" applyAlignment="1">
      <alignment horizontal="center" vertical="center"/>
    </xf>
    <xf numFmtId="0" fontId="38" fillId="35" borderId="41" xfId="0" applyFont="1" applyFill="1" applyBorder="1" applyAlignment="1">
      <alignment horizontal="center" vertical="center"/>
    </xf>
    <xf numFmtId="0" fontId="39" fillId="0" borderId="42" xfId="0" applyFont="1" applyBorder="1" applyAlignment="1">
      <alignment horizontal="left"/>
    </xf>
    <xf numFmtId="0" fontId="39" fillId="0" borderId="40" xfId="0" applyFont="1" applyBorder="1" applyAlignment="1">
      <alignment horizontal="left"/>
    </xf>
    <xf numFmtId="170" fontId="39" fillId="0" borderId="40" xfId="46" applyNumberFormat="1" applyFont="1" applyBorder="1" applyAlignment="1">
      <alignment horizontal="right"/>
    </xf>
    <xf numFmtId="170" fontId="39" fillId="0" borderId="41" xfId="46" applyNumberFormat="1" applyFont="1" applyBorder="1" applyAlignment="1">
      <alignment horizontal="right"/>
    </xf>
    <xf numFmtId="0" fontId="40" fillId="0" borderId="42" xfId="0" applyFont="1" applyBorder="1" applyAlignment="1">
      <alignment horizontal="left"/>
    </xf>
    <xf numFmtId="0" fontId="40" fillId="0" borderId="40" xfId="0" applyFont="1" applyBorder="1" applyAlignment="1">
      <alignment horizontal="left"/>
    </xf>
    <xf numFmtId="170" fontId="40" fillId="0" borderId="40" xfId="46" applyNumberFormat="1" applyFont="1" applyBorder="1" applyAlignment="1">
      <alignment horizontal="right"/>
    </xf>
    <xf numFmtId="170" fontId="40" fillId="0" borderId="41" xfId="46" applyNumberFormat="1" applyFont="1" applyBorder="1" applyAlignment="1">
      <alignment horizontal="right"/>
    </xf>
    <xf numFmtId="0" fontId="39" fillId="0" borderId="43" xfId="0" applyFont="1" applyBorder="1" applyAlignment="1">
      <alignment horizontal="left"/>
    </xf>
    <xf numFmtId="0" fontId="39" fillId="0" borderId="44" xfId="0" applyFont="1" applyBorder="1" applyAlignment="1">
      <alignment horizontal="left"/>
    </xf>
    <xf numFmtId="170" fontId="39" fillId="0" borderId="44" xfId="46" applyNumberFormat="1" applyFont="1" applyBorder="1" applyAlignment="1">
      <alignment horizontal="right"/>
    </xf>
    <xf numFmtId="170" fontId="39" fillId="0" borderId="45" xfId="46" applyNumberFormat="1" applyFont="1" applyBorder="1" applyAlignment="1">
      <alignment horizontal="right"/>
    </xf>
    <xf numFmtId="170" fontId="0" fillId="0" borderId="0" xfId="0" applyNumberFormat="1" applyAlignment="1">
      <alignment/>
    </xf>
    <xf numFmtId="0" fontId="41" fillId="0" borderId="0" xfId="0" applyFont="1" applyAlignment="1">
      <alignment/>
    </xf>
    <xf numFmtId="170" fontId="41" fillId="0" borderId="0" xfId="0" applyNumberFormat="1" applyFont="1" applyAlignment="1">
      <alignment/>
    </xf>
    <xf numFmtId="0" fontId="40" fillId="35" borderId="40" xfId="0" applyFont="1" applyFill="1" applyBorder="1" applyAlignment="1">
      <alignment horizontal="center" vertical="center"/>
    </xf>
    <xf numFmtId="173" fontId="0" fillId="0" borderId="0" xfId="42" applyNumberFormat="1" applyFont="1" applyAlignment="1">
      <alignment/>
    </xf>
    <xf numFmtId="170" fontId="42" fillId="0" borderId="41" xfId="46" applyNumberFormat="1" applyFont="1" applyBorder="1" applyAlignment="1">
      <alignment horizontal="right"/>
    </xf>
    <xf numFmtId="171" fontId="41" fillId="0" borderId="0" xfId="42" applyNumberFormat="1" applyFont="1" applyAlignment="1">
      <alignment/>
    </xf>
    <xf numFmtId="0" fontId="17" fillId="0" borderId="20" xfId="0" applyFont="1" applyBorder="1" applyAlignment="1">
      <alignment horizontal="left"/>
    </xf>
    <xf numFmtId="0" fontId="17" fillId="0" borderId="30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171" fontId="20" fillId="33" borderId="20" xfId="53" applyNumberFormat="1" applyFont="1" applyFill="1" applyBorder="1" applyAlignment="1">
      <alignment horizontal="center"/>
    </xf>
    <xf numFmtId="171" fontId="20" fillId="33" borderId="31" xfId="53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7" fillId="0" borderId="0" xfId="0" applyFont="1" applyBorder="1" applyAlignment="1">
      <alignment/>
    </xf>
    <xf numFmtId="171" fontId="20" fillId="0" borderId="0" xfId="42" applyNumberFormat="1" applyFont="1" applyBorder="1" applyAlignment="1">
      <alignment/>
    </xf>
    <xf numFmtId="171" fontId="20" fillId="33" borderId="0" xfId="42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171" fontId="18" fillId="0" borderId="0" xfId="42" applyNumberFormat="1" applyFont="1" applyBorder="1" applyAlignment="1">
      <alignment horizontal="center"/>
    </xf>
    <xf numFmtId="171" fontId="18" fillId="33" borderId="0" xfId="42" applyNumberFormat="1" applyFont="1" applyFill="1" applyBorder="1" applyAlignment="1">
      <alignment horizontal="center"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/>
    </xf>
    <xf numFmtId="171" fontId="17" fillId="0" borderId="30" xfId="53" applyNumberFormat="1" applyFont="1" applyBorder="1" applyAlignment="1">
      <alignment/>
    </xf>
    <xf numFmtId="171" fontId="17" fillId="0" borderId="31" xfId="53" applyNumberFormat="1" applyFont="1" applyBorder="1" applyAlignment="1">
      <alignment/>
    </xf>
    <xf numFmtId="171" fontId="17" fillId="0" borderId="0" xfId="53" applyNumberFormat="1" applyFont="1" applyAlignment="1">
      <alignment/>
    </xf>
    <xf numFmtId="171" fontId="17" fillId="33" borderId="0" xfId="53" applyNumberFormat="1" applyFont="1" applyFill="1" applyAlignment="1">
      <alignment/>
    </xf>
    <xf numFmtId="0" fontId="3" fillId="0" borderId="0" xfId="88" applyFont="1" applyAlignment="1">
      <alignment/>
      <protection/>
    </xf>
    <xf numFmtId="0" fontId="1" fillId="0" borderId="0" xfId="88" applyFont="1" applyAlignment="1">
      <alignment horizontal="center" vertical="center"/>
      <protection/>
    </xf>
    <xf numFmtId="0" fontId="17" fillId="0" borderId="0" xfId="88" applyFont="1" applyAlignment="1">
      <alignment horizontal="center"/>
      <protection/>
    </xf>
    <xf numFmtId="0" fontId="40" fillId="35" borderId="46" xfId="0" applyFont="1" applyFill="1" applyBorder="1" applyAlignment="1">
      <alignment horizontal="center" vertical="center"/>
    </xf>
    <xf numFmtId="0" fontId="40" fillId="35" borderId="42" xfId="0" applyFont="1" applyFill="1" applyBorder="1" applyAlignment="1">
      <alignment horizontal="center" vertical="center"/>
    </xf>
    <xf numFmtId="0" fontId="40" fillId="35" borderId="47" xfId="0" applyFont="1" applyFill="1" applyBorder="1" applyAlignment="1">
      <alignment horizontal="center" vertical="center"/>
    </xf>
    <xf numFmtId="0" fontId="40" fillId="35" borderId="40" xfId="0" applyFont="1" applyFill="1" applyBorder="1" applyAlignment="1">
      <alignment horizontal="center" vertical="center"/>
    </xf>
    <xf numFmtId="0" fontId="40" fillId="35" borderId="4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33" borderId="0" xfId="89" applyFont="1" applyFill="1" applyBorder="1">
      <alignment/>
      <protection/>
    </xf>
    <xf numFmtId="0" fontId="7" fillId="33" borderId="0" xfId="89" applyFont="1" applyFill="1" applyBorder="1">
      <alignment/>
      <protection/>
    </xf>
    <xf numFmtId="0" fontId="8" fillId="33" borderId="0" xfId="89" applyFont="1" applyFill="1" applyBorder="1" applyAlignment="1">
      <alignment horizontal="left"/>
      <protection/>
    </xf>
    <xf numFmtId="0" fontId="8" fillId="33" borderId="0" xfId="89" applyFont="1" applyFill="1">
      <alignment/>
      <protection/>
    </xf>
    <xf numFmtId="0" fontId="7" fillId="33" borderId="0" xfId="89" applyFont="1" applyFill="1">
      <alignment/>
      <protection/>
    </xf>
    <xf numFmtId="0" fontId="7" fillId="33" borderId="0" xfId="89" applyFont="1" applyFill="1" applyAlignment="1">
      <alignment/>
      <protection/>
    </xf>
    <xf numFmtId="0" fontId="0" fillId="0" borderId="0" xfId="0" applyAlignment="1">
      <alignment/>
    </xf>
    <xf numFmtId="171" fontId="11" fillId="0" borderId="0" xfId="42" applyNumberFormat="1" applyFont="1" applyAlignment="1">
      <alignment horizontal="center"/>
    </xf>
    <xf numFmtId="0" fontId="12" fillId="33" borderId="0" xfId="89" applyFont="1" applyFill="1" applyBorder="1" applyAlignment="1">
      <alignment horizontal="left"/>
      <protection/>
    </xf>
    <xf numFmtId="0" fontId="11" fillId="33" borderId="0" xfId="89" applyFont="1" applyFill="1" applyBorder="1" applyAlignment="1">
      <alignment horizontal="left"/>
      <protection/>
    </xf>
    <xf numFmtId="0" fontId="11" fillId="33" borderId="0" xfId="89" applyFont="1" applyFill="1">
      <alignment/>
      <protection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1" fontId="19" fillId="0" borderId="0" xfId="42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8" fillId="0" borderId="19" xfId="0" applyFont="1" applyBorder="1" applyAlignment="1">
      <alignment horizontal="left"/>
    </xf>
    <xf numFmtId="171" fontId="18" fillId="0" borderId="19" xfId="42" applyNumberFormat="1" applyFont="1" applyBorder="1" applyAlignment="1">
      <alignment horizontal="center"/>
    </xf>
    <xf numFmtId="171" fontId="18" fillId="33" borderId="19" xfId="42" applyNumberFormat="1" applyFont="1" applyFill="1" applyBorder="1" applyAlignment="1">
      <alignment horizontal="center"/>
    </xf>
    <xf numFmtId="0" fontId="17" fillId="0" borderId="19" xfId="0" applyFont="1" applyBorder="1" applyAlignment="1">
      <alignment horizontal="left"/>
    </xf>
    <xf numFmtId="171" fontId="20" fillId="0" borderId="19" xfId="42" applyNumberFormat="1" applyFont="1" applyBorder="1" applyAlignment="1">
      <alignment horizontal="center"/>
    </xf>
    <xf numFmtId="171" fontId="20" fillId="33" borderId="19" xfId="42" applyNumberFormat="1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171" fontId="20" fillId="0" borderId="20" xfId="53" applyNumberFormat="1" applyFont="1" applyBorder="1" applyAlignment="1">
      <alignment horizontal="center"/>
    </xf>
    <xf numFmtId="171" fontId="20" fillId="0" borderId="31" xfId="53" applyNumberFormat="1" applyFont="1" applyBorder="1" applyAlignment="1">
      <alignment horizontal="center"/>
    </xf>
    <xf numFmtId="171" fontId="20" fillId="33" borderId="19" xfId="53" applyNumberFormat="1" applyFont="1" applyFill="1" applyBorder="1" applyAlignment="1">
      <alignment horizontal="center"/>
    </xf>
    <xf numFmtId="0" fontId="17" fillId="0" borderId="20" xfId="0" applyFont="1" applyBorder="1" applyAlignment="1">
      <alignment horizontal="left"/>
    </xf>
    <xf numFmtId="0" fontId="17" fillId="0" borderId="30" xfId="0" applyFont="1" applyBorder="1" applyAlignment="1">
      <alignment horizontal="left"/>
    </xf>
    <xf numFmtId="0" fontId="17" fillId="0" borderId="31" xfId="0" applyFont="1" applyBorder="1" applyAlignment="1">
      <alignment horizontal="left"/>
    </xf>
    <xf numFmtId="0" fontId="18" fillId="0" borderId="19" xfId="0" applyFont="1" applyBorder="1" applyAlignment="1">
      <alignment horizontal="center" vertical="center"/>
    </xf>
    <xf numFmtId="171" fontId="17" fillId="33" borderId="19" xfId="42" applyNumberFormat="1" applyFont="1" applyFill="1" applyBorder="1" applyAlignment="1">
      <alignment horizontal="center" vertical="center" wrapText="1"/>
    </xf>
    <xf numFmtId="171" fontId="17" fillId="0" borderId="19" xfId="42" applyNumberFormat="1" applyFont="1" applyBorder="1" applyAlignment="1">
      <alignment horizontal="center" vertical="center" wrapText="1"/>
    </xf>
    <xf numFmtId="171" fontId="23" fillId="0" borderId="19" xfId="42" applyNumberFormat="1" applyFont="1" applyBorder="1" applyAlignment="1">
      <alignment horizontal="center"/>
    </xf>
    <xf numFmtId="171" fontId="20" fillId="0" borderId="20" xfId="42" applyNumberFormat="1" applyFont="1" applyBorder="1" applyAlignment="1">
      <alignment horizontal="center"/>
    </xf>
    <xf numFmtId="171" fontId="20" fillId="0" borderId="31" xfId="42" applyNumberFormat="1" applyFont="1" applyBorder="1" applyAlignment="1">
      <alignment horizontal="center"/>
    </xf>
    <xf numFmtId="171" fontId="17" fillId="0" borderId="19" xfId="42" applyNumberFormat="1" applyFont="1" applyBorder="1" applyAlignment="1">
      <alignment horizontal="center"/>
    </xf>
    <xf numFmtId="171" fontId="28" fillId="0" borderId="19" xfId="42" applyNumberFormat="1" applyFont="1" applyBorder="1" applyAlignment="1">
      <alignment horizontal="center"/>
    </xf>
    <xf numFmtId="0" fontId="18" fillId="0" borderId="19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left" wrapText="1"/>
    </xf>
    <xf numFmtId="0" fontId="18" fillId="0" borderId="50" xfId="0" applyFont="1" applyBorder="1" applyAlignment="1">
      <alignment horizontal="left" wrapText="1"/>
    </xf>
    <xf numFmtId="0" fontId="18" fillId="0" borderId="32" xfId="0" applyFont="1" applyBorder="1" applyAlignment="1">
      <alignment horizontal="left" wrapText="1"/>
    </xf>
    <xf numFmtId="0" fontId="18" fillId="33" borderId="19" xfId="0" applyFont="1" applyFill="1" applyBorder="1" applyAlignment="1">
      <alignment horizontal="center" vertical="center" wrapText="1"/>
    </xf>
    <xf numFmtId="171" fontId="17" fillId="33" borderId="49" xfId="42" applyNumberFormat="1" applyFont="1" applyFill="1" applyBorder="1" applyAlignment="1">
      <alignment horizontal="center"/>
    </xf>
    <xf numFmtId="171" fontId="17" fillId="33" borderId="32" xfId="42" applyNumberFormat="1" applyFont="1" applyFill="1" applyBorder="1" applyAlignment="1">
      <alignment horizontal="center"/>
    </xf>
    <xf numFmtId="171" fontId="17" fillId="0" borderId="51" xfId="42" applyNumberFormat="1" applyFont="1" applyBorder="1" applyAlignment="1">
      <alignment horizontal="center"/>
    </xf>
    <xf numFmtId="171" fontId="17" fillId="33" borderId="51" xfId="42" applyNumberFormat="1" applyFont="1" applyFill="1" applyBorder="1" applyAlignment="1">
      <alignment horizontal="center"/>
    </xf>
    <xf numFmtId="171" fontId="17" fillId="0" borderId="52" xfId="42" applyNumberFormat="1" applyFont="1" applyBorder="1" applyAlignment="1">
      <alignment horizontal="center"/>
    </xf>
    <xf numFmtId="171" fontId="17" fillId="33" borderId="52" xfId="42" applyNumberFormat="1" applyFont="1" applyFill="1" applyBorder="1" applyAlignment="1">
      <alignment horizontal="center"/>
    </xf>
    <xf numFmtId="171" fontId="17" fillId="0" borderId="53" xfId="42" applyNumberFormat="1" applyFont="1" applyBorder="1" applyAlignment="1">
      <alignment horizontal="center"/>
    </xf>
    <xf numFmtId="171" fontId="17" fillId="33" borderId="53" xfId="42" applyNumberFormat="1" applyFont="1" applyFill="1" applyBorder="1" applyAlignment="1">
      <alignment horizontal="center"/>
    </xf>
    <xf numFmtId="171" fontId="17" fillId="33" borderId="19" xfId="42" applyNumberFormat="1" applyFont="1" applyFill="1" applyBorder="1" applyAlignment="1">
      <alignment horizontal="center"/>
    </xf>
    <xf numFmtId="0" fontId="17" fillId="0" borderId="20" xfId="0" applyFont="1" applyBorder="1" applyAlignment="1">
      <alignment horizontal="left" wrapText="1"/>
    </xf>
    <xf numFmtId="0" fontId="17" fillId="0" borderId="30" xfId="0" applyFont="1" applyBorder="1" applyAlignment="1">
      <alignment horizontal="left" wrapText="1"/>
    </xf>
    <xf numFmtId="0" fontId="17" fillId="0" borderId="31" xfId="0" applyFont="1" applyBorder="1" applyAlignment="1">
      <alignment horizontal="left" wrapText="1"/>
    </xf>
    <xf numFmtId="171" fontId="23" fillId="33" borderId="19" xfId="42" applyNumberFormat="1" applyFont="1" applyFill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171" fontId="18" fillId="0" borderId="49" xfId="42" applyNumberFormat="1" applyFont="1" applyBorder="1" applyAlignment="1">
      <alignment horizontal="center"/>
    </xf>
    <xf numFmtId="171" fontId="18" fillId="0" borderId="32" xfId="42" applyNumberFormat="1" applyFont="1" applyBorder="1" applyAlignment="1">
      <alignment horizontal="center"/>
    </xf>
    <xf numFmtId="171" fontId="18" fillId="0" borderId="34" xfId="42" applyNumberFormat="1" applyFont="1" applyBorder="1" applyAlignment="1">
      <alignment horizontal="center"/>
    </xf>
    <xf numFmtId="171" fontId="18" fillId="0" borderId="36" xfId="42" applyNumberFormat="1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171" fontId="17" fillId="33" borderId="0" xfId="42" applyNumberFormat="1" applyFont="1" applyFill="1" applyAlignment="1">
      <alignment horizontal="center"/>
    </xf>
    <xf numFmtId="171" fontId="17" fillId="0" borderId="20" xfId="53" applyNumberFormat="1" applyFont="1" applyBorder="1" applyAlignment="1">
      <alignment horizontal="center" wrapText="1"/>
    </xf>
    <xf numFmtId="171" fontId="17" fillId="0" borderId="31" xfId="53" applyNumberFormat="1" applyFont="1" applyBorder="1" applyAlignment="1">
      <alignment horizontal="center" wrapText="1"/>
    </xf>
    <xf numFmtId="171" fontId="18" fillId="33" borderId="0" xfId="42" applyNumberFormat="1" applyFont="1" applyFill="1" applyAlignment="1">
      <alignment horizontal="left"/>
    </xf>
    <xf numFmtId="171" fontId="17" fillId="0" borderId="0" xfId="42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171" fontId="24" fillId="0" borderId="0" xfId="42" applyNumberFormat="1" applyFont="1" applyAlignment="1">
      <alignment horizontal="center"/>
    </xf>
    <xf numFmtId="171" fontId="18" fillId="0" borderId="0" xfId="42" applyNumberFormat="1" applyFont="1" applyAlignment="1">
      <alignment horizontal="center"/>
    </xf>
    <xf numFmtId="171" fontId="23" fillId="0" borderId="20" xfId="53" applyNumberFormat="1" applyFont="1" applyBorder="1" applyAlignment="1">
      <alignment horizontal="center"/>
    </xf>
    <xf numFmtId="171" fontId="23" fillId="0" borderId="31" xfId="53" applyNumberFormat="1" applyFont="1" applyBorder="1" applyAlignment="1">
      <alignment horizontal="center"/>
    </xf>
    <xf numFmtId="171" fontId="18" fillId="0" borderId="19" xfId="53" applyNumberFormat="1" applyFont="1" applyBorder="1" applyAlignment="1">
      <alignment horizontal="center"/>
    </xf>
    <xf numFmtId="171" fontId="18" fillId="33" borderId="19" xfId="53" applyNumberFormat="1" applyFont="1" applyFill="1" applyBorder="1" applyAlignment="1">
      <alignment horizontal="center"/>
    </xf>
    <xf numFmtId="171" fontId="20" fillId="0" borderId="19" xfId="53" applyNumberFormat="1" applyFont="1" applyBorder="1" applyAlignment="1">
      <alignment horizontal="center"/>
    </xf>
    <xf numFmtId="171" fontId="20" fillId="33" borderId="20" xfId="53" applyNumberFormat="1" applyFont="1" applyFill="1" applyBorder="1" applyAlignment="1">
      <alignment horizontal="center"/>
    </xf>
    <xf numFmtId="171" fontId="20" fillId="33" borderId="31" xfId="53" applyNumberFormat="1" applyFont="1" applyFill="1" applyBorder="1" applyAlignment="1">
      <alignment horizontal="center"/>
    </xf>
    <xf numFmtId="0" fontId="18" fillId="0" borderId="19" xfId="0" applyFont="1" applyBorder="1" applyAlignment="1">
      <alignment horizontal="left" wrapText="1"/>
    </xf>
    <xf numFmtId="171" fontId="17" fillId="0" borderId="19" xfId="53" applyNumberFormat="1" applyFont="1" applyBorder="1" applyAlignment="1">
      <alignment horizontal="center"/>
    </xf>
    <xf numFmtId="171" fontId="17" fillId="33" borderId="49" xfId="53" applyNumberFormat="1" applyFont="1" applyFill="1" applyBorder="1" applyAlignment="1">
      <alignment horizontal="center"/>
    </xf>
    <xf numFmtId="171" fontId="17" fillId="33" borderId="32" xfId="53" applyNumberFormat="1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171" fontId="17" fillId="0" borderId="52" xfId="53" applyNumberFormat="1" applyFont="1" applyBorder="1" applyAlignment="1">
      <alignment horizontal="center"/>
    </xf>
    <xf numFmtId="171" fontId="17" fillId="33" borderId="52" xfId="53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171" fontId="17" fillId="0" borderId="51" xfId="53" applyNumberFormat="1" applyFont="1" applyBorder="1" applyAlignment="1">
      <alignment horizontal="center"/>
    </xf>
    <xf numFmtId="171" fontId="17" fillId="33" borderId="51" xfId="53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left" wrapText="1"/>
    </xf>
    <xf numFmtId="0" fontId="12" fillId="0" borderId="30" xfId="0" applyFont="1" applyBorder="1" applyAlignment="1">
      <alignment horizontal="left" wrapText="1"/>
    </xf>
    <xf numFmtId="0" fontId="12" fillId="0" borderId="31" xfId="0" applyFont="1" applyBorder="1" applyAlignment="1">
      <alignment horizontal="left" wrapText="1"/>
    </xf>
    <xf numFmtId="0" fontId="17" fillId="0" borderId="20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9" fontId="6" fillId="0" borderId="20" xfId="0" applyNumberFormat="1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171" fontId="7" fillId="0" borderId="0" xfId="42" applyNumberFormat="1" applyFont="1" applyAlignment="1">
      <alignment horizontal="center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2" xfId="53"/>
    <cellStyle name="Comma 21" xfId="54"/>
    <cellStyle name="Comma 3" xfId="55"/>
    <cellStyle name="Comma 4" xfId="56"/>
    <cellStyle name="Comma 5" xfId="57"/>
    <cellStyle name="Comma 6" xfId="58"/>
    <cellStyle name="Comma 7" xfId="59"/>
    <cellStyle name="Comma 8" xfId="60"/>
    <cellStyle name="Comma 9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10" xfId="75"/>
    <cellStyle name="Normal 11" xfId="76"/>
    <cellStyle name="Normal 12" xfId="77"/>
    <cellStyle name="Normal 13" xfId="78"/>
    <cellStyle name="Normal 16" xfId="79"/>
    <cellStyle name="Normal 2" xfId="80"/>
    <cellStyle name="Normal 3" xfId="81"/>
    <cellStyle name="Normal 4" xfId="82"/>
    <cellStyle name="Normal 5" xfId="83"/>
    <cellStyle name="Normal 6" xfId="84"/>
    <cellStyle name="Normal 7" xfId="85"/>
    <cellStyle name="Normal 8" xfId="86"/>
    <cellStyle name="Normal 9" xfId="87"/>
    <cellStyle name="Normal_BCDSPS" xfId="88"/>
    <cellStyle name="Normal_Sheet1" xfId="89"/>
    <cellStyle name="Note" xfId="90"/>
    <cellStyle name="Output" xfId="91"/>
    <cellStyle name="Percent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\LUU%20(D)\thong%20tin%20chung%20khoan\tmbc%20bao%20cao%20tc%20quy%204%20nam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MBCTC"/>
    </sheetNames>
    <sheetDataSet>
      <sheetData sheetId="0">
        <row r="38">
          <cell r="C38">
            <v>0</v>
          </cell>
        </row>
        <row r="53">
          <cell r="E5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8" sqref="B8"/>
    </sheetView>
  </sheetViews>
  <sheetFormatPr defaultColWidth="9.00390625" defaultRowHeight="15.75"/>
  <cols>
    <col min="1" max="1" width="7.625" style="0" customWidth="1"/>
    <col min="2" max="2" width="34.625" style="0" customWidth="1"/>
    <col min="3" max="3" width="14.875" style="0" customWidth="1"/>
    <col min="4" max="4" width="11.875" style="0" customWidth="1"/>
    <col min="5" max="6" width="15.75390625" style="0" customWidth="1"/>
    <col min="7" max="7" width="14.00390625" style="0" bestFit="1" customWidth="1"/>
    <col min="8" max="8" width="14.25390625" style="0" customWidth="1"/>
    <col min="9" max="9" width="13.00390625" style="0" bestFit="1" customWidth="1"/>
  </cols>
  <sheetData>
    <row r="1" spans="1:8" ht="15.75">
      <c r="A1" s="214" t="s">
        <v>507</v>
      </c>
      <c r="B1" s="214"/>
      <c r="C1" s="214"/>
      <c r="D1" s="214"/>
      <c r="E1" s="214"/>
      <c r="F1" s="214"/>
      <c r="G1" s="214"/>
      <c r="H1" s="214"/>
    </row>
    <row r="2" spans="1:8" ht="27" customHeight="1">
      <c r="A2" s="215" t="s">
        <v>0</v>
      </c>
      <c r="B2" s="215"/>
      <c r="C2" s="215"/>
      <c r="D2" s="215"/>
      <c r="E2" s="215"/>
      <c r="F2" s="215"/>
      <c r="G2" s="215"/>
      <c r="H2" s="215"/>
    </row>
    <row r="3" spans="1:8" ht="16.5" thickBot="1">
      <c r="A3" s="216" t="s">
        <v>522</v>
      </c>
      <c r="B3" s="216"/>
      <c r="C3" s="216"/>
      <c r="D3" s="216"/>
      <c r="E3" s="216"/>
      <c r="F3" s="216"/>
      <c r="G3" s="216"/>
      <c r="H3" s="216"/>
    </row>
    <row r="4" spans="1:8" ht="15.75">
      <c r="A4" s="217" t="s">
        <v>405</v>
      </c>
      <c r="B4" s="219" t="s">
        <v>2</v>
      </c>
      <c r="C4" s="219" t="s">
        <v>4</v>
      </c>
      <c r="D4" s="219"/>
      <c r="E4" s="219" t="s">
        <v>406</v>
      </c>
      <c r="F4" s="219"/>
      <c r="G4" s="219" t="s">
        <v>407</v>
      </c>
      <c r="H4" s="221"/>
    </row>
    <row r="5" spans="1:8" ht="15.75">
      <c r="A5" s="218"/>
      <c r="B5" s="220"/>
      <c r="C5" s="192" t="s">
        <v>3</v>
      </c>
      <c r="D5" s="175" t="s">
        <v>5</v>
      </c>
      <c r="E5" s="192" t="s">
        <v>3</v>
      </c>
      <c r="F5" s="175" t="s">
        <v>5</v>
      </c>
      <c r="G5" s="192" t="s">
        <v>3</v>
      </c>
      <c r="H5" s="176" t="s">
        <v>5</v>
      </c>
    </row>
    <row r="6" spans="1:8" ht="15.75">
      <c r="A6" s="181">
        <v>1111</v>
      </c>
      <c r="B6" s="182" t="s">
        <v>490</v>
      </c>
      <c r="C6" s="183">
        <v>168057000</v>
      </c>
      <c r="D6" s="183">
        <v>0</v>
      </c>
      <c r="E6" s="183">
        <v>660000000</v>
      </c>
      <c r="F6" s="183">
        <v>607394350</v>
      </c>
      <c r="G6" s="183">
        <v>220662650</v>
      </c>
      <c r="H6" s="184">
        <v>0</v>
      </c>
    </row>
    <row r="7" spans="1:8" ht="15.75">
      <c r="A7" s="181">
        <v>11211</v>
      </c>
      <c r="B7" s="182" t="s">
        <v>491</v>
      </c>
      <c r="C7" s="183">
        <v>2000000</v>
      </c>
      <c r="D7" s="183">
        <v>0</v>
      </c>
      <c r="E7" s="183">
        <v>2803243086</v>
      </c>
      <c r="F7" s="183">
        <v>2802664811</v>
      </c>
      <c r="G7" s="183">
        <v>2578275</v>
      </c>
      <c r="H7" s="184">
        <v>0</v>
      </c>
    </row>
    <row r="8" spans="1:8" ht="15.75">
      <c r="A8" s="177">
        <v>131</v>
      </c>
      <c r="B8" s="178" t="s">
        <v>415</v>
      </c>
      <c r="C8" s="179">
        <v>213518800</v>
      </c>
      <c r="D8" s="179">
        <v>0</v>
      </c>
      <c r="E8" s="179">
        <v>2540960312</v>
      </c>
      <c r="F8" s="179">
        <v>1541802886</v>
      </c>
      <c r="G8" s="179">
        <v>1362676226</v>
      </c>
      <c r="H8" s="180">
        <v>150000000</v>
      </c>
    </row>
    <row r="9" spans="1:8" ht="15.75">
      <c r="A9" s="181">
        <v>1331</v>
      </c>
      <c r="B9" s="182" t="s">
        <v>492</v>
      </c>
      <c r="C9" s="183">
        <v>298200</v>
      </c>
      <c r="D9" s="183">
        <v>0</v>
      </c>
      <c r="E9" s="183">
        <v>301779234</v>
      </c>
      <c r="F9" s="183">
        <v>230996392</v>
      </c>
      <c r="G9" s="183">
        <v>71081042</v>
      </c>
      <c r="H9" s="184">
        <v>0</v>
      </c>
    </row>
    <row r="10" spans="1:8" ht="15.75">
      <c r="A10" s="181">
        <v>1368</v>
      </c>
      <c r="B10" s="182" t="s">
        <v>482</v>
      </c>
      <c r="C10" s="183">
        <v>1393480000</v>
      </c>
      <c r="D10" s="183">
        <v>0</v>
      </c>
      <c r="E10" s="183">
        <v>0</v>
      </c>
      <c r="F10" s="183">
        <v>0</v>
      </c>
      <c r="G10" s="183">
        <v>1393480000</v>
      </c>
      <c r="H10" s="184">
        <v>0</v>
      </c>
    </row>
    <row r="11" spans="1:8" ht="15.75">
      <c r="A11" s="177">
        <v>1521</v>
      </c>
      <c r="B11" s="178" t="s">
        <v>419</v>
      </c>
      <c r="C11" s="179">
        <v>0</v>
      </c>
      <c r="D11" s="179">
        <v>0</v>
      </c>
      <c r="E11" s="179">
        <v>2774906760</v>
      </c>
      <c r="F11" s="179">
        <v>2076350149</v>
      </c>
      <c r="G11" s="179">
        <v>698556611</v>
      </c>
      <c r="H11" s="180">
        <v>0</v>
      </c>
    </row>
    <row r="12" spans="1:8" ht="15.75">
      <c r="A12" s="177">
        <v>153</v>
      </c>
      <c r="B12" s="178" t="s">
        <v>420</v>
      </c>
      <c r="C12" s="179">
        <v>31166667</v>
      </c>
      <c r="D12" s="179">
        <v>0</v>
      </c>
      <c r="E12" s="179">
        <v>0</v>
      </c>
      <c r="F12" s="179">
        <v>0</v>
      </c>
      <c r="G12" s="179">
        <v>31166667</v>
      </c>
      <c r="H12" s="180">
        <v>0</v>
      </c>
    </row>
    <row r="13" spans="1:8" ht="15.75">
      <c r="A13" s="181">
        <v>1541</v>
      </c>
      <c r="B13" s="182" t="s">
        <v>493</v>
      </c>
      <c r="C13" s="183">
        <v>0</v>
      </c>
      <c r="D13" s="183">
        <v>0</v>
      </c>
      <c r="E13" s="183">
        <v>1555259810</v>
      </c>
      <c r="F13" s="183">
        <v>1155020000</v>
      </c>
      <c r="G13" s="183">
        <v>400239810</v>
      </c>
      <c r="H13" s="184">
        <v>0</v>
      </c>
    </row>
    <row r="14" spans="1:8" ht="15.75">
      <c r="A14" s="181">
        <v>2112</v>
      </c>
      <c r="B14" s="182" t="s">
        <v>426</v>
      </c>
      <c r="C14" s="183">
        <v>7592897482</v>
      </c>
      <c r="D14" s="183">
        <v>0</v>
      </c>
      <c r="E14" s="183">
        <v>0</v>
      </c>
      <c r="F14" s="183">
        <v>0</v>
      </c>
      <c r="G14" s="183">
        <v>7592897482</v>
      </c>
      <c r="H14" s="184">
        <v>0</v>
      </c>
    </row>
    <row r="15" spans="1:8" ht="15.75">
      <c r="A15" s="181">
        <v>2113</v>
      </c>
      <c r="B15" s="182" t="s">
        <v>494</v>
      </c>
      <c r="C15" s="183">
        <v>700886900</v>
      </c>
      <c r="D15" s="183">
        <v>0</v>
      </c>
      <c r="E15" s="183">
        <v>0</v>
      </c>
      <c r="F15" s="183">
        <v>0</v>
      </c>
      <c r="G15" s="183">
        <v>700886900</v>
      </c>
      <c r="H15" s="184">
        <v>0</v>
      </c>
    </row>
    <row r="16" spans="1:8" ht="15.75">
      <c r="A16" s="181">
        <v>2114</v>
      </c>
      <c r="B16" s="182" t="s">
        <v>469</v>
      </c>
      <c r="C16" s="183">
        <v>35000000</v>
      </c>
      <c r="D16" s="183">
        <v>0</v>
      </c>
      <c r="E16" s="183">
        <v>0</v>
      </c>
      <c r="F16" s="183">
        <v>0</v>
      </c>
      <c r="G16" s="183">
        <v>35000000</v>
      </c>
      <c r="H16" s="184">
        <v>0</v>
      </c>
    </row>
    <row r="17" spans="1:8" ht="15.75">
      <c r="A17" s="181">
        <v>2118</v>
      </c>
      <c r="B17" s="182" t="s">
        <v>495</v>
      </c>
      <c r="C17" s="183">
        <v>1542857147</v>
      </c>
      <c r="D17" s="183">
        <v>0</v>
      </c>
      <c r="E17" s="183">
        <v>0</v>
      </c>
      <c r="F17" s="183">
        <v>0</v>
      </c>
      <c r="G17" s="183">
        <v>1542857147</v>
      </c>
      <c r="H17" s="184">
        <v>0</v>
      </c>
    </row>
    <row r="18" spans="1:8" ht="15.75">
      <c r="A18" s="181">
        <v>2141</v>
      </c>
      <c r="B18" s="182" t="s">
        <v>430</v>
      </c>
      <c r="C18" s="183">
        <v>0</v>
      </c>
      <c r="D18" s="183">
        <v>29863291</v>
      </c>
      <c r="E18" s="183">
        <v>0</v>
      </c>
      <c r="F18" s="183">
        <v>368431025</v>
      </c>
      <c r="G18" s="183">
        <v>0</v>
      </c>
      <c r="H18" s="184">
        <v>398294316</v>
      </c>
    </row>
    <row r="19" spans="1:8" ht="15.75">
      <c r="A19" s="181">
        <v>2142</v>
      </c>
      <c r="B19" s="182" t="s">
        <v>496</v>
      </c>
      <c r="C19" s="183">
        <v>0</v>
      </c>
      <c r="D19" s="183">
        <v>12434753</v>
      </c>
      <c r="E19" s="183">
        <v>0</v>
      </c>
      <c r="F19" s="183">
        <v>0</v>
      </c>
      <c r="G19" s="183">
        <v>0</v>
      </c>
      <c r="H19" s="184">
        <v>12434753</v>
      </c>
    </row>
    <row r="20" spans="1:8" ht="15.75">
      <c r="A20" s="177">
        <v>331</v>
      </c>
      <c r="B20" s="178" t="s">
        <v>435</v>
      </c>
      <c r="C20" s="179">
        <v>0</v>
      </c>
      <c r="D20" s="179">
        <v>1412070000</v>
      </c>
      <c r="E20" s="179">
        <v>2122775000</v>
      </c>
      <c r="F20" s="179">
        <v>3322784437</v>
      </c>
      <c r="G20" s="179">
        <v>34100000</v>
      </c>
      <c r="H20" s="180">
        <v>2646179437</v>
      </c>
    </row>
    <row r="21" spans="1:8" ht="15.75">
      <c r="A21" s="181">
        <v>33311</v>
      </c>
      <c r="B21" s="182" t="s">
        <v>438</v>
      </c>
      <c r="C21" s="183">
        <v>0</v>
      </c>
      <c r="D21" s="183">
        <v>0</v>
      </c>
      <c r="E21" s="183">
        <v>230996392</v>
      </c>
      <c r="F21" s="183">
        <v>230996392</v>
      </c>
      <c r="G21" s="183">
        <v>0</v>
      </c>
      <c r="H21" s="184">
        <v>0</v>
      </c>
    </row>
    <row r="22" spans="1:8" ht="15.75">
      <c r="A22" s="181">
        <v>3334</v>
      </c>
      <c r="B22" s="182" t="s">
        <v>439</v>
      </c>
      <c r="C22" s="183">
        <v>0</v>
      </c>
      <c r="D22" s="183">
        <v>2340124</v>
      </c>
      <c r="E22" s="183">
        <v>12340124</v>
      </c>
      <c r="F22" s="183">
        <v>8660404</v>
      </c>
      <c r="G22" s="183">
        <v>1339596</v>
      </c>
      <c r="H22" s="184">
        <v>0</v>
      </c>
    </row>
    <row r="23" spans="1:8" ht="15.75">
      <c r="A23" s="181">
        <v>3338</v>
      </c>
      <c r="B23" s="182" t="s">
        <v>440</v>
      </c>
      <c r="C23" s="183">
        <v>0</v>
      </c>
      <c r="D23" s="183">
        <v>0</v>
      </c>
      <c r="E23" s="183">
        <v>3000000</v>
      </c>
      <c r="F23" s="183">
        <v>3000000</v>
      </c>
      <c r="G23" s="183">
        <v>0</v>
      </c>
      <c r="H23" s="184">
        <v>0</v>
      </c>
    </row>
    <row r="24" spans="1:8" ht="15.75">
      <c r="A24" s="181">
        <v>3341</v>
      </c>
      <c r="B24" s="182" t="s">
        <v>497</v>
      </c>
      <c r="C24" s="183">
        <v>0</v>
      </c>
      <c r="D24" s="183">
        <v>0</v>
      </c>
      <c r="E24" s="183">
        <v>112499900</v>
      </c>
      <c r="F24" s="183">
        <v>112499900</v>
      </c>
      <c r="G24" s="183">
        <v>0</v>
      </c>
      <c r="H24" s="184">
        <v>0</v>
      </c>
    </row>
    <row r="25" spans="1:8" ht="15.75">
      <c r="A25" s="177">
        <v>336</v>
      </c>
      <c r="B25" s="178" t="s">
        <v>483</v>
      </c>
      <c r="C25" s="179">
        <v>0</v>
      </c>
      <c r="D25" s="179">
        <v>177452000</v>
      </c>
      <c r="E25" s="179">
        <v>0</v>
      </c>
      <c r="F25" s="179">
        <v>0</v>
      </c>
      <c r="G25" s="179">
        <v>0</v>
      </c>
      <c r="H25" s="180">
        <v>177452000</v>
      </c>
    </row>
    <row r="26" spans="1:8" ht="15.75">
      <c r="A26" s="181">
        <v>3388</v>
      </c>
      <c r="B26" s="182" t="s">
        <v>443</v>
      </c>
      <c r="C26" s="183">
        <v>0</v>
      </c>
      <c r="D26" s="183">
        <v>200000000</v>
      </c>
      <c r="E26" s="183">
        <v>200000000</v>
      </c>
      <c r="F26" s="183">
        <v>0</v>
      </c>
      <c r="G26" s="183">
        <v>0</v>
      </c>
      <c r="H26" s="184">
        <v>0</v>
      </c>
    </row>
    <row r="27" spans="1:8" ht="15.75">
      <c r="A27" s="181">
        <v>4111</v>
      </c>
      <c r="B27" s="182" t="s">
        <v>498</v>
      </c>
      <c r="C27" s="183">
        <v>0</v>
      </c>
      <c r="D27" s="183">
        <v>9836641529</v>
      </c>
      <c r="E27" s="183">
        <v>0</v>
      </c>
      <c r="F27" s="183">
        <v>970000000</v>
      </c>
      <c r="G27" s="183">
        <v>0</v>
      </c>
      <c r="H27" s="194">
        <v>10806641529</v>
      </c>
    </row>
    <row r="28" spans="1:8" ht="15.75">
      <c r="A28" s="181">
        <v>4211</v>
      </c>
      <c r="B28" s="182" t="s">
        <v>499</v>
      </c>
      <c r="C28" s="183">
        <v>0</v>
      </c>
      <c r="D28" s="183">
        <v>9360499</v>
      </c>
      <c r="E28" s="183">
        <v>147481744</v>
      </c>
      <c r="F28" s="183">
        <v>34641616</v>
      </c>
      <c r="G28" s="183">
        <v>103479629</v>
      </c>
      <c r="H28" s="184">
        <v>0</v>
      </c>
    </row>
    <row r="29" spans="1:8" ht="15.75">
      <c r="A29" s="181">
        <v>5111</v>
      </c>
      <c r="B29" s="182" t="s">
        <v>450</v>
      </c>
      <c r="C29" s="183">
        <v>0</v>
      </c>
      <c r="D29" s="183">
        <v>0</v>
      </c>
      <c r="E29" s="183">
        <v>2309963920</v>
      </c>
      <c r="F29" s="183">
        <v>2309963920</v>
      </c>
      <c r="G29" s="183">
        <v>0</v>
      </c>
      <c r="H29" s="184">
        <v>0</v>
      </c>
    </row>
    <row r="30" spans="1:8" ht="15.75">
      <c r="A30" s="177">
        <v>515</v>
      </c>
      <c r="B30" s="178" t="s">
        <v>500</v>
      </c>
      <c r="C30" s="179">
        <v>0</v>
      </c>
      <c r="D30" s="179">
        <v>0</v>
      </c>
      <c r="E30" s="179">
        <v>440200</v>
      </c>
      <c r="F30" s="179">
        <v>440200</v>
      </c>
      <c r="G30" s="179">
        <v>0</v>
      </c>
      <c r="H30" s="180">
        <v>0</v>
      </c>
    </row>
    <row r="31" spans="1:8" ht="15.75">
      <c r="A31" s="181">
        <v>6211</v>
      </c>
      <c r="B31" s="182" t="s">
        <v>508</v>
      </c>
      <c r="C31" s="183">
        <v>0</v>
      </c>
      <c r="D31" s="183">
        <v>0</v>
      </c>
      <c r="E31" s="183">
        <v>1316271627</v>
      </c>
      <c r="F31" s="183">
        <v>1316271627</v>
      </c>
      <c r="G31" s="183">
        <v>0</v>
      </c>
      <c r="H31" s="184">
        <v>0</v>
      </c>
    </row>
    <row r="32" spans="1:8" ht="15.75">
      <c r="A32" s="181">
        <v>6221</v>
      </c>
      <c r="B32" s="182" t="s">
        <v>509</v>
      </c>
      <c r="C32" s="183">
        <v>0</v>
      </c>
      <c r="D32" s="183">
        <v>0</v>
      </c>
      <c r="E32" s="183">
        <v>210000000</v>
      </c>
      <c r="F32" s="183">
        <v>210000000</v>
      </c>
      <c r="G32" s="183">
        <v>0</v>
      </c>
      <c r="H32" s="184">
        <v>0</v>
      </c>
    </row>
    <row r="33" spans="1:8" ht="15.75">
      <c r="A33" s="181">
        <v>6278</v>
      </c>
      <c r="B33" s="182" t="s">
        <v>501</v>
      </c>
      <c r="C33" s="183">
        <v>0</v>
      </c>
      <c r="D33" s="183">
        <v>0</v>
      </c>
      <c r="E33" s="183">
        <v>28988183</v>
      </c>
      <c r="F33" s="183">
        <v>28988183</v>
      </c>
      <c r="G33" s="183">
        <v>0</v>
      </c>
      <c r="H33" s="184">
        <v>0</v>
      </c>
    </row>
    <row r="34" spans="1:8" ht="15.75">
      <c r="A34" s="181">
        <v>6321</v>
      </c>
      <c r="B34" s="182" t="s">
        <v>502</v>
      </c>
      <c r="C34" s="183">
        <v>0</v>
      </c>
      <c r="D34" s="183">
        <v>0</v>
      </c>
      <c r="E34" s="183">
        <v>1155019999</v>
      </c>
      <c r="F34" s="183">
        <v>1155019999</v>
      </c>
      <c r="G34" s="183">
        <v>0</v>
      </c>
      <c r="H34" s="184">
        <v>0</v>
      </c>
    </row>
    <row r="35" spans="1:8" ht="15.75">
      <c r="A35" s="181">
        <v>6322</v>
      </c>
      <c r="B35" s="182" t="s">
        <v>503</v>
      </c>
      <c r="C35" s="183">
        <v>0</v>
      </c>
      <c r="D35" s="183">
        <v>0</v>
      </c>
      <c r="E35" s="183">
        <v>760078523</v>
      </c>
      <c r="F35" s="183">
        <v>760078523</v>
      </c>
      <c r="G35" s="183">
        <v>0</v>
      </c>
      <c r="H35" s="184">
        <v>0</v>
      </c>
    </row>
    <row r="36" spans="1:8" ht="15.75">
      <c r="A36" s="181">
        <v>6421</v>
      </c>
      <c r="B36" s="182" t="s">
        <v>504</v>
      </c>
      <c r="C36" s="183">
        <v>0</v>
      </c>
      <c r="D36" s="183">
        <v>0</v>
      </c>
      <c r="E36" s="183">
        <v>495934459</v>
      </c>
      <c r="F36" s="183">
        <v>495934459</v>
      </c>
      <c r="G36" s="183">
        <v>0</v>
      </c>
      <c r="H36" s="184">
        <v>0</v>
      </c>
    </row>
    <row r="37" spans="1:8" ht="15.75">
      <c r="A37" s="181">
        <v>6428</v>
      </c>
      <c r="B37" s="182" t="s">
        <v>501</v>
      </c>
      <c r="C37" s="183">
        <v>0</v>
      </c>
      <c r="D37" s="183">
        <v>0</v>
      </c>
      <c r="E37" s="183">
        <v>3550863</v>
      </c>
      <c r="F37" s="183">
        <v>3550863</v>
      </c>
      <c r="G37" s="183">
        <v>0</v>
      </c>
      <c r="H37" s="184">
        <v>0</v>
      </c>
    </row>
    <row r="38" spans="1:8" ht="15.75">
      <c r="A38" s="181">
        <v>8211</v>
      </c>
      <c r="B38" s="182" t="s">
        <v>505</v>
      </c>
      <c r="C38" s="183">
        <v>0</v>
      </c>
      <c r="D38" s="183">
        <v>0</v>
      </c>
      <c r="E38" s="183">
        <v>8660404</v>
      </c>
      <c r="F38" s="183">
        <v>8660404</v>
      </c>
      <c r="G38" s="183">
        <v>0</v>
      </c>
      <c r="H38" s="184">
        <v>0</v>
      </c>
    </row>
    <row r="39" spans="1:8" ht="16.5" thickBot="1">
      <c r="A39" s="185">
        <v>911</v>
      </c>
      <c r="B39" s="186" t="s">
        <v>462</v>
      </c>
      <c r="C39" s="187">
        <v>0</v>
      </c>
      <c r="D39" s="187">
        <v>0</v>
      </c>
      <c r="E39" s="187">
        <v>2457885864</v>
      </c>
      <c r="F39" s="187">
        <v>2457885864</v>
      </c>
      <c r="G39" s="187">
        <v>0</v>
      </c>
      <c r="H39" s="188">
        <v>0</v>
      </c>
    </row>
    <row r="41" spans="5:6" ht="15.75">
      <c r="E41" s="189"/>
      <c r="F41" s="189"/>
    </row>
  </sheetData>
  <sheetProtection/>
  <mergeCells count="8">
    <mergeCell ref="A1:H1"/>
    <mergeCell ref="A2:H2"/>
    <mergeCell ref="A3:H3"/>
    <mergeCell ref="A4:A5"/>
    <mergeCell ref="B4:B5"/>
    <mergeCell ref="C4:D4"/>
    <mergeCell ref="E4:F4"/>
    <mergeCell ref="G4:H4"/>
  </mergeCells>
  <printOptions/>
  <pageMargins left="0.48" right="0.28" top="0.35" bottom="0.45" header="0.21" footer="0.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8" sqref="D8"/>
    </sheetView>
  </sheetViews>
  <sheetFormatPr defaultColWidth="9.00390625" defaultRowHeight="15.75"/>
  <cols>
    <col min="1" max="1" width="7.625" style="0" customWidth="1"/>
    <col min="2" max="2" width="34.625" style="0" customWidth="1"/>
    <col min="3" max="3" width="14.875" style="0" customWidth="1"/>
    <col min="4" max="4" width="11.875" style="0" customWidth="1"/>
    <col min="5" max="6" width="15.75390625" style="0" customWidth="1"/>
    <col min="7" max="7" width="14.00390625" style="0" bestFit="1" customWidth="1"/>
    <col min="8" max="8" width="14.25390625" style="0" customWidth="1"/>
    <col min="9" max="9" width="13.00390625" style="0" customWidth="1"/>
  </cols>
  <sheetData>
    <row r="1" spans="1:8" ht="15.75">
      <c r="A1" s="214" t="s">
        <v>1</v>
      </c>
      <c r="B1" s="214"/>
      <c r="C1" s="214"/>
      <c r="D1" s="214"/>
      <c r="E1" s="214"/>
      <c r="F1" s="214"/>
      <c r="G1" s="214"/>
      <c r="H1" s="214"/>
    </row>
    <row r="2" spans="1:8" ht="27" customHeight="1">
      <c r="A2" s="215" t="s">
        <v>0</v>
      </c>
      <c r="B2" s="215"/>
      <c r="C2" s="215"/>
      <c r="D2" s="215"/>
      <c r="E2" s="215"/>
      <c r="F2" s="215"/>
      <c r="G2" s="215"/>
      <c r="H2" s="215"/>
    </row>
    <row r="3" spans="1:8" ht="16.5" thickBot="1">
      <c r="A3" s="216" t="s">
        <v>522</v>
      </c>
      <c r="B3" s="216"/>
      <c r="C3" s="216"/>
      <c r="D3" s="216"/>
      <c r="E3" s="216"/>
      <c r="F3" s="216"/>
      <c r="G3" s="216"/>
      <c r="H3" s="216"/>
    </row>
    <row r="4" spans="1:8" ht="15.75">
      <c r="A4" s="217" t="s">
        <v>405</v>
      </c>
      <c r="B4" s="219" t="s">
        <v>2</v>
      </c>
      <c r="C4" s="219" t="s">
        <v>4</v>
      </c>
      <c r="D4" s="219"/>
      <c r="E4" s="219" t="s">
        <v>406</v>
      </c>
      <c r="F4" s="219"/>
      <c r="G4" s="219" t="s">
        <v>407</v>
      </c>
      <c r="H4" s="221"/>
    </row>
    <row r="5" spans="1:8" ht="15.75">
      <c r="A5" s="218"/>
      <c r="B5" s="220"/>
      <c r="C5" s="192" t="s">
        <v>3</v>
      </c>
      <c r="D5" s="175" t="s">
        <v>5</v>
      </c>
      <c r="E5" s="192" t="s">
        <v>3</v>
      </c>
      <c r="F5" s="175" t="s">
        <v>5</v>
      </c>
      <c r="G5" s="192" t="s">
        <v>3</v>
      </c>
      <c r="H5" s="176" t="s">
        <v>5</v>
      </c>
    </row>
    <row r="6" spans="1:8" ht="15.75">
      <c r="A6" s="177">
        <v>111</v>
      </c>
      <c r="B6" s="178" t="s">
        <v>408</v>
      </c>
      <c r="C6" s="179">
        <v>150296330</v>
      </c>
      <c r="D6" s="179">
        <v>0</v>
      </c>
      <c r="E6" s="179">
        <v>24052918900</v>
      </c>
      <c r="F6" s="179">
        <v>23915942392</v>
      </c>
      <c r="G6" s="179">
        <v>287272838</v>
      </c>
      <c r="H6" s="180">
        <v>0</v>
      </c>
    </row>
    <row r="7" spans="1:8" ht="15.75">
      <c r="A7" s="181">
        <v>1111</v>
      </c>
      <c r="B7" s="182" t="s">
        <v>409</v>
      </c>
      <c r="C7" s="183">
        <v>150296330</v>
      </c>
      <c r="D7" s="183">
        <v>0</v>
      </c>
      <c r="E7" s="183">
        <v>24052918900</v>
      </c>
      <c r="F7" s="183">
        <v>23915942392</v>
      </c>
      <c r="G7" s="183">
        <v>287272838</v>
      </c>
      <c r="H7" s="184">
        <v>0</v>
      </c>
    </row>
    <row r="8" spans="1:8" ht="15.75">
      <c r="A8" s="177">
        <v>112</v>
      </c>
      <c r="B8" s="178" t="s">
        <v>410</v>
      </c>
      <c r="C8" s="179">
        <v>1361858068</v>
      </c>
      <c r="D8" s="179">
        <v>0</v>
      </c>
      <c r="E8" s="179">
        <v>46455378619</v>
      </c>
      <c r="F8" s="179">
        <v>47527242459</v>
      </c>
      <c r="G8" s="179">
        <v>289994228</v>
      </c>
      <c r="H8" s="180">
        <v>0</v>
      </c>
    </row>
    <row r="9" spans="1:8" ht="15.75">
      <c r="A9" s="181">
        <v>1121</v>
      </c>
      <c r="B9" s="182" t="s">
        <v>411</v>
      </c>
      <c r="C9" s="183">
        <v>1359744567</v>
      </c>
      <c r="D9" s="183">
        <v>0</v>
      </c>
      <c r="E9" s="183">
        <v>46455378619</v>
      </c>
      <c r="F9" s="183">
        <v>47527242459</v>
      </c>
      <c r="G9" s="183">
        <v>287880727</v>
      </c>
      <c r="H9" s="184">
        <v>0</v>
      </c>
    </row>
    <row r="10" spans="1:8" ht="15.75">
      <c r="A10" s="181">
        <v>11211</v>
      </c>
      <c r="B10" s="182" t="s">
        <v>412</v>
      </c>
      <c r="C10" s="183">
        <v>3439184</v>
      </c>
      <c r="D10" s="183">
        <v>0</v>
      </c>
      <c r="E10" s="183">
        <v>9133009397</v>
      </c>
      <c r="F10" s="183">
        <v>8928858254</v>
      </c>
      <c r="G10" s="183">
        <v>207590327</v>
      </c>
      <c r="H10" s="184">
        <v>0</v>
      </c>
    </row>
    <row r="11" spans="1:8" ht="15.75">
      <c r="A11" s="181">
        <v>11213</v>
      </c>
      <c r="B11" s="182" t="s">
        <v>413</v>
      </c>
      <c r="C11" s="183">
        <v>1355444566</v>
      </c>
      <c r="D11" s="183">
        <v>0</v>
      </c>
      <c r="E11" s="183">
        <v>37322369222</v>
      </c>
      <c r="F11" s="183">
        <v>38598384205</v>
      </c>
      <c r="G11" s="183">
        <v>79429583</v>
      </c>
      <c r="H11" s="184">
        <v>0</v>
      </c>
    </row>
    <row r="12" spans="1:8" ht="15.75">
      <c r="A12" s="181">
        <v>11214</v>
      </c>
      <c r="B12" s="182" t="s">
        <v>476</v>
      </c>
      <c r="C12" s="183">
        <v>860817</v>
      </c>
      <c r="D12" s="183">
        <v>0</v>
      </c>
      <c r="E12" s="183">
        <v>0</v>
      </c>
      <c r="F12" s="183">
        <v>0</v>
      </c>
      <c r="G12" s="183">
        <v>860817</v>
      </c>
      <c r="H12" s="184">
        <v>0</v>
      </c>
    </row>
    <row r="13" spans="1:8" ht="15.75">
      <c r="A13" s="181">
        <v>1122</v>
      </c>
      <c r="B13" s="182" t="s">
        <v>414</v>
      </c>
      <c r="C13" s="183">
        <v>2113501</v>
      </c>
      <c r="D13" s="183">
        <v>0</v>
      </c>
      <c r="E13" s="183">
        <v>0</v>
      </c>
      <c r="F13" s="183">
        <v>0</v>
      </c>
      <c r="G13" s="183">
        <v>2113501</v>
      </c>
      <c r="H13" s="184">
        <v>0</v>
      </c>
    </row>
    <row r="14" spans="1:8" ht="15.75">
      <c r="A14" s="181">
        <v>11221</v>
      </c>
      <c r="B14" s="182" t="s">
        <v>412</v>
      </c>
      <c r="C14" s="183">
        <v>2113501</v>
      </c>
      <c r="D14" s="183">
        <v>0</v>
      </c>
      <c r="E14" s="183">
        <v>0</v>
      </c>
      <c r="F14" s="183">
        <v>0</v>
      </c>
      <c r="G14" s="183">
        <v>2113501</v>
      </c>
      <c r="H14" s="184">
        <v>0</v>
      </c>
    </row>
    <row r="15" spans="1:8" ht="15.75">
      <c r="A15" s="177">
        <v>131</v>
      </c>
      <c r="B15" s="178" t="s">
        <v>415</v>
      </c>
      <c r="C15" s="179">
        <v>13714800150</v>
      </c>
      <c r="D15" s="179">
        <v>725328000</v>
      </c>
      <c r="E15" s="179">
        <v>21893074247</v>
      </c>
      <c r="F15" s="179">
        <v>28885033957</v>
      </c>
      <c r="G15" s="179">
        <v>6200480440</v>
      </c>
      <c r="H15" s="180">
        <v>202968000</v>
      </c>
    </row>
    <row r="16" spans="1:8" ht="15.75">
      <c r="A16" s="177">
        <v>133</v>
      </c>
      <c r="B16" s="178" t="s">
        <v>416</v>
      </c>
      <c r="C16" s="179">
        <v>1062094363</v>
      </c>
      <c r="D16" s="179">
        <v>0</v>
      </c>
      <c r="E16" s="179">
        <v>1676819518</v>
      </c>
      <c r="F16" s="179">
        <v>2155837850</v>
      </c>
      <c r="G16" s="179">
        <v>583076031</v>
      </c>
      <c r="H16" s="180">
        <v>0</v>
      </c>
    </row>
    <row r="17" spans="1:8" ht="15.75">
      <c r="A17" s="181">
        <v>1331</v>
      </c>
      <c r="B17" s="182" t="s">
        <v>417</v>
      </c>
      <c r="C17" s="183">
        <v>1062094363</v>
      </c>
      <c r="D17" s="183">
        <v>0</v>
      </c>
      <c r="E17" s="183">
        <v>1676819518</v>
      </c>
      <c r="F17" s="183">
        <v>2155837850</v>
      </c>
      <c r="G17" s="183">
        <v>583076031</v>
      </c>
      <c r="H17" s="184">
        <v>0</v>
      </c>
    </row>
    <row r="18" spans="1:8" ht="15.75">
      <c r="A18" s="181">
        <v>13311</v>
      </c>
      <c r="B18" s="182" t="s">
        <v>417</v>
      </c>
      <c r="C18" s="183">
        <v>1062094363</v>
      </c>
      <c r="D18" s="183">
        <v>0</v>
      </c>
      <c r="E18" s="183">
        <v>1676819518</v>
      </c>
      <c r="F18" s="183">
        <v>2155837850</v>
      </c>
      <c r="G18" s="183">
        <v>583076031</v>
      </c>
      <c r="H18" s="184">
        <v>0</v>
      </c>
    </row>
    <row r="19" spans="1:8" ht="15.75">
      <c r="A19" s="177">
        <v>136</v>
      </c>
      <c r="B19" s="178" t="s">
        <v>481</v>
      </c>
      <c r="C19" s="179">
        <v>177452000</v>
      </c>
      <c r="D19" s="179">
        <v>0</v>
      </c>
      <c r="E19" s="179">
        <v>0</v>
      </c>
      <c r="F19" s="179">
        <v>0</v>
      </c>
      <c r="G19" s="179">
        <v>177452000</v>
      </c>
      <c r="H19" s="180">
        <v>0</v>
      </c>
    </row>
    <row r="20" spans="1:8" ht="15.75">
      <c r="A20" s="181">
        <v>1368</v>
      </c>
      <c r="B20" s="182" t="s">
        <v>482</v>
      </c>
      <c r="C20" s="183">
        <v>177452000</v>
      </c>
      <c r="D20" s="183">
        <v>0</v>
      </c>
      <c r="E20" s="183">
        <v>0</v>
      </c>
      <c r="F20" s="183">
        <v>0</v>
      </c>
      <c r="G20" s="183">
        <v>177452000</v>
      </c>
      <c r="H20" s="184">
        <v>0</v>
      </c>
    </row>
    <row r="21" spans="1:8" ht="15.75">
      <c r="A21" s="177">
        <v>138</v>
      </c>
      <c r="B21" s="178" t="s">
        <v>510</v>
      </c>
      <c r="C21" s="179">
        <v>0</v>
      </c>
      <c r="D21" s="179">
        <v>0</v>
      </c>
      <c r="E21" s="179">
        <v>161096364</v>
      </c>
      <c r="F21" s="179">
        <v>0</v>
      </c>
      <c r="G21" s="179">
        <v>161096364</v>
      </c>
      <c r="H21" s="180">
        <v>0</v>
      </c>
    </row>
    <row r="22" spans="1:8" ht="15.75">
      <c r="A22" s="181">
        <v>1388</v>
      </c>
      <c r="B22" s="182" t="s">
        <v>510</v>
      </c>
      <c r="C22" s="183">
        <v>0</v>
      </c>
      <c r="D22" s="183">
        <v>0</v>
      </c>
      <c r="E22" s="183">
        <v>161096364</v>
      </c>
      <c r="F22" s="183">
        <v>0</v>
      </c>
      <c r="G22" s="183">
        <v>161096364</v>
      </c>
      <c r="H22" s="184">
        <v>0</v>
      </c>
    </row>
    <row r="23" spans="1:8" ht="15.75">
      <c r="A23" s="177">
        <v>152</v>
      </c>
      <c r="B23" s="178" t="s">
        <v>418</v>
      </c>
      <c r="C23" s="179">
        <v>16861442221</v>
      </c>
      <c r="D23" s="179">
        <v>0</v>
      </c>
      <c r="E23" s="179">
        <v>13535164512</v>
      </c>
      <c r="F23" s="179">
        <v>14668455015</v>
      </c>
      <c r="G23" s="179">
        <v>15728151718</v>
      </c>
      <c r="H23" s="180">
        <v>0</v>
      </c>
    </row>
    <row r="24" spans="1:8" ht="15.75">
      <c r="A24" s="181">
        <v>1521</v>
      </c>
      <c r="B24" s="182" t="s">
        <v>419</v>
      </c>
      <c r="C24" s="183">
        <v>16861442221</v>
      </c>
      <c r="D24" s="183">
        <v>0</v>
      </c>
      <c r="E24" s="183">
        <v>13535164512</v>
      </c>
      <c r="F24" s="183">
        <v>14668455015</v>
      </c>
      <c r="G24" s="183">
        <v>15728151718</v>
      </c>
      <c r="H24" s="184">
        <v>0</v>
      </c>
    </row>
    <row r="25" spans="1:8" ht="15.75">
      <c r="A25" s="177">
        <v>154</v>
      </c>
      <c r="B25" s="178" t="s">
        <v>421</v>
      </c>
      <c r="C25" s="179">
        <v>11739529157</v>
      </c>
      <c r="D25" s="179">
        <v>0</v>
      </c>
      <c r="E25" s="179">
        <v>16227305639</v>
      </c>
      <c r="F25" s="179">
        <v>14551619870</v>
      </c>
      <c r="G25" s="179">
        <v>13415214926</v>
      </c>
      <c r="H25" s="180">
        <v>0</v>
      </c>
    </row>
    <row r="26" spans="1:8" ht="15.75">
      <c r="A26" s="181">
        <v>1541</v>
      </c>
      <c r="B26" s="182" t="s">
        <v>422</v>
      </c>
      <c r="C26" s="183">
        <v>11739529157</v>
      </c>
      <c r="D26" s="183">
        <v>0</v>
      </c>
      <c r="E26" s="183">
        <v>16227305639</v>
      </c>
      <c r="F26" s="183">
        <v>14551619870</v>
      </c>
      <c r="G26" s="183">
        <v>13415214926</v>
      </c>
      <c r="H26" s="184">
        <v>0</v>
      </c>
    </row>
    <row r="27" spans="1:8" ht="15.75">
      <c r="A27" s="177">
        <v>211</v>
      </c>
      <c r="B27" s="178" t="s">
        <v>423</v>
      </c>
      <c r="C27" s="179">
        <v>1975026269</v>
      </c>
      <c r="D27" s="179">
        <v>0</v>
      </c>
      <c r="E27" s="179">
        <v>36000000</v>
      </c>
      <c r="F27" s="179">
        <v>0</v>
      </c>
      <c r="G27" s="179">
        <v>2011026269</v>
      </c>
      <c r="H27" s="180">
        <v>0</v>
      </c>
    </row>
    <row r="28" spans="1:8" ht="15.75">
      <c r="A28" s="181">
        <v>2111</v>
      </c>
      <c r="B28" s="182" t="s">
        <v>424</v>
      </c>
      <c r="C28" s="183">
        <v>1132158269</v>
      </c>
      <c r="D28" s="183">
        <v>0</v>
      </c>
      <c r="E28" s="183">
        <v>0</v>
      </c>
      <c r="F28" s="183">
        <v>0</v>
      </c>
      <c r="G28" s="183">
        <v>1132158269</v>
      </c>
      <c r="H28" s="184">
        <v>0</v>
      </c>
    </row>
    <row r="29" spans="1:8" ht="15.75">
      <c r="A29" s="181">
        <v>2112</v>
      </c>
      <c r="B29" s="182" t="s">
        <v>425</v>
      </c>
      <c r="C29" s="183">
        <v>270041736</v>
      </c>
      <c r="D29" s="183">
        <v>0</v>
      </c>
      <c r="E29" s="183">
        <v>0</v>
      </c>
      <c r="F29" s="183">
        <v>0</v>
      </c>
      <c r="G29" s="183">
        <v>270041736</v>
      </c>
      <c r="H29" s="184">
        <v>0</v>
      </c>
    </row>
    <row r="30" spans="1:8" ht="15.75">
      <c r="A30" s="181">
        <v>2113</v>
      </c>
      <c r="B30" s="182" t="s">
        <v>426</v>
      </c>
      <c r="C30" s="183">
        <v>514750000</v>
      </c>
      <c r="D30" s="183">
        <v>0</v>
      </c>
      <c r="E30" s="183">
        <v>0</v>
      </c>
      <c r="F30" s="183">
        <v>0</v>
      </c>
      <c r="G30" s="183">
        <v>514750000</v>
      </c>
      <c r="H30" s="184">
        <v>0</v>
      </c>
    </row>
    <row r="31" spans="1:8" ht="15.75">
      <c r="A31" s="181">
        <v>2115</v>
      </c>
      <c r="B31" s="182" t="s">
        <v>469</v>
      </c>
      <c r="C31" s="183">
        <v>58076264</v>
      </c>
      <c r="D31" s="183">
        <v>0</v>
      </c>
      <c r="E31" s="183">
        <v>36000000</v>
      </c>
      <c r="F31" s="183">
        <v>0</v>
      </c>
      <c r="G31" s="183">
        <v>94076264</v>
      </c>
      <c r="H31" s="184">
        <v>0</v>
      </c>
    </row>
    <row r="32" spans="1:8" ht="15.75">
      <c r="A32" s="177">
        <v>213</v>
      </c>
      <c r="B32" s="178" t="s">
        <v>427</v>
      </c>
      <c r="C32" s="179">
        <v>112752000</v>
      </c>
      <c r="D32" s="179">
        <v>0</v>
      </c>
      <c r="E32" s="179">
        <v>0</v>
      </c>
      <c r="F32" s="179">
        <v>0</v>
      </c>
      <c r="G32" s="179">
        <v>112752000</v>
      </c>
      <c r="H32" s="180">
        <v>0</v>
      </c>
    </row>
    <row r="33" spans="1:8" ht="15.75">
      <c r="A33" s="181">
        <v>2131</v>
      </c>
      <c r="B33" s="182" t="s">
        <v>428</v>
      </c>
      <c r="C33" s="183">
        <v>112752000</v>
      </c>
      <c r="D33" s="183">
        <v>0</v>
      </c>
      <c r="E33" s="183">
        <v>0</v>
      </c>
      <c r="F33" s="183">
        <v>0</v>
      </c>
      <c r="G33" s="183">
        <v>112752000</v>
      </c>
      <c r="H33" s="184">
        <v>0</v>
      </c>
    </row>
    <row r="34" spans="1:8" ht="15.75">
      <c r="A34" s="177">
        <v>214</v>
      </c>
      <c r="B34" s="178" t="s">
        <v>429</v>
      </c>
      <c r="C34" s="179">
        <v>0</v>
      </c>
      <c r="D34" s="179">
        <v>1327089071</v>
      </c>
      <c r="E34" s="179">
        <v>0</v>
      </c>
      <c r="F34" s="179">
        <v>135125154</v>
      </c>
      <c r="G34" s="179">
        <v>0</v>
      </c>
      <c r="H34" s="180">
        <v>1462214225</v>
      </c>
    </row>
    <row r="35" spans="1:8" ht="15.75">
      <c r="A35" s="181">
        <v>2141</v>
      </c>
      <c r="B35" s="182" t="s">
        <v>430</v>
      </c>
      <c r="C35" s="183">
        <v>0</v>
      </c>
      <c r="D35" s="183">
        <v>1292241364</v>
      </c>
      <c r="E35" s="183">
        <v>0</v>
      </c>
      <c r="F35" s="183">
        <v>128505312</v>
      </c>
      <c r="G35" s="183">
        <v>0</v>
      </c>
      <c r="H35" s="184">
        <v>1420746676</v>
      </c>
    </row>
    <row r="36" spans="1:8" ht="15.75">
      <c r="A36" s="181">
        <v>2143</v>
      </c>
      <c r="B36" s="182" t="s">
        <v>431</v>
      </c>
      <c r="C36" s="183">
        <v>0</v>
      </c>
      <c r="D36" s="183">
        <v>34847707</v>
      </c>
      <c r="E36" s="183">
        <v>0</v>
      </c>
      <c r="F36" s="183">
        <v>6619842</v>
      </c>
      <c r="G36" s="183">
        <v>0</v>
      </c>
      <c r="H36" s="184">
        <v>41467549</v>
      </c>
    </row>
    <row r="37" spans="1:8" ht="15.75">
      <c r="A37" s="177">
        <v>221</v>
      </c>
      <c r="B37" s="178" t="s">
        <v>488</v>
      </c>
      <c r="C37" s="179">
        <v>9836641524</v>
      </c>
      <c r="D37" s="179">
        <v>0</v>
      </c>
      <c r="E37" s="179">
        <v>970000000</v>
      </c>
      <c r="F37" s="179">
        <v>0</v>
      </c>
      <c r="G37" s="179">
        <v>10806641524</v>
      </c>
      <c r="H37" s="180">
        <v>0</v>
      </c>
    </row>
    <row r="38" spans="1:8" ht="15.75">
      <c r="A38" s="181">
        <v>2211</v>
      </c>
      <c r="B38" s="182" t="s">
        <v>489</v>
      </c>
      <c r="C38" s="183">
        <v>9836641524</v>
      </c>
      <c r="D38" s="183">
        <v>0</v>
      </c>
      <c r="E38" s="183">
        <v>970000000</v>
      </c>
      <c r="F38" s="183">
        <v>0</v>
      </c>
      <c r="G38" s="183">
        <v>10806641524</v>
      </c>
      <c r="H38" s="184">
        <v>0</v>
      </c>
    </row>
    <row r="39" spans="1:8" ht="15.75">
      <c r="A39" s="177">
        <v>311</v>
      </c>
      <c r="B39" s="178" t="s">
        <v>432</v>
      </c>
      <c r="C39" s="179">
        <v>0</v>
      </c>
      <c r="D39" s="179">
        <v>7300000000</v>
      </c>
      <c r="E39" s="179">
        <v>7570000000</v>
      </c>
      <c r="F39" s="179">
        <v>11420000000</v>
      </c>
      <c r="G39" s="179">
        <v>0</v>
      </c>
      <c r="H39" s="180">
        <v>11150000000</v>
      </c>
    </row>
    <row r="40" spans="1:8" ht="15.75">
      <c r="A40" s="181">
        <v>3111</v>
      </c>
      <c r="B40" s="182" t="s">
        <v>520</v>
      </c>
      <c r="C40" s="183">
        <v>0</v>
      </c>
      <c r="D40" s="183">
        <v>0</v>
      </c>
      <c r="E40" s="183">
        <v>0</v>
      </c>
      <c r="F40" s="183">
        <v>600000000</v>
      </c>
      <c r="G40" s="183">
        <v>0</v>
      </c>
      <c r="H40" s="184">
        <v>600000000</v>
      </c>
    </row>
    <row r="41" spans="1:8" ht="15.75">
      <c r="A41" s="181">
        <v>3113</v>
      </c>
      <c r="B41" s="182" t="s">
        <v>433</v>
      </c>
      <c r="C41" s="183">
        <v>0</v>
      </c>
      <c r="D41" s="183">
        <v>7000000000</v>
      </c>
      <c r="E41" s="183">
        <v>4400000000</v>
      </c>
      <c r="F41" s="183">
        <v>7950000000</v>
      </c>
      <c r="G41" s="183">
        <v>0</v>
      </c>
      <c r="H41" s="184">
        <v>10550000000</v>
      </c>
    </row>
    <row r="42" spans="1:8" ht="15.75">
      <c r="A42" s="181">
        <v>3114</v>
      </c>
      <c r="B42" s="182" t="s">
        <v>434</v>
      </c>
      <c r="C42" s="183">
        <v>0</v>
      </c>
      <c r="D42" s="183">
        <v>300000000</v>
      </c>
      <c r="E42" s="183">
        <v>3170000000</v>
      </c>
      <c r="F42" s="183">
        <v>2870000000</v>
      </c>
      <c r="G42" s="183">
        <v>0</v>
      </c>
      <c r="H42" s="184">
        <v>0</v>
      </c>
    </row>
    <row r="43" spans="1:8" ht="15.75">
      <c r="A43" s="177">
        <v>331</v>
      </c>
      <c r="B43" s="178" t="s">
        <v>435</v>
      </c>
      <c r="C43" s="179">
        <v>1087503467</v>
      </c>
      <c r="D43" s="179">
        <v>17374016828</v>
      </c>
      <c r="E43" s="179">
        <v>28785767418</v>
      </c>
      <c r="F43" s="179">
        <v>18118784223</v>
      </c>
      <c r="G43" s="179">
        <v>569153015</v>
      </c>
      <c r="H43" s="180">
        <v>6188683181</v>
      </c>
    </row>
    <row r="44" spans="1:8" ht="15.75">
      <c r="A44" s="177">
        <v>333</v>
      </c>
      <c r="B44" s="178" t="s">
        <v>436</v>
      </c>
      <c r="C44" s="179">
        <v>0</v>
      </c>
      <c r="D44" s="179">
        <v>130517151</v>
      </c>
      <c r="E44" s="179">
        <v>2344157189</v>
      </c>
      <c r="F44" s="179">
        <v>2262481659</v>
      </c>
      <c r="G44" s="179">
        <v>0</v>
      </c>
      <c r="H44" s="180">
        <v>48841621</v>
      </c>
    </row>
    <row r="45" spans="1:8" ht="15.75">
      <c r="A45" s="181">
        <v>3331</v>
      </c>
      <c r="B45" s="182" t="s">
        <v>437</v>
      </c>
      <c r="C45" s="183">
        <v>0</v>
      </c>
      <c r="D45" s="183">
        <v>0</v>
      </c>
      <c r="E45" s="183">
        <v>1987299776</v>
      </c>
      <c r="F45" s="183">
        <v>1987299776</v>
      </c>
      <c r="G45" s="183">
        <v>0</v>
      </c>
      <c r="H45" s="184">
        <v>0</v>
      </c>
    </row>
    <row r="46" spans="1:8" ht="15.75">
      <c r="A46" s="181">
        <v>33311</v>
      </c>
      <c r="B46" s="182" t="s">
        <v>438</v>
      </c>
      <c r="C46" s="183">
        <v>0</v>
      </c>
      <c r="D46" s="183">
        <v>0</v>
      </c>
      <c r="E46" s="183">
        <v>1987299776</v>
      </c>
      <c r="F46" s="183">
        <v>1987299776</v>
      </c>
      <c r="G46" s="183">
        <v>0</v>
      </c>
      <c r="H46" s="184">
        <v>0</v>
      </c>
    </row>
    <row r="47" spans="1:8" ht="15.75">
      <c r="A47" s="181">
        <v>3334</v>
      </c>
      <c r="B47" s="182" t="s">
        <v>439</v>
      </c>
      <c r="C47" s="183">
        <v>0</v>
      </c>
      <c r="D47" s="183">
        <v>130517151</v>
      </c>
      <c r="E47" s="183">
        <v>287409413</v>
      </c>
      <c r="F47" s="183">
        <v>205733883</v>
      </c>
      <c r="G47" s="183">
        <v>0</v>
      </c>
      <c r="H47" s="184">
        <v>48841621</v>
      </c>
    </row>
    <row r="48" spans="1:8" ht="15.75">
      <c r="A48" s="181">
        <v>3337</v>
      </c>
      <c r="B48" s="182" t="s">
        <v>511</v>
      </c>
      <c r="C48" s="183">
        <v>0</v>
      </c>
      <c r="D48" s="183">
        <v>0</v>
      </c>
      <c r="E48" s="183">
        <v>66448000</v>
      </c>
      <c r="F48" s="183">
        <v>66448000</v>
      </c>
      <c r="G48" s="183">
        <v>0</v>
      </c>
      <c r="H48" s="184">
        <v>0</v>
      </c>
    </row>
    <row r="49" spans="1:8" ht="15.75">
      <c r="A49" s="181">
        <v>33372</v>
      </c>
      <c r="B49" s="182" t="s">
        <v>512</v>
      </c>
      <c r="C49" s="183">
        <v>0</v>
      </c>
      <c r="D49" s="183">
        <v>0</v>
      </c>
      <c r="E49" s="183">
        <v>66448000</v>
      </c>
      <c r="F49" s="183">
        <v>66448000</v>
      </c>
      <c r="G49" s="183">
        <v>0</v>
      </c>
      <c r="H49" s="184">
        <v>0</v>
      </c>
    </row>
    <row r="50" spans="1:8" ht="15.75">
      <c r="A50" s="181">
        <v>3338</v>
      </c>
      <c r="B50" s="182" t="s">
        <v>440</v>
      </c>
      <c r="C50" s="183">
        <v>0</v>
      </c>
      <c r="D50" s="183">
        <v>0</v>
      </c>
      <c r="E50" s="183">
        <v>3000000</v>
      </c>
      <c r="F50" s="183">
        <v>3000000</v>
      </c>
      <c r="G50" s="183">
        <v>0</v>
      </c>
      <c r="H50" s="184">
        <v>0</v>
      </c>
    </row>
    <row r="51" spans="1:8" ht="15.75">
      <c r="A51" s="177">
        <v>334</v>
      </c>
      <c r="B51" s="178" t="s">
        <v>441</v>
      </c>
      <c r="C51" s="179">
        <v>0</v>
      </c>
      <c r="D51" s="179">
        <v>0</v>
      </c>
      <c r="E51" s="179">
        <v>3092125000</v>
      </c>
      <c r="F51" s="179">
        <v>3092125000</v>
      </c>
      <c r="G51" s="179">
        <v>0</v>
      </c>
      <c r="H51" s="180">
        <v>0</v>
      </c>
    </row>
    <row r="52" spans="1:8" ht="15.75">
      <c r="A52" s="181">
        <v>3341</v>
      </c>
      <c r="B52" s="182" t="s">
        <v>442</v>
      </c>
      <c r="C52" s="183">
        <v>0</v>
      </c>
      <c r="D52" s="183">
        <v>0</v>
      </c>
      <c r="E52" s="183">
        <v>2810955000</v>
      </c>
      <c r="F52" s="183">
        <v>2810955000</v>
      </c>
      <c r="G52" s="183">
        <v>0</v>
      </c>
      <c r="H52" s="184">
        <v>0</v>
      </c>
    </row>
    <row r="53" spans="1:8" ht="15.75">
      <c r="A53" s="181">
        <v>3342</v>
      </c>
      <c r="B53" s="182" t="s">
        <v>521</v>
      </c>
      <c r="C53" s="183">
        <v>0</v>
      </c>
      <c r="D53" s="183">
        <v>0</v>
      </c>
      <c r="E53" s="183">
        <v>281170000</v>
      </c>
      <c r="F53" s="183">
        <v>281170000</v>
      </c>
      <c r="G53" s="183">
        <v>0</v>
      </c>
      <c r="H53" s="184">
        <v>0</v>
      </c>
    </row>
    <row r="54" spans="1:8" ht="15.75">
      <c r="A54" s="177">
        <v>336</v>
      </c>
      <c r="B54" s="178" t="s">
        <v>483</v>
      </c>
      <c r="C54" s="179">
        <v>0</v>
      </c>
      <c r="D54" s="179">
        <v>1393480000</v>
      </c>
      <c r="E54" s="179">
        <v>0</v>
      </c>
      <c r="F54" s="179">
        <v>0</v>
      </c>
      <c r="G54" s="179">
        <v>0</v>
      </c>
      <c r="H54" s="180">
        <v>1393480000</v>
      </c>
    </row>
    <row r="55" spans="1:8" ht="15.75">
      <c r="A55" s="177">
        <v>338</v>
      </c>
      <c r="B55" s="178" t="s">
        <v>443</v>
      </c>
      <c r="C55" s="179">
        <v>8963754</v>
      </c>
      <c r="D55" s="179">
        <v>212986198</v>
      </c>
      <c r="E55" s="179">
        <v>220000000</v>
      </c>
      <c r="F55" s="179">
        <v>227996015</v>
      </c>
      <c r="G55" s="179">
        <v>967739</v>
      </c>
      <c r="H55" s="180">
        <v>212986198</v>
      </c>
    </row>
    <row r="56" spans="1:8" ht="15.75">
      <c r="A56" s="181">
        <v>3383</v>
      </c>
      <c r="B56" s="182" t="s">
        <v>444</v>
      </c>
      <c r="C56" s="183">
        <v>8963754</v>
      </c>
      <c r="D56" s="183">
        <v>0</v>
      </c>
      <c r="E56" s="183">
        <v>220000000</v>
      </c>
      <c r="F56" s="183">
        <v>227996015</v>
      </c>
      <c r="G56" s="183">
        <v>967739</v>
      </c>
      <c r="H56" s="184">
        <v>0</v>
      </c>
    </row>
    <row r="57" spans="1:8" ht="15.75">
      <c r="A57" s="181">
        <v>3388</v>
      </c>
      <c r="B57" s="182" t="s">
        <v>443</v>
      </c>
      <c r="C57" s="183">
        <v>0</v>
      </c>
      <c r="D57" s="183">
        <v>212986198</v>
      </c>
      <c r="E57" s="183">
        <v>0</v>
      </c>
      <c r="F57" s="183">
        <v>0</v>
      </c>
      <c r="G57" s="183">
        <v>0</v>
      </c>
      <c r="H57" s="184">
        <v>212986198</v>
      </c>
    </row>
    <row r="58" spans="1:8" ht="15.75">
      <c r="A58" s="177">
        <v>411</v>
      </c>
      <c r="B58" s="178" t="s">
        <v>445</v>
      </c>
      <c r="C58" s="179">
        <v>0</v>
      </c>
      <c r="D58" s="179">
        <v>29550000000</v>
      </c>
      <c r="E58" s="179">
        <v>0</v>
      </c>
      <c r="F58" s="179">
        <v>0</v>
      </c>
      <c r="G58" s="179">
        <v>0</v>
      </c>
      <c r="H58" s="180">
        <v>29550000000</v>
      </c>
    </row>
    <row r="59" spans="1:8" ht="15.75">
      <c r="A59" s="177">
        <v>421</v>
      </c>
      <c r="B59" s="178" t="s">
        <v>446</v>
      </c>
      <c r="C59" s="179">
        <v>0</v>
      </c>
      <c r="D59" s="179">
        <v>74942055</v>
      </c>
      <c r="E59" s="179">
        <v>149456480</v>
      </c>
      <c r="F59" s="179">
        <v>208620292</v>
      </c>
      <c r="G59" s="179">
        <v>0</v>
      </c>
      <c r="H59" s="180">
        <v>134105867</v>
      </c>
    </row>
    <row r="60" spans="1:8" ht="15.75">
      <c r="A60" s="181">
        <v>4211</v>
      </c>
      <c r="B60" s="182" t="s">
        <v>447</v>
      </c>
      <c r="C60" s="183">
        <v>0</v>
      </c>
      <c r="D60" s="183">
        <v>67681883</v>
      </c>
      <c r="E60" s="183">
        <v>67681883</v>
      </c>
      <c r="F60" s="183">
        <v>0</v>
      </c>
      <c r="G60" s="183">
        <v>0</v>
      </c>
      <c r="H60" s="184">
        <v>0</v>
      </c>
    </row>
    <row r="61" spans="1:8" ht="15.75">
      <c r="A61" s="181">
        <v>4212</v>
      </c>
      <c r="B61" s="182" t="s">
        <v>448</v>
      </c>
      <c r="C61" s="183">
        <v>0</v>
      </c>
      <c r="D61" s="183">
        <v>7260172</v>
      </c>
      <c r="E61" s="183">
        <v>81774597</v>
      </c>
      <c r="F61" s="183">
        <v>208620292</v>
      </c>
      <c r="G61" s="183">
        <v>0</v>
      </c>
      <c r="H61" s="184">
        <v>134105867</v>
      </c>
    </row>
    <row r="62" spans="1:8" ht="15.75">
      <c r="A62" s="177">
        <v>511</v>
      </c>
      <c r="B62" s="178" t="s">
        <v>449</v>
      </c>
      <c r="C62" s="179">
        <v>0</v>
      </c>
      <c r="D62" s="179">
        <v>0</v>
      </c>
      <c r="E62" s="179">
        <v>19872997747</v>
      </c>
      <c r="F62" s="179">
        <v>19872997747</v>
      </c>
      <c r="G62" s="179">
        <v>0</v>
      </c>
      <c r="H62" s="180">
        <v>0</v>
      </c>
    </row>
    <row r="63" spans="1:8" ht="15.75">
      <c r="A63" s="181">
        <v>5111</v>
      </c>
      <c r="B63" s="182" t="s">
        <v>450</v>
      </c>
      <c r="C63" s="183">
        <v>0</v>
      </c>
      <c r="D63" s="183">
        <v>0</v>
      </c>
      <c r="E63" s="183">
        <v>18495639647</v>
      </c>
      <c r="F63" s="183">
        <v>18495639647</v>
      </c>
      <c r="G63" s="183">
        <v>0</v>
      </c>
      <c r="H63" s="184">
        <v>0</v>
      </c>
    </row>
    <row r="64" spans="1:8" ht="15.75">
      <c r="A64" s="181">
        <v>5114</v>
      </c>
      <c r="B64" s="182" t="s">
        <v>479</v>
      </c>
      <c r="C64" s="183">
        <v>0</v>
      </c>
      <c r="D64" s="183">
        <v>0</v>
      </c>
      <c r="E64" s="183">
        <v>1377358100</v>
      </c>
      <c r="F64" s="183">
        <v>1377358100</v>
      </c>
      <c r="G64" s="183">
        <v>0</v>
      </c>
      <c r="H64" s="184">
        <v>0</v>
      </c>
    </row>
    <row r="65" spans="1:8" ht="15.75">
      <c r="A65" s="177">
        <v>515</v>
      </c>
      <c r="B65" s="178" t="s">
        <v>451</v>
      </c>
      <c r="C65" s="179">
        <v>0</v>
      </c>
      <c r="D65" s="179">
        <v>0</v>
      </c>
      <c r="E65" s="179">
        <v>5238582</v>
      </c>
      <c r="F65" s="179">
        <v>5238582</v>
      </c>
      <c r="G65" s="179">
        <v>0</v>
      </c>
      <c r="H65" s="180">
        <v>0</v>
      </c>
    </row>
    <row r="66" spans="1:8" ht="15.75">
      <c r="A66" s="177">
        <v>621</v>
      </c>
      <c r="B66" s="178" t="s">
        <v>452</v>
      </c>
      <c r="C66" s="179">
        <v>0</v>
      </c>
      <c r="D66" s="179">
        <v>0</v>
      </c>
      <c r="E66" s="179">
        <v>13395407884</v>
      </c>
      <c r="F66" s="179">
        <v>13395407884</v>
      </c>
      <c r="G66" s="179">
        <v>0</v>
      </c>
      <c r="H66" s="180">
        <v>0</v>
      </c>
    </row>
    <row r="67" spans="1:8" ht="15.75">
      <c r="A67" s="181">
        <v>6211</v>
      </c>
      <c r="B67" s="182" t="s">
        <v>453</v>
      </c>
      <c r="C67" s="183">
        <v>0</v>
      </c>
      <c r="D67" s="183">
        <v>0</v>
      </c>
      <c r="E67" s="183">
        <v>13395407884</v>
      </c>
      <c r="F67" s="183">
        <v>13395407884</v>
      </c>
      <c r="G67" s="183">
        <v>0</v>
      </c>
      <c r="H67" s="184">
        <v>0</v>
      </c>
    </row>
    <row r="68" spans="1:8" ht="15.75">
      <c r="A68" s="177">
        <v>622</v>
      </c>
      <c r="B68" s="178" t="s">
        <v>513</v>
      </c>
      <c r="C68" s="179">
        <v>0</v>
      </c>
      <c r="D68" s="179">
        <v>0</v>
      </c>
      <c r="E68" s="179">
        <v>2303750000</v>
      </c>
      <c r="F68" s="179">
        <v>2303750000</v>
      </c>
      <c r="G68" s="179">
        <v>0</v>
      </c>
      <c r="H68" s="180">
        <v>0</v>
      </c>
    </row>
    <row r="69" spans="1:8" ht="15.75">
      <c r="A69" s="181">
        <v>6221</v>
      </c>
      <c r="B69" s="182" t="s">
        <v>514</v>
      </c>
      <c r="C69" s="183">
        <v>0</v>
      </c>
      <c r="D69" s="183">
        <v>0</v>
      </c>
      <c r="E69" s="183">
        <v>2303750000</v>
      </c>
      <c r="F69" s="183">
        <v>2303750000</v>
      </c>
      <c r="G69" s="183">
        <v>0</v>
      </c>
      <c r="H69" s="184">
        <v>0</v>
      </c>
    </row>
    <row r="70" spans="1:8" ht="15.75">
      <c r="A70" s="177">
        <v>627</v>
      </c>
      <c r="B70" s="178" t="s">
        <v>454</v>
      </c>
      <c r="C70" s="179">
        <v>0</v>
      </c>
      <c r="D70" s="179">
        <v>0</v>
      </c>
      <c r="E70" s="179">
        <v>528147755</v>
      </c>
      <c r="F70" s="179">
        <v>528147755</v>
      </c>
      <c r="G70" s="179">
        <v>0</v>
      </c>
      <c r="H70" s="180">
        <v>0</v>
      </c>
    </row>
    <row r="71" spans="1:8" ht="15.75">
      <c r="A71" s="181">
        <v>6272</v>
      </c>
      <c r="B71" s="182" t="s">
        <v>515</v>
      </c>
      <c r="C71" s="183">
        <v>0</v>
      </c>
      <c r="D71" s="183">
        <v>0</v>
      </c>
      <c r="E71" s="183">
        <v>168200000</v>
      </c>
      <c r="F71" s="183">
        <v>168200000</v>
      </c>
      <c r="G71" s="183">
        <v>0</v>
      </c>
      <c r="H71" s="184">
        <v>0</v>
      </c>
    </row>
    <row r="72" spans="1:8" ht="15.75">
      <c r="A72" s="181">
        <v>6274</v>
      </c>
      <c r="B72" s="182" t="s">
        <v>516</v>
      </c>
      <c r="C72" s="183">
        <v>0</v>
      </c>
      <c r="D72" s="183">
        <v>0</v>
      </c>
      <c r="E72" s="183">
        <v>85670208</v>
      </c>
      <c r="F72" s="183">
        <v>85670208</v>
      </c>
      <c r="G72" s="183">
        <v>0</v>
      </c>
      <c r="H72" s="184">
        <v>0</v>
      </c>
    </row>
    <row r="73" spans="1:8" ht="15.75">
      <c r="A73" s="181">
        <v>6277</v>
      </c>
      <c r="B73" s="182" t="s">
        <v>455</v>
      </c>
      <c r="C73" s="183">
        <v>0</v>
      </c>
      <c r="D73" s="183">
        <v>0</v>
      </c>
      <c r="E73" s="183">
        <v>184336365</v>
      </c>
      <c r="F73" s="183">
        <v>184336365</v>
      </c>
      <c r="G73" s="183">
        <v>0</v>
      </c>
      <c r="H73" s="184">
        <v>0</v>
      </c>
    </row>
    <row r="74" spans="1:8" ht="15.75">
      <c r="A74" s="181">
        <v>6278</v>
      </c>
      <c r="B74" s="182" t="s">
        <v>517</v>
      </c>
      <c r="C74" s="183">
        <v>0</v>
      </c>
      <c r="D74" s="183">
        <v>0</v>
      </c>
      <c r="E74" s="183">
        <v>89941182</v>
      </c>
      <c r="F74" s="183">
        <v>89941182</v>
      </c>
      <c r="G74" s="183">
        <v>0</v>
      </c>
      <c r="H74" s="184">
        <v>0</v>
      </c>
    </row>
    <row r="75" spans="1:8" ht="15.75">
      <c r="A75" s="177">
        <v>632</v>
      </c>
      <c r="B75" s="178" t="s">
        <v>456</v>
      </c>
      <c r="C75" s="179">
        <v>0</v>
      </c>
      <c r="D75" s="179">
        <v>0</v>
      </c>
      <c r="E75" s="179">
        <v>15824667001</v>
      </c>
      <c r="F75" s="179">
        <v>15824667001</v>
      </c>
      <c r="G75" s="179">
        <v>0</v>
      </c>
      <c r="H75" s="180">
        <v>0</v>
      </c>
    </row>
    <row r="76" spans="1:8" ht="15.75">
      <c r="A76" s="181">
        <v>6321</v>
      </c>
      <c r="B76" s="182" t="s">
        <v>457</v>
      </c>
      <c r="C76" s="183">
        <v>0</v>
      </c>
      <c r="D76" s="183">
        <v>0</v>
      </c>
      <c r="E76" s="183">
        <v>14551619837</v>
      </c>
      <c r="F76" s="183">
        <v>14551619837</v>
      </c>
      <c r="G76" s="183">
        <v>0</v>
      </c>
      <c r="H76" s="184">
        <v>0</v>
      </c>
    </row>
    <row r="77" spans="1:8" ht="15.75">
      <c r="A77" s="181">
        <v>6324</v>
      </c>
      <c r="B77" s="182" t="s">
        <v>480</v>
      </c>
      <c r="C77" s="183">
        <v>0</v>
      </c>
      <c r="D77" s="183">
        <v>0</v>
      </c>
      <c r="E77" s="183">
        <v>1273047164</v>
      </c>
      <c r="F77" s="183">
        <v>1273047164</v>
      </c>
      <c r="G77" s="183">
        <v>0</v>
      </c>
      <c r="H77" s="184">
        <v>0</v>
      </c>
    </row>
    <row r="78" spans="1:8" ht="15.75">
      <c r="A78" s="177">
        <v>635</v>
      </c>
      <c r="B78" s="178" t="s">
        <v>458</v>
      </c>
      <c r="C78" s="179">
        <v>0</v>
      </c>
      <c r="D78" s="179">
        <v>0</v>
      </c>
      <c r="E78" s="179">
        <v>18353332</v>
      </c>
      <c r="F78" s="179">
        <v>18353332</v>
      </c>
      <c r="G78" s="179">
        <v>0</v>
      </c>
      <c r="H78" s="180">
        <v>0</v>
      </c>
    </row>
    <row r="79" spans="1:8" ht="15.75">
      <c r="A79" s="181">
        <v>6351</v>
      </c>
      <c r="B79" s="182" t="s">
        <v>459</v>
      </c>
      <c r="C79" s="183">
        <v>0</v>
      </c>
      <c r="D79" s="183">
        <v>0</v>
      </c>
      <c r="E79" s="183">
        <v>18353332</v>
      </c>
      <c r="F79" s="183">
        <v>18353332</v>
      </c>
      <c r="G79" s="183">
        <v>0</v>
      </c>
      <c r="H79" s="184">
        <v>0</v>
      </c>
    </row>
    <row r="80" spans="1:8" ht="15.75">
      <c r="A80" s="177">
        <v>642</v>
      </c>
      <c r="B80" s="178" t="s">
        <v>460</v>
      </c>
      <c r="C80" s="179">
        <v>0</v>
      </c>
      <c r="D80" s="179">
        <v>0</v>
      </c>
      <c r="E80" s="179">
        <v>3799254083</v>
      </c>
      <c r="F80" s="179">
        <v>3799254083</v>
      </c>
      <c r="G80" s="179">
        <v>0</v>
      </c>
      <c r="H80" s="180">
        <v>0</v>
      </c>
    </row>
    <row r="81" spans="1:8" ht="15.75">
      <c r="A81" s="177">
        <v>711</v>
      </c>
      <c r="B81" s="178" t="s">
        <v>518</v>
      </c>
      <c r="C81" s="179">
        <v>0</v>
      </c>
      <c r="D81" s="179">
        <v>0</v>
      </c>
      <c r="E81" s="179">
        <v>31500000</v>
      </c>
      <c r="F81" s="179">
        <v>31500000</v>
      </c>
      <c r="G81" s="179">
        <v>0</v>
      </c>
      <c r="H81" s="180">
        <v>0</v>
      </c>
    </row>
    <row r="82" spans="1:8" ht="15.75">
      <c r="A82" s="177">
        <v>821</v>
      </c>
      <c r="B82" s="178" t="s">
        <v>461</v>
      </c>
      <c r="C82" s="179">
        <v>0</v>
      </c>
      <c r="D82" s="179">
        <v>0</v>
      </c>
      <c r="E82" s="179">
        <v>58841621</v>
      </c>
      <c r="F82" s="179">
        <v>58841621</v>
      </c>
      <c r="G82" s="179">
        <v>0</v>
      </c>
      <c r="H82" s="180">
        <v>0</v>
      </c>
    </row>
    <row r="83" spans="1:8" ht="16.5" thickBot="1">
      <c r="A83" s="185">
        <v>911</v>
      </c>
      <c r="B83" s="186" t="s">
        <v>462</v>
      </c>
      <c r="C83" s="187">
        <v>0</v>
      </c>
      <c r="D83" s="187">
        <v>0</v>
      </c>
      <c r="E83" s="187">
        <v>19909736329</v>
      </c>
      <c r="F83" s="187">
        <v>19909736329</v>
      </c>
      <c r="G83" s="187">
        <v>0</v>
      </c>
      <c r="H83" s="188">
        <v>0</v>
      </c>
    </row>
  </sheetData>
  <sheetProtection/>
  <mergeCells count="8">
    <mergeCell ref="A2:H2"/>
    <mergeCell ref="A1:H1"/>
    <mergeCell ref="A3:H3"/>
    <mergeCell ref="A4:A5"/>
    <mergeCell ref="B4:B5"/>
    <mergeCell ref="C4:D4"/>
    <mergeCell ref="E4:F4"/>
    <mergeCell ref="G4:H4"/>
  </mergeCells>
  <printOptions/>
  <pageMargins left="0.48" right="0.28" top="0.35" bottom="0.45" header="0.21" footer="0.2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1">
      <pane ySplit="5" topLeftCell="A72" activePane="bottomLeft" state="frozen"/>
      <selection pane="topLeft" activeCell="A1" sqref="A1"/>
      <selection pane="bottomLeft" activeCell="E63" sqref="E63"/>
    </sheetView>
  </sheetViews>
  <sheetFormatPr defaultColWidth="9.00390625" defaultRowHeight="15.75"/>
  <cols>
    <col min="1" max="1" width="7.625" style="0" customWidth="1"/>
    <col min="2" max="2" width="25.50390625" style="0" customWidth="1"/>
    <col min="3" max="3" width="14.875" style="0" customWidth="1"/>
    <col min="4" max="4" width="11.875" style="0" customWidth="1"/>
    <col min="5" max="6" width="15.75390625" style="0" customWidth="1"/>
    <col min="7" max="7" width="14.00390625" style="0" bestFit="1" customWidth="1"/>
    <col min="8" max="8" width="14.25390625" style="0" customWidth="1"/>
    <col min="9" max="9" width="16.125" style="0" hidden="1" customWidth="1"/>
    <col min="10" max="10" width="16.375" style="0" hidden="1" customWidth="1"/>
    <col min="11" max="11" width="15.00390625" style="174" customWidth="1"/>
    <col min="12" max="12" width="16.25390625" style="0" customWidth="1"/>
    <col min="14" max="14" width="14.00390625" style="0" bestFit="1" customWidth="1"/>
  </cols>
  <sheetData>
    <row r="1" spans="1:11" ht="15.75">
      <c r="A1" s="214" t="s">
        <v>1</v>
      </c>
      <c r="B1" s="214"/>
      <c r="C1" s="214"/>
      <c r="D1" s="214"/>
      <c r="E1" s="214"/>
      <c r="F1" s="214"/>
      <c r="G1" s="214"/>
      <c r="H1" s="214"/>
      <c r="K1"/>
    </row>
    <row r="2" spans="1:11" ht="27" customHeight="1">
      <c r="A2" s="215" t="s">
        <v>0</v>
      </c>
      <c r="B2" s="215"/>
      <c r="C2" s="215"/>
      <c r="D2" s="215"/>
      <c r="E2" s="215"/>
      <c r="F2" s="215"/>
      <c r="G2" s="215"/>
      <c r="H2" s="215"/>
      <c r="K2"/>
    </row>
    <row r="3" spans="1:11" ht="16.5" thickBot="1">
      <c r="A3" s="216" t="s">
        <v>522</v>
      </c>
      <c r="B3" s="216"/>
      <c r="C3" s="216"/>
      <c r="D3" s="216"/>
      <c r="E3" s="216"/>
      <c r="F3" s="216"/>
      <c r="G3" s="216"/>
      <c r="H3" s="216"/>
      <c r="K3"/>
    </row>
    <row r="4" spans="1:11" ht="15.75">
      <c r="A4" s="217" t="s">
        <v>405</v>
      </c>
      <c r="B4" s="219" t="s">
        <v>2</v>
      </c>
      <c r="C4" s="219" t="s">
        <v>4</v>
      </c>
      <c r="D4" s="219"/>
      <c r="E4" s="219" t="s">
        <v>406</v>
      </c>
      <c r="F4" s="219"/>
      <c r="G4" s="219" t="s">
        <v>407</v>
      </c>
      <c r="H4" s="221"/>
      <c r="K4"/>
    </row>
    <row r="5" spans="1:11" ht="15.75">
      <c r="A5" s="218"/>
      <c r="B5" s="220"/>
      <c r="C5" s="192" t="s">
        <v>3</v>
      </c>
      <c r="D5" s="175" t="s">
        <v>5</v>
      </c>
      <c r="E5" s="192" t="s">
        <v>3</v>
      </c>
      <c r="F5" s="175" t="s">
        <v>5</v>
      </c>
      <c r="G5" s="192" t="s">
        <v>3</v>
      </c>
      <c r="H5" s="176" t="s">
        <v>5</v>
      </c>
      <c r="K5"/>
    </row>
    <row r="6" spans="1:11" ht="15.75">
      <c r="A6" s="177">
        <v>111</v>
      </c>
      <c r="B6" s="178" t="s">
        <v>408</v>
      </c>
      <c r="C6" s="179">
        <f>C7</f>
        <v>318353330</v>
      </c>
      <c r="D6" s="179">
        <v>0</v>
      </c>
      <c r="E6" s="179">
        <f>E7</f>
        <v>24712918900</v>
      </c>
      <c r="F6" s="179">
        <f>F7</f>
        <v>24523336742</v>
      </c>
      <c r="G6" s="179">
        <f>G7</f>
        <v>507935488</v>
      </c>
      <c r="H6" s="180">
        <v>0</v>
      </c>
      <c r="K6" s="174">
        <f>'tt con bcdps '!G6+'bcdsps tt me'!G6</f>
        <v>507935488</v>
      </c>
    </row>
    <row r="7" spans="1:11" ht="15.75">
      <c r="A7" s="181">
        <v>1111</v>
      </c>
      <c r="B7" s="182" t="s">
        <v>409</v>
      </c>
      <c r="C7" s="183">
        <f>150296330+'tt con bcdps '!C6</f>
        <v>318353330</v>
      </c>
      <c r="D7" s="183">
        <v>0</v>
      </c>
      <c r="E7" s="183">
        <f>24052918900+'tt con bcdps '!E6</f>
        <v>24712918900</v>
      </c>
      <c r="F7" s="183">
        <f>23915942392+'tt con bcdps '!F6</f>
        <v>24523336742</v>
      </c>
      <c r="G7" s="183">
        <f>C7+E7-F7</f>
        <v>507935488</v>
      </c>
      <c r="H7" s="184">
        <v>0</v>
      </c>
      <c r="K7"/>
    </row>
    <row r="8" spans="1:11" ht="15.75">
      <c r="A8" s="177">
        <v>112</v>
      </c>
      <c r="B8" s="178" t="s">
        <v>410</v>
      </c>
      <c r="C8" s="179">
        <f>C9+C13</f>
        <v>1363858068</v>
      </c>
      <c r="D8" s="179">
        <v>0</v>
      </c>
      <c r="E8" s="179">
        <f>E9</f>
        <v>49258621705</v>
      </c>
      <c r="F8" s="179">
        <f>F9</f>
        <v>50329907270</v>
      </c>
      <c r="G8" s="179">
        <f>C8+E9-F9</f>
        <v>292572503</v>
      </c>
      <c r="H8" s="180">
        <v>0</v>
      </c>
      <c r="K8" s="174">
        <f>'bcdsps tt me'!G8+'tt con bcdps '!G7</f>
        <v>292572503</v>
      </c>
    </row>
    <row r="9" spans="1:11" ht="15.75">
      <c r="A9" s="181">
        <v>1121</v>
      </c>
      <c r="B9" s="182" t="s">
        <v>411</v>
      </c>
      <c r="C9" s="183">
        <f>SUM(C10:C12)</f>
        <v>1361744567</v>
      </c>
      <c r="D9" s="183">
        <v>0</v>
      </c>
      <c r="E9" s="183">
        <f>E10+E11</f>
        <v>49258621705</v>
      </c>
      <c r="F9" s="183">
        <f>F10+F11</f>
        <v>50329907270</v>
      </c>
      <c r="G9" s="183">
        <f aca="true" t="shared" si="0" ref="G9:G14">C9+E9-F9</f>
        <v>290459002</v>
      </c>
      <c r="H9" s="184">
        <v>0</v>
      </c>
      <c r="K9" s="189"/>
    </row>
    <row r="10" spans="1:11" ht="15.75">
      <c r="A10" s="181">
        <v>11211</v>
      </c>
      <c r="B10" s="182" t="s">
        <v>412</v>
      </c>
      <c r="C10" s="183">
        <v>3439184</v>
      </c>
      <c r="D10" s="183">
        <v>0</v>
      </c>
      <c r="E10" s="183">
        <v>9133009397</v>
      </c>
      <c r="F10" s="183">
        <v>8928858254</v>
      </c>
      <c r="G10" s="183">
        <f t="shared" si="0"/>
        <v>207590327</v>
      </c>
      <c r="H10" s="184">
        <v>0</v>
      </c>
      <c r="K10"/>
    </row>
    <row r="11" spans="1:11" ht="15.75">
      <c r="A11" s="181">
        <v>11213</v>
      </c>
      <c r="B11" s="182" t="s">
        <v>413</v>
      </c>
      <c r="C11" s="183">
        <f>1355444566+'tt con bcdps '!C7</f>
        <v>1357444566</v>
      </c>
      <c r="D11" s="183">
        <v>0</v>
      </c>
      <c r="E11" s="183">
        <f>37322369222+'tt con bcdps '!E7</f>
        <v>40125612308</v>
      </c>
      <c r="F11" s="183">
        <f>38598384205+'tt con bcdps '!F7</f>
        <v>41401049016</v>
      </c>
      <c r="G11" s="183">
        <f t="shared" si="0"/>
        <v>82007858</v>
      </c>
      <c r="H11" s="184">
        <v>0</v>
      </c>
      <c r="K11"/>
    </row>
    <row r="12" spans="1:11" ht="15.75">
      <c r="A12" s="181">
        <v>11214</v>
      </c>
      <c r="B12" s="182" t="s">
        <v>476</v>
      </c>
      <c r="C12" s="183">
        <v>860817</v>
      </c>
      <c r="D12" s="183">
        <v>0</v>
      </c>
      <c r="E12" s="183">
        <v>0</v>
      </c>
      <c r="F12" s="183">
        <v>0</v>
      </c>
      <c r="G12" s="183">
        <f t="shared" si="0"/>
        <v>860817</v>
      </c>
      <c r="H12" s="184">
        <v>0</v>
      </c>
      <c r="K12"/>
    </row>
    <row r="13" spans="1:8" ht="15.75">
      <c r="A13" s="181">
        <v>1122</v>
      </c>
      <c r="B13" s="182" t="s">
        <v>414</v>
      </c>
      <c r="C13" s="183">
        <v>2113501</v>
      </c>
      <c r="D13" s="183">
        <v>0</v>
      </c>
      <c r="E13" s="183">
        <v>0</v>
      </c>
      <c r="F13" s="183">
        <v>0</v>
      </c>
      <c r="G13" s="183">
        <f t="shared" si="0"/>
        <v>2113501</v>
      </c>
      <c r="H13" s="184">
        <v>0</v>
      </c>
    </row>
    <row r="14" spans="1:11" ht="15.75">
      <c r="A14" s="181">
        <v>11221</v>
      </c>
      <c r="B14" s="182" t="s">
        <v>412</v>
      </c>
      <c r="C14" s="183">
        <v>2113501</v>
      </c>
      <c r="D14" s="183">
        <v>0</v>
      </c>
      <c r="E14" s="183">
        <v>0</v>
      </c>
      <c r="F14" s="183">
        <v>0</v>
      </c>
      <c r="G14" s="183">
        <f t="shared" si="0"/>
        <v>2113501</v>
      </c>
      <c r="H14" s="184">
        <v>0</v>
      </c>
      <c r="K14" s="152">
        <f>K15-G15</f>
        <v>0</v>
      </c>
    </row>
    <row r="15" spans="1:12" ht="15.75">
      <c r="A15" s="177">
        <v>131</v>
      </c>
      <c r="B15" s="178" t="s">
        <v>415</v>
      </c>
      <c r="C15" s="179">
        <f>13714800150+'tt con bcdps '!C8</f>
        <v>13928318950</v>
      </c>
      <c r="D15" s="179">
        <v>725328000</v>
      </c>
      <c r="E15" s="179">
        <f>21893074247+'tt con bcdps '!E8</f>
        <v>24434034559</v>
      </c>
      <c r="F15" s="179">
        <f>28885033957+'tt con bcdps '!F8</f>
        <v>30426836843</v>
      </c>
      <c r="G15" s="179">
        <f>6200480440+'tt con bcdps '!G8</f>
        <v>7563156666</v>
      </c>
      <c r="H15" s="180">
        <f>202968000+'tt con bcdps '!H8</f>
        <v>352968000</v>
      </c>
      <c r="K15" s="174">
        <f>'tt con bcdps '!G8+'bcdsps tt me'!G15</f>
        <v>7563156666</v>
      </c>
      <c r="L15" s="189">
        <f>H15</f>
        <v>352968000</v>
      </c>
    </row>
    <row r="16" spans="1:11" ht="15.75">
      <c r="A16" s="177">
        <v>133</v>
      </c>
      <c r="B16" s="178" t="s">
        <v>416</v>
      </c>
      <c r="C16" s="179">
        <f>C17</f>
        <v>1062392563</v>
      </c>
      <c r="D16" s="179">
        <v>0</v>
      </c>
      <c r="E16" s="179">
        <f aca="true" t="shared" si="1" ref="E16:G17">E17</f>
        <v>1978598752</v>
      </c>
      <c r="F16" s="179">
        <f t="shared" si="1"/>
        <v>2386834242</v>
      </c>
      <c r="G16" s="179">
        <f t="shared" si="1"/>
        <v>654157073</v>
      </c>
      <c r="H16" s="180">
        <v>0</v>
      </c>
      <c r="K16" s="174">
        <f>'tt con bcdps '!G9+'bcdsps tt me'!G16</f>
        <v>654157073</v>
      </c>
    </row>
    <row r="17" spans="1:11" ht="15.75">
      <c r="A17" s="181">
        <v>1331</v>
      </c>
      <c r="B17" s="182" t="s">
        <v>417</v>
      </c>
      <c r="C17" s="183">
        <f>C18</f>
        <v>1062392563</v>
      </c>
      <c r="D17" s="183">
        <v>0</v>
      </c>
      <c r="E17" s="183">
        <f t="shared" si="1"/>
        <v>1978598752</v>
      </c>
      <c r="F17" s="183">
        <f t="shared" si="1"/>
        <v>2386834242</v>
      </c>
      <c r="G17" s="183">
        <f t="shared" si="1"/>
        <v>654157073</v>
      </c>
      <c r="H17" s="184">
        <v>0</v>
      </c>
      <c r="K17"/>
    </row>
    <row r="18" spans="1:11" ht="15.75">
      <c r="A18" s="181">
        <v>13311</v>
      </c>
      <c r="B18" s="182" t="s">
        <v>417</v>
      </c>
      <c r="C18" s="183">
        <f>1062094363+'tt con bcdps '!C9</f>
        <v>1062392563</v>
      </c>
      <c r="D18" s="183">
        <v>0</v>
      </c>
      <c r="E18" s="183">
        <f>1676819518+'tt con bcdps '!E9</f>
        <v>1978598752</v>
      </c>
      <c r="F18" s="183">
        <f>2155837850+'tt con bcdps '!F9</f>
        <v>2386834242</v>
      </c>
      <c r="G18" s="183">
        <f>C18+E18-F18</f>
        <v>654157073</v>
      </c>
      <c r="H18" s="184">
        <v>0</v>
      </c>
      <c r="K18"/>
    </row>
    <row r="19" spans="1:11" ht="15.75">
      <c r="A19" s="177">
        <v>136</v>
      </c>
      <c r="B19" s="178" t="s">
        <v>481</v>
      </c>
      <c r="C19" s="179">
        <f>C20</f>
        <v>1570932000</v>
      </c>
      <c r="D19" s="179">
        <v>0</v>
      </c>
      <c r="E19" s="179">
        <v>0</v>
      </c>
      <c r="F19" s="179">
        <v>0</v>
      </c>
      <c r="G19" s="179">
        <f>G20</f>
        <v>1570932000</v>
      </c>
      <c r="H19" s="180">
        <v>0</v>
      </c>
      <c r="K19" s="174">
        <f>'tt con bcdps '!G10+'bcdsps tt me'!G19</f>
        <v>1570932000</v>
      </c>
    </row>
    <row r="20" spans="1:11" ht="15.75">
      <c r="A20" s="181">
        <v>1368</v>
      </c>
      <c r="B20" s="182" t="s">
        <v>482</v>
      </c>
      <c r="C20" s="183">
        <f>177452000+'tt con bcdps '!C10</f>
        <v>1570932000</v>
      </c>
      <c r="D20" s="183">
        <v>0</v>
      </c>
      <c r="E20" s="183">
        <v>0</v>
      </c>
      <c r="F20" s="183">
        <v>0</v>
      </c>
      <c r="G20" s="183">
        <f>177452000+'tt con bcdps '!G10</f>
        <v>1570932000</v>
      </c>
      <c r="H20" s="184">
        <v>0</v>
      </c>
      <c r="K20"/>
    </row>
    <row r="21" spans="1:11" ht="15.75">
      <c r="A21" s="177">
        <v>138</v>
      </c>
      <c r="B21" s="178" t="s">
        <v>510</v>
      </c>
      <c r="C21" s="179">
        <v>0</v>
      </c>
      <c r="D21" s="179">
        <v>0</v>
      </c>
      <c r="E21" s="179">
        <v>161096364</v>
      </c>
      <c r="F21" s="179">
        <v>0</v>
      </c>
      <c r="G21" s="179">
        <v>161096364</v>
      </c>
      <c r="H21" s="180">
        <v>0</v>
      </c>
      <c r="K21" s="189">
        <f>G21</f>
        <v>161096364</v>
      </c>
    </row>
    <row r="22" spans="1:11" ht="15.75">
      <c r="A22" s="181">
        <v>1388</v>
      </c>
      <c r="B22" s="182" t="s">
        <v>510</v>
      </c>
      <c r="C22" s="183">
        <v>0</v>
      </c>
      <c r="D22" s="183">
        <v>0</v>
      </c>
      <c r="E22" s="183">
        <v>161096364</v>
      </c>
      <c r="F22" s="183">
        <v>0</v>
      </c>
      <c r="G22" s="183">
        <v>161096364</v>
      </c>
      <c r="H22" s="184">
        <v>0</v>
      </c>
      <c r="K22"/>
    </row>
    <row r="23" spans="1:11" ht="15.75">
      <c r="A23" s="177">
        <v>152</v>
      </c>
      <c r="B23" s="178" t="s">
        <v>418</v>
      </c>
      <c r="C23" s="179">
        <v>16861442221</v>
      </c>
      <c r="D23" s="179">
        <v>0</v>
      </c>
      <c r="E23" s="179">
        <f>E24</f>
        <v>16310071272</v>
      </c>
      <c r="F23" s="179">
        <f>F24</f>
        <v>16744805164</v>
      </c>
      <c r="G23" s="179">
        <f>G24</f>
        <v>16426708329</v>
      </c>
      <c r="H23" s="180">
        <v>0</v>
      </c>
      <c r="K23" s="174">
        <f>'tt con bcdps '!G11+'bcdsps tt me'!G23</f>
        <v>16426708329</v>
      </c>
    </row>
    <row r="24" spans="1:11" ht="15.75">
      <c r="A24" s="181">
        <v>1521</v>
      </c>
      <c r="B24" s="182" t="s">
        <v>419</v>
      </c>
      <c r="C24" s="183">
        <f>16861442221+'tt con bcdps '!C11</f>
        <v>16861442221</v>
      </c>
      <c r="D24" s="183">
        <v>0</v>
      </c>
      <c r="E24" s="183">
        <f>13535164512+'tt con bcdps '!E11</f>
        <v>16310071272</v>
      </c>
      <c r="F24" s="183">
        <f>14668455015+'tt con bcdps '!F11</f>
        <v>16744805164</v>
      </c>
      <c r="G24" s="183">
        <f>15728151718+'tt con bcdps '!G11</f>
        <v>16426708329</v>
      </c>
      <c r="H24" s="184">
        <v>0</v>
      </c>
      <c r="K24"/>
    </row>
    <row r="25" spans="1:11" ht="15.75">
      <c r="A25" s="177">
        <v>153</v>
      </c>
      <c r="B25" s="178" t="s">
        <v>420</v>
      </c>
      <c r="C25" s="183">
        <f>'tt con bcdps '!C12</f>
        <v>31166667</v>
      </c>
      <c r="D25" s="183"/>
      <c r="E25" s="183"/>
      <c r="F25" s="183"/>
      <c r="G25" s="183">
        <f>C25</f>
        <v>31166667</v>
      </c>
      <c r="H25" s="184"/>
      <c r="K25" s="189">
        <f>G25</f>
        <v>31166667</v>
      </c>
    </row>
    <row r="26" spans="1:11" ht="15.75">
      <c r="A26" s="177">
        <v>154</v>
      </c>
      <c r="B26" s="178" t="s">
        <v>421</v>
      </c>
      <c r="C26" s="179">
        <v>11739529157</v>
      </c>
      <c r="D26" s="179">
        <v>0</v>
      </c>
      <c r="E26" s="179">
        <f>E27</f>
        <v>17782565449</v>
      </c>
      <c r="F26" s="179">
        <f>F27</f>
        <v>15706639870</v>
      </c>
      <c r="G26" s="179">
        <f>G27</f>
        <v>13815454736</v>
      </c>
      <c r="H26" s="180">
        <v>0</v>
      </c>
      <c r="K26" s="189">
        <f>G26</f>
        <v>13815454736</v>
      </c>
    </row>
    <row r="27" spans="1:11" ht="15.75">
      <c r="A27" s="181">
        <v>1541</v>
      </c>
      <c r="B27" s="182" t="s">
        <v>422</v>
      </c>
      <c r="C27" s="183">
        <f>11739529157+'tt con bcdps '!C13</f>
        <v>11739529157</v>
      </c>
      <c r="D27" s="183">
        <v>0</v>
      </c>
      <c r="E27" s="183">
        <f>16227305639+'tt con bcdps '!E13</f>
        <v>17782565449</v>
      </c>
      <c r="F27" s="183">
        <f>14551619870+'tt con bcdps '!F13</f>
        <v>15706639870</v>
      </c>
      <c r="G27" s="183">
        <f aca="true" t="shared" si="2" ref="G27:G33">C27+E27-F27</f>
        <v>13815454736</v>
      </c>
      <c r="H27" s="184">
        <v>0</v>
      </c>
      <c r="K27"/>
    </row>
    <row r="28" spans="1:11" ht="15.75">
      <c r="A28" s="177">
        <v>211</v>
      </c>
      <c r="B28" s="178" t="s">
        <v>423</v>
      </c>
      <c r="C28" s="179">
        <f>SUM(C29:C33)</f>
        <v>13483354762</v>
      </c>
      <c r="D28" s="179">
        <v>0</v>
      </c>
      <c r="E28" s="179">
        <v>36000000</v>
      </c>
      <c r="F28" s="179">
        <f>F30</f>
        <v>1636686969</v>
      </c>
      <c r="G28" s="179">
        <f t="shared" si="2"/>
        <v>11882667793</v>
      </c>
      <c r="H28" s="180">
        <v>0</v>
      </c>
      <c r="K28" s="174">
        <f>'tt con bcdps '!G14+'tt con bcdps '!G15+'tt con bcdps '!G16+'tt con bcdps '!G17+'bcdsps tt me'!G27</f>
        <v>11882667798</v>
      </c>
    </row>
    <row r="29" spans="1:11" ht="15.75">
      <c r="A29" s="181">
        <v>2111</v>
      </c>
      <c r="B29" s="182" t="s">
        <v>424</v>
      </c>
      <c r="C29" s="183">
        <f>1132158269+'tt con bcdps '!C14+'tt con bcdps '!C15</f>
        <v>9425942651</v>
      </c>
      <c r="D29" s="183">
        <v>0</v>
      </c>
      <c r="E29" s="183">
        <v>0</v>
      </c>
      <c r="F29" s="183">
        <v>0</v>
      </c>
      <c r="G29" s="183">
        <f t="shared" si="2"/>
        <v>9425942651</v>
      </c>
      <c r="H29" s="184">
        <v>0</v>
      </c>
      <c r="K29"/>
    </row>
    <row r="30" spans="1:8" ht="15.75">
      <c r="A30" s="181">
        <v>2112</v>
      </c>
      <c r="B30" s="182" t="s">
        <v>425</v>
      </c>
      <c r="C30" s="183">
        <f>270041736+1636686964</f>
        <v>1906728700</v>
      </c>
      <c r="D30" s="183">
        <v>0</v>
      </c>
      <c r="E30" s="183">
        <v>0</v>
      </c>
      <c r="F30" s="183">
        <v>1636686969</v>
      </c>
      <c r="G30" s="183">
        <f t="shared" si="2"/>
        <v>270041731</v>
      </c>
      <c r="H30" s="184">
        <v>0</v>
      </c>
    </row>
    <row r="31" spans="1:11" ht="15.75">
      <c r="A31" s="181">
        <v>2113</v>
      </c>
      <c r="B31" s="182" t="s">
        <v>426</v>
      </c>
      <c r="C31" s="183">
        <v>514750000</v>
      </c>
      <c r="D31" s="183">
        <v>0</v>
      </c>
      <c r="E31" s="183">
        <v>0</v>
      </c>
      <c r="F31" s="183">
        <v>0</v>
      </c>
      <c r="G31" s="183">
        <f t="shared" si="2"/>
        <v>514750000</v>
      </c>
      <c r="H31" s="184">
        <v>0</v>
      </c>
      <c r="K31"/>
    </row>
    <row r="32" spans="1:11" ht="15.75">
      <c r="A32" s="181">
        <v>2115</v>
      </c>
      <c r="B32" s="182" t="s">
        <v>469</v>
      </c>
      <c r="C32" s="183">
        <f>58076264+'tt con bcdps '!C16</f>
        <v>93076264</v>
      </c>
      <c r="D32" s="183">
        <v>0</v>
      </c>
      <c r="E32" s="183">
        <v>36000000</v>
      </c>
      <c r="F32" s="183">
        <v>0</v>
      </c>
      <c r="G32" s="183">
        <f t="shared" si="2"/>
        <v>129076264</v>
      </c>
      <c r="H32" s="184">
        <v>0</v>
      </c>
      <c r="K32"/>
    </row>
    <row r="33" spans="1:11" ht="15.75">
      <c r="A33" s="181">
        <v>2118</v>
      </c>
      <c r="B33" s="182" t="s">
        <v>495</v>
      </c>
      <c r="C33" s="183">
        <f>'tt con bcdps '!C17</f>
        <v>1542857147</v>
      </c>
      <c r="D33" s="183"/>
      <c r="E33" s="183"/>
      <c r="F33" s="183"/>
      <c r="G33" s="183">
        <f t="shared" si="2"/>
        <v>1542857147</v>
      </c>
      <c r="H33" s="184"/>
      <c r="K33"/>
    </row>
    <row r="34" spans="1:11" ht="15.75">
      <c r="A34" s="177">
        <v>213</v>
      </c>
      <c r="B34" s="178" t="s">
        <v>427</v>
      </c>
      <c r="C34" s="179">
        <v>112752000</v>
      </c>
      <c r="D34" s="179">
        <v>0</v>
      </c>
      <c r="E34" s="179">
        <v>0</v>
      </c>
      <c r="F34" s="179">
        <v>0</v>
      </c>
      <c r="G34" s="179">
        <v>112752000</v>
      </c>
      <c r="H34" s="180">
        <v>0</v>
      </c>
      <c r="K34" s="174">
        <f>'bcdsps tt me'!G32</f>
        <v>112752000</v>
      </c>
    </row>
    <row r="35" spans="1:11" ht="15.75">
      <c r="A35" s="181">
        <v>2131</v>
      </c>
      <c r="B35" s="182" t="s">
        <v>428</v>
      </c>
      <c r="C35" s="183">
        <v>112752000</v>
      </c>
      <c r="D35" s="183">
        <v>0</v>
      </c>
      <c r="E35" s="183">
        <v>0</v>
      </c>
      <c r="F35" s="183">
        <v>0</v>
      </c>
      <c r="G35" s="183">
        <v>112752000</v>
      </c>
      <c r="H35" s="184">
        <v>0</v>
      </c>
      <c r="K35"/>
    </row>
    <row r="36" spans="1:12" ht="15.75">
      <c r="A36" s="177">
        <v>214</v>
      </c>
      <c r="B36" s="178" t="s">
        <v>429</v>
      </c>
      <c r="C36" s="179">
        <v>0</v>
      </c>
      <c r="D36" s="179">
        <f>D37+D38</f>
        <v>3006074085</v>
      </c>
      <c r="E36" s="179">
        <f>E37</f>
        <v>1636686969</v>
      </c>
      <c r="F36" s="179">
        <f>F37+F38</f>
        <v>503556179</v>
      </c>
      <c r="G36" s="179"/>
      <c r="H36" s="180">
        <f>H37+H38</f>
        <v>1872943295</v>
      </c>
      <c r="L36" s="174">
        <f>'tt con bcdps '!H18+'tt con bcdps '!H19+'bcdsps tt me'!H34</f>
        <v>1872943294</v>
      </c>
    </row>
    <row r="37" spans="1:11" ht="15.75">
      <c r="A37" s="181">
        <v>2141</v>
      </c>
      <c r="B37" s="182" t="s">
        <v>430</v>
      </c>
      <c r="C37" s="183">
        <v>0</v>
      </c>
      <c r="D37" s="183">
        <f>1292241364+'tt con bcdps '!D18+'tt con bcdps '!D19+1636686970</f>
        <v>2971226378</v>
      </c>
      <c r="E37" s="183">
        <v>1636686969</v>
      </c>
      <c r="F37" s="183">
        <f>128505312+'tt con bcdps '!F18</f>
        <v>496936337</v>
      </c>
      <c r="G37" s="183">
        <v>0</v>
      </c>
      <c r="H37" s="184">
        <f>D37+F37-E37</f>
        <v>1831475746</v>
      </c>
      <c r="K37" s="189">
        <f>G37</f>
        <v>0</v>
      </c>
    </row>
    <row r="38" spans="1:11" ht="15.75">
      <c r="A38" s="181">
        <v>2143</v>
      </c>
      <c r="B38" s="182" t="s">
        <v>431</v>
      </c>
      <c r="C38" s="183">
        <v>0</v>
      </c>
      <c r="D38" s="183">
        <f>34847707</f>
        <v>34847707</v>
      </c>
      <c r="E38" s="183">
        <v>0</v>
      </c>
      <c r="F38" s="183">
        <v>6619842</v>
      </c>
      <c r="G38" s="183">
        <v>0</v>
      </c>
      <c r="H38" s="184">
        <f>D38+F38-E38</f>
        <v>41467549</v>
      </c>
      <c r="K38"/>
    </row>
    <row r="39" spans="1:12" ht="15.75">
      <c r="A39" s="177">
        <v>221</v>
      </c>
      <c r="B39" s="178" t="s">
        <v>488</v>
      </c>
      <c r="C39" s="179">
        <v>9836641524</v>
      </c>
      <c r="D39" s="179">
        <v>0</v>
      </c>
      <c r="E39" s="179">
        <v>970000000</v>
      </c>
      <c r="F39" s="179">
        <v>0</v>
      </c>
      <c r="G39" s="179">
        <v>10806641524</v>
      </c>
      <c r="H39" s="180">
        <v>0</v>
      </c>
      <c r="K39" s="174">
        <f>'bcdsps tt me'!G37</f>
        <v>10806641524</v>
      </c>
      <c r="L39" s="174"/>
    </row>
    <row r="40" spans="1:11" ht="15.75">
      <c r="A40" s="181">
        <v>2211</v>
      </c>
      <c r="B40" s="182" t="s">
        <v>489</v>
      </c>
      <c r="C40" s="183">
        <v>9836641524</v>
      </c>
      <c r="D40" s="183">
        <v>0</v>
      </c>
      <c r="E40" s="183">
        <v>970000000</v>
      </c>
      <c r="F40" s="183">
        <v>0</v>
      </c>
      <c r="G40" s="183">
        <v>10806641524</v>
      </c>
      <c r="H40" s="184">
        <v>0</v>
      </c>
      <c r="K40"/>
    </row>
    <row r="41" spans="1:12" ht="15.75">
      <c r="A41" s="177">
        <v>311</v>
      </c>
      <c r="B41" s="178" t="s">
        <v>432</v>
      </c>
      <c r="C41" s="179">
        <v>0</v>
      </c>
      <c r="D41" s="179">
        <v>7300000000</v>
      </c>
      <c r="E41" s="179">
        <v>7570000000</v>
      </c>
      <c r="F41" s="179">
        <v>11420000000</v>
      </c>
      <c r="G41" s="179">
        <v>0</v>
      </c>
      <c r="H41" s="180">
        <v>11150000000</v>
      </c>
      <c r="K41"/>
      <c r="L41" s="174">
        <f>'bcdsps tt me'!H39</f>
        <v>11150000000</v>
      </c>
    </row>
    <row r="42" spans="1:11" ht="15.75">
      <c r="A42" s="181">
        <v>3111</v>
      </c>
      <c r="B42" s="182" t="s">
        <v>520</v>
      </c>
      <c r="C42" s="183">
        <v>0</v>
      </c>
      <c r="D42" s="183">
        <v>0</v>
      </c>
      <c r="E42" s="183">
        <v>0</v>
      </c>
      <c r="F42" s="183">
        <v>600000000</v>
      </c>
      <c r="G42" s="183">
        <v>0</v>
      </c>
      <c r="H42" s="184">
        <v>600000000</v>
      </c>
      <c r="K42" s="189">
        <f>'bcdsps tt me'!G39</f>
        <v>0</v>
      </c>
    </row>
    <row r="43" spans="1:11" ht="15.75">
      <c r="A43" s="181">
        <v>3113</v>
      </c>
      <c r="B43" s="182" t="s">
        <v>433</v>
      </c>
      <c r="C43" s="183">
        <v>0</v>
      </c>
      <c r="D43" s="183">
        <v>7000000000</v>
      </c>
      <c r="E43" s="183">
        <v>4400000000</v>
      </c>
      <c r="F43" s="183">
        <v>7950000000</v>
      </c>
      <c r="G43" s="183">
        <v>0</v>
      </c>
      <c r="H43" s="184">
        <v>10550000000</v>
      </c>
      <c r="K43"/>
    </row>
    <row r="44" spans="1:12" ht="15.75">
      <c r="A44" s="181">
        <v>3114</v>
      </c>
      <c r="B44" s="182" t="s">
        <v>434</v>
      </c>
      <c r="C44" s="183">
        <v>0</v>
      </c>
      <c r="D44" s="183">
        <v>300000000</v>
      </c>
      <c r="E44" s="183">
        <v>3170000000</v>
      </c>
      <c r="F44" s="183">
        <v>2870000000</v>
      </c>
      <c r="G44" s="183">
        <v>0</v>
      </c>
      <c r="H44" s="184">
        <v>0</v>
      </c>
      <c r="K44"/>
      <c r="L44" s="174"/>
    </row>
    <row r="45" spans="1:12" ht="15.75">
      <c r="A45" s="177">
        <v>331</v>
      </c>
      <c r="B45" s="178" t="s">
        <v>435</v>
      </c>
      <c r="C45" s="179">
        <v>1087503467</v>
      </c>
      <c r="D45" s="179">
        <f>17374016828+'tt con bcdps '!D20</f>
        <v>18786086828</v>
      </c>
      <c r="E45" s="179">
        <f>28785767418+'tt con bcdps '!E20</f>
        <v>30908542418</v>
      </c>
      <c r="F45" s="179">
        <f>18118784223+'tt con bcdps '!F20</f>
        <v>21441568660</v>
      </c>
      <c r="G45" s="179">
        <f>569153015+'tt con bcdps '!G20</f>
        <v>603253015</v>
      </c>
      <c r="H45" s="180">
        <f>6188683181+'tt con bcdps '!H20</f>
        <v>8834862618</v>
      </c>
      <c r="K45" s="174">
        <f>'tt con bcdps '!G20+'bcdsps tt me'!G43</f>
        <v>603253015</v>
      </c>
      <c r="L45" s="174">
        <f>'tt con bcdps '!H20+'bcdsps tt me'!H43</f>
        <v>8834862618</v>
      </c>
    </row>
    <row r="46" spans="1:12" ht="15.75">
      <c r="A46" s="177">
        <v>333</v>
      </c>
      <c r="B46" s="178" t="s">
        <v>436</v>
      </c>
      <c r="C46" s="179">
        <v>0</v>
      </c>
      <c r="D46" s="179">
        <f>D49</f>
        <v>132857275</v>
      </c>
      <c r="E46" s="179">
        <f>E47+E49+E50+E52</f>
        <v>2590493705</v>
      </c>
      <c r="F46" s="179">
        <f>F47+F49+F50+F52</f>
        <v>2505138455</v>
      </c>
      <c r="G46" s="179">
        <v>0</v>
      </c>
      <c r="H46" s="180">
        <f>D46+F46-E46</f>
        <v>47502025</v>
      </c>
      <c r="K46" s="193">
        <f>'tt con bcdps '!G22</f>
        <v>1339596</v>
      </c>
      <c r="L46" s="189">
        <f>'bcdsps tt me'!H44</f>
        <v>48841621</v>
      </c>
    </row>
    <row r="47" spans="1:12" ht="15.75">
      <c r="A47" s="181">
        <v>3331</v>
      </c>
      <c r="B47" s="182" t="s">
        <v>437</v>
      </c>
      <c r="C47" s="183">
        <v>0</v>
      </c>
      <c r="D47" s="183">
        <v>0</v>
      </c>
      <c r="E47" s="183">
        <f>E48</f>
        <v>2218296168</v>
      </c>
      <c r="F47" s="183">
        <f>F48</f>
        <v>2218296168</v>
      </c>
      <c r="G47" s="183">
        <v>0</v>
      </c>
      <c r="H47" s="184">
        <v>0</v>
      </c>
      <c r="L47" s="174"/>
    </row>
    <row r="48" spans="1:12" ht="15.75">
      <c r="A48" s="181">
        <v>33311</v>
      </c>
      <c r="B48" s="182" t="s">
        <v>438</v>
      </c>
      <c r="C48" s="183">
        <v>0</v>
      </c>
      <c r="D48" s="183">
        <v>0</v>
      </c>
      <c r="E48" s="183">
        <f>1987299776+'tt con bcdps '!E21</f>
        <v>2218296168</v>
      </c>
      <c r="F48" s="183">
        <f>1987299776+'tt con bcdps '!F21</f>
        <v>2218296168</v>
      </c>
      <c r="G48" s="183">
        <v>0</v>
      </c>
      <c r="H48" s="184">
        <v>0</v>
      </c>
      <c r="L48" s="174"/>
    </row>
    <row r="49" spans="1:11" ht="15.75">
      <c r="A49" s="181">
        <v>3334</v>
      </c>
      <c r="B49" s="182" t="s">
        <v>439</v>
      </c>
      <c r="C49" s="183">
        <v>0</v>
      </c>
      <c r="D49" s="183">
        <f>130517151+'tt con bcdps '!D22</f>
        <v>132857275</v>
      </c>
      <c r="E49" s="183">
        <f>287409413+'tt con bcdps '!E22</f>
        <v>299749537</v>
      </c>
      <c r="F49" s="183">
        <f>205733883+'tt con bcdps '!F22</f>
        <v>214394287</v>
      </c>
      <c r="G49" s="183">
        <v>0</v>
      </c>
      <c r="H49" s="184"/>
      <c r="K49" s="189"/>
    </row>
    <row r="50" spans="1:11" ht="15.75">
      <c r="A50" s="181">
        <v>3337</v>
      </c>
      <c r="B50" s="182" t="s">
        <v>511</v>
      </c>
      <c r="C50" s="183">
        <v>0</v>
      </c>
      <c r="D50" s="183">
        <v>0</v>
      </c>
      <c r="E50" s="183">
        <v>66448000</v>
      </c>
      <c r="F50" s="183">
        <v>66448000</v>
      </c>
      <c r="G50" s="183">
        <v>0</v>
      </c>
      <c r="H50" s="184">
        <v>0</v>
      </c>
      <c r="K50" s="189"/>
    </row>
    <row r="51" spans="1:11" ht="15.75">
      <c r="A51" s="181">
        <v>33372</v>
      </c>
      <c r="B51" s="182" t="s">
        <v>512</v>
      </c>
      <c r="C51" s="183">
        <v>0</v>
      </c>
      <c r="D51" s="183">
        <v>0</v>
      </c>
      <c r="E51" s="183">
        <v>66448000</v>
      </c>
      <c r="F51" s="183">
        <v>66448000</v>
      </c>
      <c r="G51" s="183">
        <v>0</v>
      </c>
      <c r="H51" s="184">
        <v>0</v>
      </c>
      <c r="K51" s="152"/>
    </row>
    <row r="52" spans="1:11" ht="15.75">
      <c r="A52" s="181">
        <v>3338</v>
      </c>
      <c r="B52" s="182" t="s">
        <v>440</v>
      </c>
      <c r="C52" s="183">
        <v>0</v>
      </c>
      <c r="D52" s="183">
        <v>0</v>
      </c>
      <c r="E52" s="183">
        <f>3000000+'tt con bcdps '!E23</f>
        <v>6000000</v>
      </c>
      <c r="F52" s="183">
        <f>3000000+'tt con bcdps '!F23</f>
        <v>6000000</v>
      </c>
      <c r="G52" s="183">
        <v>0</v>
      </c>
      <c r="H52" s="184">
        <v>0</v>
      </c>
      <c r="K52"/>
    </row>
    <row r="53" spans="1:11" ht="15.75">
      <c r="A53" s="177">
        <v>334</v>
      </c>
      <c r="B53" s="178" t="s">
        <v>441</v>
      </c>
      <c r="C53" s="179">
        <v>0</v>
      </c>
      <c r="D53" s="179">
        <v>0</v>
      </c>
      <c r="E53" s="179">
        <v>3092125000</v>
      </c>
      <c r="F53" s="179">
        <v>3092125000</v>
      </c>
      <c r="G53" s="179">
        <v>0</v>
      </c>
      <c r="H53" s="180">
        <v>0</v>
      </c>
      <c r="K53"/>
    </row>
    <row r="54" spans="1:11" ht="15.75">
      <c r="A54" s="181">
        <v>3341</v>
      </c>
      <c r="B54" s="182" t="s">
        <v>442</v>
      </c>
      <c r="C54" s="183">
        <v>0</v>
      </c>
      <c r="D54" s="183">
        <v>0</v>
      </c>
      <c r="E54" s="183">
        <v>2810955000</v>
      </c>
      <c r="F54" s="183">
        <v>2810955000</v>
      </c>
      <c r="G54" s="183">
        <v>0</v>
      </c>
      <c r="H54" s="184">
        <v>0</v>
      </c>
      <c r="K54"/>
    </row>
    <row r="55" spans="1:11" ht="15.75">
      <c r="A55" s="181">
        <v>3342</v>
      </c>
      <c r="B55" s="182" t="s">
        <v>521</v>
      </c>
      <c r="C55" s="183">
        <v>0</v>
      </c>
      <c r="D55" s="183">
        <v>0</v>
      </c>
      <c r="E55" s="183">
        <v>281170000</v>
      </c>
      <c r="F55" s="183">
        <v>281170000</v>
      </c>
      <c r="G55" s="183">
        <v>0</v>
      </c>
      <c r="H55" s="184">
        <v>0</v>
      </c>
      <c r="K55"/>
    </row>
    <row r="56" spans="1:12" ht="15.75">
      <c r="A56" s="177">
        <v>336</v>
      </c>
      <c r="B56" s="178" t="s">
        <v>483</v>
      </c>
      <c r="C56" s="179">
        <v>0</v>
      </c>
      <c r="D56" s="179">
        <f>1393480000+'tt con bcdps '!D25</f>
        <v>1570932000</v>
      </c>
      <c r="E56" s="179">
        <v>0</v>
      </c>
      <c r="F56" s="179">
        <v>0</v>
      </c>
      <c r="G56" s="179">
        <v>0</v>
      </c>
      <c r="H56" s="180">
        <f>1393480000+'tt con bcdps '!H25</f>
        <v>1570932000</v>
      </c>
      <c r="K56"/>
      <c r="L56" s="174">
        <f>'tt con bcdps '!H25+'bcdsps tt me'!H54</f>
        <v>1570932000</v>
      </c>
    </row>
    <row r="57" spans="1:12" ht="15.75">
      <c r="A57" s="177">
        <v>338</v>
      </c>
      <c r="B57" s="178" t="s">
        <v>443</v>
      </c>
      <c r="C57" s="179">
        <v>8963754</v>
      </c>
      <c r="D57" s="179">
        <f>D59</f>
        <v>412986198</v>
      </c>
      <c r="E57" s="179">
        <f>E58+E59</f>
        <v>420000000</v>
      </c>
      <c r="F57" s="179">
        <v>227996015</v>
      </c>
      <c r="G57" s="179">
        <v>967739</v>
      </c>
      <c r="H57" s="180">
        <v>212986198</v>
      </c>
      <c r="K57" s="189">
        <f>G57</f>
        <v>967739</v>
      </c>
      <c r="L57" s="174">
        <f>H57</f>
        <v>212986198</v>
      </c>
    </row>
    <row r="58" spans="1:12" ht="15.75">
      <c r="A58" s="181">
        <v>3383</v>
      </c>
      <c r="B58" s="182" t="s">
        <v>444</v>
      </c>
      <c r="C58" s="183">
        <v>8963754</v>
      </c>
      <c r="D58" s="183">
        <v>0</v>
      </c>
      <c r="E58" s="183">
        <v>220000000</v>
      </c>
      <c r="F58" s="183">
        <v>227996015</v>
      </c>
      <c r="G58" s="183">
        <v>967739</v>
      </c>
      <c r="H58" s="184">
        <v>0</v>
      </c>
      <c r="K58" s="189"/>
      <c r="L58" s="174"/>
    </row>
    <row r="59" spans="1:11" ht="15.75">
      <c r="A59" s="181">
        <v>3388</v>
      </c>
      <c r="B59" s="182" t="s">
        <v>443</v>
      </c>
      <c r="C59" s="183">
        <v>0</v>
      </c>
      <c r="D59" s="183">
        <f>212986198+'tt con bcdps '!D26</f>
        <v>412986198</v>
      </c>
      <c r="E59" s="183">
        <f>'tt con bcdps '!E26</f>
        <v>200000000</v>
      </c>
      <c r="F59" s="183">
        <v>0</v>
      </c>
      <c r="G59" s="183">
        <v>0</v>
      </c>
      <c r="H59" s="184">
        <v>212986198</v>
      </c>
      <c r="K59"/>
    </row>
    <row r="60" spans="1:12" ht="15.75">
      <c r="A60" s="177">
        <v>411</v>
      </c>
      <c r="B60" s="178" t="s">
        <v>445</v>
      </c>
      <c r="C60" s="179">
        <v>0</v>
      </c>
      <c r="D60" s="179">
        <v>29550000000</v>
      </c>
      <c r="E60" s="179">
        <v>0</v>
      </c>
      <c r="F60" s="179">
        <v>0</v>
      </c>
      <c r="G60" s="179">
        <v>0</v>
      </c>
      <c r="H60" s="180">
        <v>29550000000</v>
      </c>
      <c r="K60"/>
      <c r="L60" s="189">
        <f>'bcdsps tt me'!H58+'tt con bcdps '!H27</f>
        <v>40356641529</v>
      </c>
    </row>
    <row r="61" spans="1:14" s="190" customFormat="1" ht="15.75">
      <c r="A61" s="177">
        <v>421</v>
      </c>
      <c r="B61" s="178" t="s">
        <v>446</v>
      </c>
      <c r="C61" s="179">
        <v>0</v>
      </c>
      <c r="D61" s="179">
        <f>D62+D63</f>
        <v>84302553</v>
      </c>
      <c r="E61" s="179">
        <f>E62+E63</f>
        <v>296938223</v>
      </c>
      <c r="F61" s="179">
        <f>F63</f>
        <v>243261908</v>
      </c>
      <c r="G61" s="179">
        <v>0</v>
      </c>
      <c r="H61" s="180">
        <f>D61+F61-E61</f>
        <v>30626238</v>
      </c>
      <c r="K61" s="195"/>
      <c r="L61" s="191">
        <f>'bcdsps tt me'!H59-'tt con bcdps '!G28</f>
        <v>30626238</v>
      </c>
      <c r="N61" s="191">
        <f>L61-H61</f>
        <v>0</v>
      </c>
    </row>
    <row r="62" spans="1:12" ht="15.75">
      <c r="A62" s="181">
        <v>4211</v>
      </c>
      <c r="B62" s="182" t="s">
        <v>447</v>
      </c>
      <c r="C62" s="183">
        <v>0</v>
      </c>
      <c r="D62" s="183">
        <v>67681883</v>
      </c>
      <c r="E62" s="183">
        <v>67681883</v>
      </c>
      <c r="F62" s="183">
        <v>0</v>
      </c>
      <c r="G62" s="183">
        <v>0</v>
      </c>
      <c r="H62" s="184">
        <v>0</v>
      </c>
      <c r="K62"/>
      <c r="L62" s="174"/>
    </row>
    <row r="63" spans="1:11" ht="15.75">
      <c r="A63" s="181">
        <v>4212</v>
      </c>
      <c r="B63" s="182" t="s">
        <v>448</v>
      </c>
      <c r="C63" s="183">
        <v>0</v>
      </c>
      <c r="D63" s="183">
        <f>7260172+'tt con bcdps '!D28-1</f>
        <v>16620670</v>
      </c>
      <c r="E63" s="183">
        <f>81774597+'tt con bcdps '!E28-1</f>
        <v>229256340</v>
      </c>
      <c r="F63" s="183">
        <f>208620292+'tt con bcdps '!F28</f>
        <v>243261908</v>
      </c>
      <c r="G63" s="183">
        <v>0</v>
      </c>
      <c r="H63" s="184">
        <f>D63+F63-E63</f>
        <v>30626238</v>
      </c>
      <c r="K63"/>
    </row>
    <row r="64" spans="1:11" ht="15.75">
      <c r="A64" s="177">
        <v>511</v>
      </c>
      <c r="B64" s="178" t="s">
        <v>449</v>
      </c>
      <c r="C64" s="179">
        <v>0</v>
      </c>
      <c r="D64" s="179">
        <v>0</v>
      </c>
      <c r="E64" s="179">
        <f>E65+E66</f>
        <v>22182961667</v>
      </c>
      <c r="F64" s="179">
        <f>F65+F66</f>
        <v>22182961667</v>
      </c>
      <c r="G64" s="179">
        <v>0</v>
      </c>
      <c r="H64" s="180">
        <v>0</v>
      </c>
      <c r="K64"/>
    </row>
    <row r="65" spans="1:11" ht="15.75">
      <c r="A65" s="181">
        <v>5111</v>
      </c>
      <c r="B65" s="182" t="s">
        <v>450</v>
      </c>
      <c r="C65" s="183">
        <v>0</v>
      </c>
      <c r="D65" s="183">
        <v>0</v>
      </c>
      <c r="E65" s="183">
        <f>18495639647+'tt con bcdps '!E29</f>
        <v>20805603567</v>
      </c>
      <c r="F65" s="183">
        <f>18495639647+'tt con bcdps '!F29</f>
        <v>20805603567</v>
      </c>
      <c r="G65" s="183">
        <v>0</v>
      </c>
      <c r="H65" s="184">
        <v>0</v>
      </c>
      <c r="K65"/>
    </row>
    <row r="66" spans="1:11" ht="15.75">
      <c r="A66" s="181">
        <v>5114</v>
      </c>
      <c r="B66" s="182" t="s">
        <v>479</v>
      </c>
      <c r="C66" s="183">
        <v>0</v>
      </c>
      <c r="D66" s="183">
        <v>0</v>
      </c>
      <c r="E66" s="183">
        <v>1377358100</v>
      </c>
      <c r="F66" s="183">
        <v>1377358100</v>
      </c>
      <c r="G66" s="183">
        <v>0</v>
      </c>
      <c r="H66" s="184">
        <v>0</v>
      </c>
      <c r="K66"/>
    </row>
    <row r="67" spans="1:11" ht="15.75">
      <c r="A67" s="177">
        <v>515</v>
      </c>
      <c r="B67" s="178" t="s">
        <v>451</v>
      </c>
      <c r="C67" s="179">
        <v>0</v>
      </c>
      <c r="D67" s="179">
        <v>0</v>
      </c>
      <c r="E67" s="179">
        <f>5238582+'tt con bcdps '!E30</f>
        <v>5678782</v>
      </c>
      <c r="F67" s="179">
        <f>5238582+'tt con bcdps '!F30</f>
        <v>5678782</v>
      </c>
      <c r="G67" s="179">
        <v>0</v>
      </c>
      <c r="H67" s="180">
        <v>0</v>
      </c>
      <c r="K67"/>
    </row>
    <row r="68" spans="1:11" ht="15.75">
      <c r="A68" s="177">
        <v>621</v>
      </c>
      <c r="B68" s="178" t="s">
        <v>452</v>
      </c>
      <c r="C68" s="179">
        <v>0</v>
      </c>
      <c r="D68" s="179">
        <v>0</v>
      </c>
      <c r="E68" s="179">
        <f>E69</f>
        <v>14711679511</v>
      </c>
      <c r="F68" s="179">
        <f>F69</f>
        <v>14711679511</v>
      </c>
      <c r="G68" s="179">
        <v>0</v>
      </c>
      <c r="H68" s="180">
        <v>0</v>
      </c>
      <c r="K68"/>
    </row>
    <row r="69" spans="1:11" ht="15.75">
      <c r="A69" s="181">
        <v>6211</v>
      </c>
      <c r="B69" s="182" t="s">
        <v>453</v>
      </c>
      <c r="C69" s="183">
        <v>0</v>
      </c>
      <c r="D69" s="183">
        <v>0</v>
      </c>
      <c r="E69" s="183">
        <f>13395407884+'tt con bcdps '!E31</f>
        <v>14711679511</v>
      </c>
      <c r="F69" s="183">
        <f>E69</f>
        <v>14711679511</v>
      </c>
      <c r="G69" s="183">
        <v>0</v>
      </c>
      <c r="H69" s="184">
        <v>0</v>
      </c>
      <c r="K69"/>
    </row>
    <row r="70" spans="1:11" ht="15.75">
      <c r="A70" s="177">
        <v>622</v>
      </c>
      <c r="B70" s="178" t="s">
        <v>513</v>
      </c>
      <c r="C70" s="179">
        <v>0</v>
      </c>
      <c r="D70" s="179">
        <v>0</v>
      </c>
      <c r="E70" s="179">
        <v>2303750000</v>
      </c>
      <c r="F70" s="179">
        <v>2303750000</v>
      </c>
      <c r="G70" s="179">
        <v>0</v>
      </c>
      <c r="H70" s="180">
        <v>0</v>
      </c>
      <c r="K70"/>
    </row>
    <row r="71" spans="1:11" ht="15.75">
      <c r="A71" s="181">
        <v>6221</v>
      </c>
      <c r="B71" s="182" t="s">
        <v>514</v>
      </c>
      <c r="C71" s="183">
        <v>0</v>
      </c>
      <c r="D71" s="183">
        <v>0</v>
      </c>
      <c r="E71" s="183">
        <f>2303750000+'tt con bcdps '!E32</f>
        <v>2513750000</v>
      </c>
      <c r="F71" s="183">
        <f>2303750000+'tt con bcdps '!F32</f>
        <v>2513750000</v>
      </c>
      <c r="G71" s="183">
        <v>0</v>
      </c>
      <c r="H71" s="184">
        <v>0</v>
      </c>
      <c r="K71"/>
    </row>
    <row r="72" spans="1:11" ht="15.75">
      <c r="A72" s="177">
        <v>627</v>
      </c>
      <c r="B72" s="178" t="s">
        <v>454</v>
      </c>
      <c r="C72" s="179">
        <v>0</v>
      </c>
      <c r="D72" s="179">
        <v>0</v>
      </c>
      <c r="E72" s="179">
        <f>528147755+'tt con bcdps '!E33</f>
        <v>557135938</v>
      </c>
      <c r="F72" s="179">
        <f>E72</f>
        <v>557135938</v>
      </c>
      <c r="G72" s="179">
        <v>0</v>
      </c>
      <c r="H72" s="180">
        <v>0</v>
      </c>
      <c r="K72"/>
    </row>
    <row r="73" spans="1:11" ht="15.75">
      <c r="A73" s="181">
        <v>6272</v>
      </c>
      <c r="B73" s="182" t="s">
        <v>515</v>
      </c>
      <c r="C73" s="183">
        <v>0</v>
      </c>
      <c r="D73" s="183">
        <v>0</v>
      </c>
      <c r="E73" s="183">
        <v>168200000</v>
      </c>
      <c r="F73" s="183">
        <v>168200000</v>
      </c>
      <c r="G73" s="183">
        <v>0</v>
      </c>
      <c r="H73" s="184">
        <v>0</v>
      </c>
      <c r="K73"/>
    </row>
    <row r="74" spans="1:11" ht="15.75">
      <c r="A74" s="181">
        <v>6274</v>
      </c>
      <c r="B74" s="182" t="s">
        <v>516</v>
      </c>
      <c r="C74" s="183">
        <v>0</v>
      </c>
      <c r="D74" s="183">
        <v>0</v>
      </c>
      <c r="E74" s="183">
        <v>85670208</v>
      </c>
      <c r="F74" s="183">
        <v>85670208</v>
      </c>
      <c r="G74" s="183">
        <v>0</v>
      </c>
      <c r="H74" s="184">
        <v>0</v>
      </c>
      <c r="K74"/>
    </row>
    <row r="75" spans="1:11" ht="15.75">
      <c r="A75" s="181">
        <v>6277</v>
      </c>
      <c r="B75" s="182" t="s">
        <v>455</v>
      </c>
      <c r="C75" s="183">
        <v>0</v>
      </c>
      <c r="D75" s="183">
        <v>0</v>
      </c>
      <c r="E75" s="183">
        <v>184336365</v>
      </c>
      <c r="F75" s="183">
        <v>184336365</v>
      </c>
      <c r="G75" s="183">
        <v>0</v>
      </c>
      <c r="H75" s="184">
        <v>0</v>
      </c>
      <c r="K75"/>
    </row>
    <row r="76" spans="1:11" ht="15.75">
      <c r="A76" s="181">
        <v>6278</v>
      </c>
      <c r="B76" s="182" t="s">
        <v>517</v>
      </c>
      <c r="C76" s="183">
        <v>0</v>
      </c>
      <c r="D76" s="183">
        <v>0</v>
      </c>
      <c r="E76" s="183">
        <f>89941182+'tt con bcdps '!E33</f>
        <v>118929365</v>
      </c>
      <c r="F76" s="183">
        <f>E76</f>
        <v>118929365</v>
      </c>
      <c r="G76" s="183">
        <v>0</v>
      </c>
      <c r="H76" s="184">
        <v>0</v>
      </c>
      <c r="K76"/>
    </row>
    <row r="77" spans="1:11" ht="15.75">
      <c r="A77" s="177">
        <v>632</v>
      </c>
      <c r="B77" s="178" t="s">
        <v>456</v>
      </c>
      <c r="C77" s="179">
        <v>0</v>
      </c>
      <c r="D77" s="179">
        <v>0</v>
      </c>
      <c r="E77" s="179">
        <f>E78+E79</f>
        <v>17739765523</v>
      </c>
      <c r="F77" s="179">
        <f>F78+F79</f>
        <v>17739765523</v>
      </c>
      <c r="G77" s="179">
        <v>0</v>
      </c>
      <c r="H77" s="180">
        <v>0</v>
      </c>
      <c r="K77"/>
    </row>
    <row r="78" spans="1:11" ht="15.75">
      <c r="A78" s="181">
        <v>6321</v>
      </c>
      <c r="B78" s="182" t="s">
        <v>457</v>
      </c>
      <c r="C78" s="183">
        <v>0</v>
      </c>
      <c r="D78" s="183">
        <v>0</v>
      </c>
      <c r="E78" s="183">
        <f>14551619837+'tt con bcdps '!E34</f>
        <v>15706639836</v>
      </c>
      <c r="F78" s="183">
        <f>E78</f>
        <v>15706639836</v>
      </c>
      <c r="G78" s="183">
        <v>0</v>
      </c>
      <c r="H78" s="184">
        <v>0</v>
      </c>
      <c r="K78"/>
    </row>
    <row r="79" spans="1:11" ht="15.75">
      <c r="A79" s="181">
        <v>6324</v>
      </c>
      <c r="B79" s="182" t="s">
        <v>480</v>
      </c>
      <c r="C79" s="183">
        <v>0</v>
      </c>
      <c r="D79" s="183">
        <v>0</v>
      </c>
      <c r="E79" s="183">
        <f>1273047164+'tt con bcdps '!E35</f>
        <v>2033125687</v>
      </c>
      <c r="F79" s="183">
        <f>E79</f>
        <v>2033125687</v>
      </c>
      <c r="G79" s="183">
        <v>0</v>
      </c>
      <c r="H79" s="184">
        <v>0</v>
      </c>
      <c r="K79"/>
    </row>
    <row r="80" spans="1:11" ht="15.75">
      <c r="A80" s="177">
        <v>635</v>
      </c>
      <c r="B80" s="178" t="s">
        <v>458</v>
      </c>
      <c r="C80" s="179">
        <v>0</v>
      </c>
      <c r="D80" s="179">
        <v>0</v>
      </c>
      <c r="E80" s="179">
        <v>18353332</v>
      </c>
      <c r="F80" s="179">
        <v>18353332</v>
      </c>
      <c r="G80" s="179">
        <v>0</v>
      </c>
      <c r="H80" s="180">
        <v>0</v>
      </c>
      <c r="K80"/>
    </row>
    <row r="81" spans="1:11" ht="15.75">
      <c r="A81" s="181">
        <v>6351</v>
      </c>
      <c r="B81" s="182" t="s">
        <v>459</v>
      </c>
      <c r="C81" s="183">
        <v>0</v>
      </c>
      <c r="D81" s="183">
        <v>0</v>
      </c>
      <c r="E81" s="183">
        <v>18353332</v>
      </c>
      <c r="F81" s="183">
        <v>18353332</v>
      </c>
      <c r="G81" s="183">
        <v>0</v>
      </c>
      <c r="H81" s="184">
        <v>0</v>
      </c>
      <c r="K81"/>
    </row>
    <row r="82" spans="1:11" ht="15.75">
      <c r="A82" s="177">
        <v>642</v>
      </c>
      <c r="B82" s="178" t="s">
        <v>460</v>
      </c>
      <c r="C82" s="179">
        <v>0</v>
      </c>
      <c r="D82" s="179">
        <v>0</v>
      </c>
      <c r="E82" s="179">
        <f>3799254083+'tt con bcdps '!E36+'tt con bcdps '!E37</f>
        <v>4298739405</v>
      </c>
      <c r="F82" s="179">
        <f>E82</f>
        <v>4298739405</v>
      </c>
      <c r="G82" s="179">
        <v>0</v>
      </c>
      <c r="H82" s="180">
        <v>0</v>
      </c>
      <c r="K82"/>
    </row>
    <row r="83" spans="1:11" ht="15.75">
      <c r="A83" s="177">
        <v>711</v>
      </c>
      <c r="B83" s="178" t="s">
        <v>518</v>
      </c>
      <c r="C83" s="179">
        <v>0</v>
      </c>
      <c r="D83" s="179">
        <v>0</v>
      </c>
      <c r="E83" s="179">
        <v>31500000</v>
      </c>
      <c r="F83" s="179">
        <v>31500000</v>
      </c>
      <c r="G83" s="179">
        <v>0</v>
      </c>
      <c r="H83" s="180">
        <v>0</v>
      </c>
      <c r="K83"/>
    </row>
    <row r="84" spans="1:11" ht="15.75">
      <c r="A84" s="177">
        <v>821</v>
      </c>
      <c r="B84" s="178" t="s">
        <v>461</v>
      </c>
      <c r="C84" s="179">
        <v>0</v>
      </c>
      <c r="D84" s="179">
        <v>0</v>
      </c>
      <c r="E84" s="179">
        <f>58841621+'tt con bcdps '!E38</f>
        <v>67502025</v>
      </c>
      <c r="F84" s="179">
        <f>E84</f>
        <v>67502025</v>
      </c>
      <c r="G84" s="179">
        <v>0</v>
      </c>
      <c r="H84" s="180">
        <v>0</v>
      </c>
      <c r="K84"/>
    </row>
    <row r="85" spans="1:11" ht="16.5" thickBot="1">
      <c r="A85" s="185">
        <v>911</v>
      </c>
      <c r="B85" s="186" t="s">
        <v>462</v>
      </c>
      <c r="C85" s="187">
        <v>0</v>
      </c>
      <c r="D85" s="187">
        <v>0</v>
      </c>
      <c r="E85" s="187">
        <f>19909736329+'tt con bcdps '!E39</f>
        <v>22367622193</v>
      </c>
      <c r="F85" s="187">
        <f>E85</f>
        <v>22367622193</v>
      </c>
      <c r="G85" s="187">
        <v>0</v>
      </c>
      <c r="H85" s="188">
        <v>0</v>
      </c>
      <c r="K85"/>
    </row>
    <row r="86" spans="11:12" ht="15.75">
      <c r="K86" s="174">
        <f>SUM(K6:K85)</f>
        <v>64430801498</v>
      </c>
      <c r="L86" s="174">
        <f>SUM(L6:L85)</f>
        <v>64430801498</v>
      </c>
    </row>
    <row r="87" ht="15.75">
      <c r="L87" s="152">
        <f>K86-L86</f>
        <v>0</v>
      </c>
    </row>
    <row r="88" ht="15.75">
      <c r="L88" s="174"/>
    </row>
  </sheetData>
  <sheetProtection/>
  <mergeCells count="8">
    <mergeCell ref="A1:H1"/>
    <mergeCell ref="A2:H2"/>
    <mergeCell ref="A3:H3"/>
    <mergeCell ref="A4:A5"/>
    <mergeCell ref="B4:B5"/>
    <mergeCell ref="C4:D4"/>
    <mergeCell ref="E4:F4"/>
    <mergeCell ref="G4:H4"/>
  </mergeCells>
  <printOptions/>
  <pageMargins left="0.48" right="0.28" top="0.35" bottom="0.45" header="0.21" footer="0.2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PageLayoutView="0" workbookViewId="0" topLeftCell="A91">
      <selection activeCell="C98" sqref="C98"/>
    </sheetView>
  </sheetViews>
  <sheetFormatPr defaultColWidth="9.00390625" defaultRowHeight="15.75"/>
  <cols>
    <col min="1" max="1" width="38.375" style="43" customWidth="1"/>
    <col min="2" max="2" width="7.50390625" style="7" customWidth="1"/>
    <col min="3" max="3" width="6.875" style="43" customWidth="1"/>
    <col min="4" max="4" width="15.50390625" style="44" customWidth="1"/>
    <col min="5" max="5" width="16.00390625" style="44" customWidth="1"/>
    <col min="6" max="6" width="16.50390625" style="43" customWidth="1"/>
    <col min="7" max="7" width="16.75390625" style="43" customWidth="1"/>
    <col min="8" max="8" width="16.875" style="43" customWidth="1"/>
    <col min="9" max="16384" width="9.00390625" style="43" customWidth="1"/>
  </cols>
  <sheetData>
    <row r="1" spans="1:8" ht="15.75">
      <c r="A1" s="223" t="s">
        <v>7</v>
      </c>
      <c r="B1" s="224"/>
      <c r="C1" s="3"/>
      <c r="D1" s="3" t="s">
        <v>506</v>
      </c>
      <c r="E1" s="4"/>
      <c r="G1" s="3"/>
      <c r="H1" s="1"/>
    </row>
    <row r="2" spans="1:8" ht="15.75">
      <c r="A2" s="225" t="s">
        <v>8</v>
      </c>
      <c r="B2" s="225"/>
      <c r="C2" s="225"/>
      <c r="D2" s="3" t="s">
        <v>523</v>
      </c>
      <c r="E2" s="3"/>
      <c r="H2" s="2"/>
    </row>
    <row r="3" spans="1:7" ht="15.75">
      <c r="A3" s="226" t="s">
        <v>9</v>
      </c>
      <c r="B3" s="226"/>
      <c r="C3" s="5"/>
      <c r="D3" s="3" t="s">
        <v>10</v>
      </c>
      <c r="E3" s="3"/>
      <c r="F3" s="5"/>
      <c r="G3" s="4"/>
    </row>
    <row r="4" spans="1:5" ht="15.75">
      <c r="A4" s="4"/>
      <c r="B4" s="4"/>
      <c r="C4" s="227"/>
      <c r="D4" s="227"/>
      <c r="E4" s="4"/>
    </row>
    <row r="5" spans="1:5" s="6" customFormat="1" ht="19.5" customHeight="1">
      <c r="A5" s="222" t="s">
        <v>11</v>
      </c>
      <c r="B5" s="222"/>
      <c r="C5" s="222"/>
      <c r="D5" s="222"/>
      <c r="E5" s="222"/>
    </row>
    <row r="6" spans="2:5" s="6" customFormat="1" ht="12.75" thickBot="1">
      <c r="B6" s="7"/>
      <c r="D6" s="8"/>
      <c r="E6" s="8"/>
    </row>
    <row r="7" spans="1:5" s="14" customFormat="1" ht="30.75" thickTop="1">
      <c r="A7" s="9" t="s">
        <v>12</v>
      </c>
      <c r="B7" s="10" t="s">
        <v>13</v>
      </c>
      <c r="C7" s="11" t="s">
        <v>14</v>
      </c>
      <c r="D7" s="12" t="s">
        <v>15</v>
      </c>
      <c r="E7" s="13" t="s">
        <v>388</v>
      </c>
    </row>
    <row r="8" spans="1:5" s="20" customFormat="1" ht="20.25" customHeight="1">
      <c r="A8" s="15" t="s">
        <v>16</v>
      </c>
      <c r="B8" s="16"/>
      <c r="C8" s="17"/>
      <c r="D8" s="18"/>
      <c r="E8" s="19"/>
    </row>
    <row r="9" spans="1:5" s="20" customFormat="1" ht="20.25" customHeight="1">
      <c r="A9" s="15" t="s">
        <v>17</v>
      </c>
      <c r="B9" s="16" t="s">
        <v>18</v>
      </c>
      <c r="C9" s="17"/>
      <c r="D9" s="18">
        <f>D10+D16+D23+D26</f>
        <v>40056468580</v>
      </c>
      <c r="E9" s="19">
        <f>E10+E16+E23+E26</f>
        <v>46401528177</v>
      </c>
    </row>
    <row r="10" spans="1:5" s="20" customFormat="1" ht="20.25" customHeight="1">
      <c r="A10" s="15" t="s">
        <v>19</v>
      </c>
      <c r="B10" s="16" t="s">
        <v>20</v>
      </c>
      <c r="C10" s="17"/>
      <c r="D10" s="18">
        <f>D11</f>
        <v>800507991</v>
      </c>
      <c r="E10" s="19">
        <f>E11</f>
        <v>1682211398</v>
      </c>
    </row>
    <row r="11" spans="1:5" s="20" customFormat="1" ht="20.25" customHeight="1">
      <c r="A11" s="21" t="s">
        <v>21</v>
      </c>
      <c r="B11" s="22" t="s">
        <v>22</v>
      </c>
      <c r="C11" s="201" t="s">
        <v>528</v>
      </c>
      <c r="D11" s="24">
        <f>'bcdps hop nhat'!G6+'bcdps hop nhat'!G8</f>
        <v>800507991</v>
      </c>
      <c r="E11" s="25">
        <f>'bcdps hop nhat'!C6+'bcdps hop nhat'!C8</f>
        <v>1682211398</v>
      </c>
    </row>
    <row r="12" spans="1:5" s="20" customFormat="1" ht="20.25" customHeight="1">
      <c r="A12" s="21" t="s">
        <v>23</v>
      </c>
      <c r="B12" s="22" t="s">
        <v>24</v>
      </c>
      <c r="C12" s="23"/>
      <c r="D12" s="24">
        <v>0</v>
      </c>
      <c r="E12" s="25">
        <v>0</v>
      </c>
    </row>
    <row r="13" spans="1:5" s="20" customFormat="1" ht="20.25" customHeight="1">
      <c r="A13" s="15" t="s">
        <v>25</v>
      </c>
      <c r="B13" s="16" t="s">
        <v>26</v>
      </c>
      <c r="C13" s="17"/>
      <c r="D13" s="18">
        <v>0</v>
      </c>
      <c r="E13" s="19">
        <v>0</v>
      </c>
    </row>
    <row r="14" spans="1:5" s="20" customFormat="1" ht="20.25" customHeight="1">
      <c r="A14" s="21" t="s">
        <v>27</v>
      </c>
      <c r="B14" s="22" t="s">
        <v>28</v>
      </c>
      <c r="C14" s="23"/>
      <c r="D14" s="24">
        <v>0</v>
      </c>
      <c r="E14" s="25">
        <v>0</v>
      </c>
    </row>
    <row r="15" spans="1:5" s="20" customFormat="1" ht="20.25" customHeight="1">
      <c r="A15" s="21" t="s">
        <v>29</v>
      </c>
      <c r="B15" s="22" t="s">
        <v>30</v>
      </c>
      <c r="C15" s="23"/>
      <c r="D15" s="24">
        <v>0</v>
      </c>
      <c r="E15" s="25">
        <v>0</v>
      </c>
    </row>
    <row r="16" spans="1:5" s="20" customFormat="1" ht="20.25" customHeight="1">
      <c r="A16" s="15" t="s">
        <v>31</v>
      </c>
      <c r="B16" s="16" t="s">
        <v>32</v>
      </c>
      <c r="C16" s="17"/>
      <c r="D16" s="18">
        <f>SUM(D17:D22)</f>
        <v>8328473784</v>
      </c>
      <c r="E16" s="26">
        <f>E17+E18+E19+E21+E22</f>
        <v>15024786171</v>
      </c>
    </row>
    <row r="17" spans="1:5" s="20" customFormat="1" ht="20.25" customHeight="1">
      <c r="A17" s="21" t="s">
        <v>33</v>
      </c>
      <c r="B17" s="22" t="s">
        <v>34</v>
      </c>
      <c r="C17" s="201" t="s">
        <v>535</v>
      </c>
      <c r="D17" s="24">
        <f>'bcdps hop nhat'!G15</f>
        <v>7563156666</v>
      </c>
      <c r="E17" s="25">
        <f>'bcdps hop nhat'!C15</f>
        <v>13928318950</v>
      </c>
    </row>
    <row r="18" spans="1:5" s="20" customFormat="1" ht="20.25" customHeight="1">
      <c r="A18" s="21" t="s">
        <v>35</v>
      </c>
      <c r="B18" s="22" t="s">
        <v>36</v>
      </c>
      <c r="C18" s="201" t="s">
        <v>536</v>
      </c>
      <c r="D18" s="24">
        <f>'bcdps hop nhat'!G45</f>
        <v>603253015</v>
      </c>
      <c r="E18" s="25">
        <f>'bcdps hop nhat'!C45</f>
        <v>1087503467</v>
      </c>
    </row>
    <row r="19" spans="1:5" s="20" customFormat="1" ht="20.25" customHeight="1">
      <c r="A19" s="21" t="s">
        <v>37</v>
      </c>
      <c r="B19" s="22" t="s">
        <v>38</v>
      </c>
      <c r="C19" s="201"/>
      <c r="D19" s="24"/>
      <c r="E19" s="25"/>
    </row>
    <row r="20" spans="1:5" s="20" customFormat="1" ht="20.25" customHeight="1">
      <c r="A20" s="21" t="s">
        <v>39</v>
      </c>
      <c r="B20" s="22" t="s">
        <v>40</v>
      </c>
      <c r="C20" s="23"/>
      <c r="D20" s="24">
        <v>0</v>
      </c>
      <c r="E20" s="25">
        <v>0</v>
      </c>
    </row>
    <row r="21" spans="1:5" s="20" customFormat="1" ht="20.25" customHeight="1">
      <c r="A21" s="21" t="s">
        <v>41</v>
      </c>
      <c r="B21" s="22" t="s">
        <v>42</v>
      </c>
      <c r="C21" s="201" t="s">
        <v>537</v>
      </c>
      <c r="D21" s="24">
        <f>'bcdps hop nhat'!G21+'bcdps hop nhat'!G57</f>
        <v>162064103</v>
      </c>
      <c r="E21" s="25">
        <f>'bcdps hop nhat'!C58</f>
        <v>8963754</v>
      </c>
    </row>
    <row r="22" spans="1:5" s="20" customFormat="1" ht="20.25" customHeight="1">
      <c r="A22" s="21" t="s">
        <v>43</v>
      </c>
      <c r="B22" s="22" t="s">
        <v>44</v>
      </c>
      <c r="C22" s="23"/>
      <c r="D22" s="24">
        <f>-'bcdsps tt me'!H21</f>
        <v>0</v>
      </c>
      <c r="E22" s="25">
        <f>-'bcdsps tt me'!D24</f>
        <v>0</v>
      </c>
    </row>
    <row r="23" spans="1:5" s="20" customFormat="1" ht="20.25" customHeight="1">
      <c r="A23" s="15" t="s">
        <v>45</v>
      </c>
      <c r="B23" s="16" t="s">
        <v>46</v>
      </c>
      <c r="C23" s="17"/>
      <c r="D23" s="18">
        <f>D24</f>
        <v>30273329732</v>
      </c>
      <c r="E23" s="19">
        <f>E24</f>
        <v>28632138045</v>
      </c>
    </row>
    <row r="24" spans="1:5" s="20" customFormat="1" ht="20.25" customHeight="1">
      <c r="A24" s="21" t="s">
        <v>47</v>
      </c>
      <c r="B24" s="22" t="s">
        <v>48</v>
      </c>
      <c r="C24" s="201" t="s">
        <v>538</v>
      </c>
      <c r="D24" s="24">
        <f>'bcdps hop nhat'!G23+'bcdps hop nhat'!G25+'bcdps hop nhat'!G26</f>
        <v>30273329732</v>
      </c>
      <c r="E24" s="25">
        <f>'bcdps hop nhat'!C23+'bcdps hop nhat'!C25+'bcdps hop nhat'!C26</f>
        <v>28632138045</v>
      </c>
    </row>
    <row r="25" spans="1:5" s="20" customFormat="1" ht="20.25" customHeight="1">
      <c r="A25" s="21" t="s">
        <v>49</v>
      </c>
      <c r="B25" s="22" t="s">
        <v>50</v>
      </c>
      <c r="C25" s="23"/>
      <c r="D25" s="24">
        <v>0</v>
      </c>
      <c r="E25" s="25">
        <v>0</v>
      </c>
    </row>
    <row r="26" spans="1:5" s="20" customFormat="1" ht="20.25" customHeight="1">
      <c r="A26" s="15" t="s">
        <v>51</v>
      </c>
      <c r="B26" s="16" t="s">
        <v>52</v>
      </c>
      <c r="C26" s="17"/>
      <c r="D26" s="18">
        <f>SUM(D27:D30)</f>
        <v>654157073</v>
      </c>
      <c r="E26" s="26">
        <f>SUM(E27:E30)</f>
        <v>1062392563</v>
      </c>
    </row>
    <row r="27" spans="1:5" s="20" customFormat="1" ht="20.25" customHeight="1">
      <c r="A27" s="21" t="s">
        <v>53</v>
      </c>
      <c r="B27" s="22" t="s">
        <v>54</v>
      </c>
      <c r="C27" s="23"/>
      <c r="D27" s="153">
        <v>0</v>
      </c>
      <c r="E27" s="154">
        <v>0</v>
      </c>
    </row>
    <row r="28" spans="1:5" s="20" customFormat="1" ht="20.25" customHeight="1">
      <c r="A28" s="21" t="s">
        <v>55</v>
      </c>
      <c r="B28" s="22" t="s">
        <v>56</v>
      </c>
      <c r="C28" s="201" t="s">
        <v>543</v>
      </c>
      <c r="D28" s="24">
        <f>'bcdps hop nhat'!G16</f>
        <v>654157073</v>
      </c>
      <c r="E28" s="25">
        <f>'bcdps hop nhat'!C16</f>
        <v>1062392563</v>
      </c>
    </row>
    <row r="29" spans="1:5" s="20" customFormat="1" ht="20.25" customHeight="1">
      <c r="A29" s="21" t="s">
        <v>57</v>
      </c>
      <c r="B29" s="22" t="s">
        <v>58</v>
      </c>
      <c r="C29" s="23"/>
      <c r="D29" s="24"/>
      <c r="E29" s="25"/>
    </row>
    <row r="30" spans="1:5" s="20" customFormat="1" ht="20.25" customHeight="1">
      <c r="A30" s="21" t="s">
        <v>59</v>
      </c>
      <c r="B30" s="22" t="s">
        <v>60</v>
      </c>
      <c r="C30" s="23"/>
      <c r="D30" s="24">
        <v>0</v>
      </c>
      <c r="E30" s="25">
        <v>0</v>
      </c>
    </row>
    <row r="31" spans="1:5" s="20" customFormat="1" ht="20.25" customHeight="1">
      <c r="A31" s="15" t="s">
        <v>61</v>
      </c>
      <c r="B31" s="16" t="s">
        <v>62</v>
      </c>
      <c r="C31" s="17"/>
      <c r="D31" s="18">
        <f>D38+D49+D52+D57</f>
        <v>10122476498</v>
      </c>
      <c r="E31" s="26">
        <f>E38+E49+E52+E57</f>
        <v>10590032677</v>
      </c>
    </row>
    <row r="32" spans="1:5" s="20" customFormat="1" ht="20.25" customHeight="1">
      <c r="A32" s="15" t="s">
        <v>63</v>
      </c>
      <c r="B32" s="16" t="s">
        <v>64</v>
      </c>
      <c r="C32" s="17"/>
      <c r="D32" s="18">
        <v>0</v>
      </c>
      <c r="E32" s="19">
        <f>SUM(E33:E37)</f>
        <v>0</v>
      </c>
    </row>
    <row r="33" spans="1:5" s="20" customFormat="1" ht="20.25" customHeight="1">
      <c r="A33" s="21" t="s">
        <v>65</v>
      </c>
      <c r="B33" s="22" t="s">
        <v>66</v>
      </c>
      <c r="C33" s="23"/>
      <c r="D33" s="24">
        <v>0</v>
      </c>
      <c r="E33" s="25">
        <v>0</v>
      </c>
    </row>
    <row r="34" spans="1:5" s="20" customFormat="1" ht="20.25" customHeight="1">
      <c r="A34" s="21" t="s">
        <v>67</v>
      </c>
      <c r="B34" s="22" t="s">
        <v>68</v>
      </c>
      <c r="C34" s="23"/>
      <c r="D34" s="24">
        <v>0</v>
      </c>
      <c r="E34" s="25">
        <v>0</v>
      </c>
    </row>
    <row r="35" spans="1:5" s="20" customFormat="1" ht="20.25" customHeight="1">
      <c r="A35" s="21" t="s">
        <v>69</v>
      </c>
      <c r="B35" s="22" t="s">
        <v>70</v>
      </c>
      <c r="C35" s="23"/>
      <c r="D35" s="24">
        <v>0</v>
      </c>
      <c r="E35" s="25">
        <v>0</v>
      </c>
    </row>
    <row r="36" spans="1:5" s="20" customFormat="1" ht="20.25" customHeight="1">
      <c r="A36" s="21" t="s">
        <v>71</v>
      </c>
      <c r="B36" s="22" t="s">
        <v>72</v>
      </c>
      <c r="C36" s="23"/>
      <c r="D36" s="24"/>
      <c r="E36" s="25"/>
    </row>
    <row r="37" spans="1:5" s="20" customFormat="1" ht="20.25" customHeight="1">
      <c r="A37" s="21" t="s">
        <v>73</v>
      </c>
      <c r="B37" s="22" t="s">
        <v>74</v>
      </c>
      <c r="C37" s="23"/>
      <c r="D37" s="24">
        <v>0</v>
      </c>
      <c r="E37" s="25"/>
    </row>
    <row r="38" spans="1:5" s="20" customFormat="1" ht="20.25" customHeight="1">
      <c r="A38" s="15" t="s">
        <v>75</v>
      </c>
      <c r="B38" s="16" t="s">
        <v>76</v>
      </c>
      <c r="C38" s="17"/>
      <c r="D38" s="18">
        <f>D39+D45+D48</f>
        <v>10122476498</v>
      </c>
      <c r="E38" s="26">
        <f>E39+E45+E48</f>
        <v>10590032677</v>
      </c>
    </row>
    <row r="39" spans="1:7" s="20" customFormat="1" ht="20.25" customHeight="1">
      <c r="A39" s="15" t="s">
        <v>77</v>
      </c>
      <c r="B39" s="16" t="s">
        <v>78</v>
      </c>
      <c r="C39" s="17"/>
      <c r="D39" s="18">
        <f>D40+D41</f>
        <v>10051192047</v>
      </c>
      <c r="E39" s="26">
        <f>E40+E41</f>
        <v>10512128384</v>
      </c>
      <c r="G39" s="50"/>
    </row>
    <row r="40" spans="1:7" s="20" customFormat="1" ht="20.25" customHeight="1">
      <c r="A40" s="21" t="s">
        <v>79</v>
      </c>
      <c r="B40" s="22" t="s">
        <v>80</v>
      </c>
      <c r="C40" s="201" t="s">
        <v>545</v>
      </c>
      <c r="D40" s="24">
        <f>'bcdps hop nhat'!G28</f>
        <v>11882667793</v>
      </c>
      <c r="E40" s="25">
        <f>'bcdps hop nhat'!C28</f>
        <v>13483354762</v>
      </c>
      <c r="G40" s="50"/>
    </row>
    <row r="41" spans="1:7" s="20" customFormat="1" ht="20.25" customHeight="1">
      <c r="A41" s="21" t="s">
        <v>81</v>
      </c>
      <c r="B41" s="22" t="s">
        <v>82</v>
      </c>
      <c r="C41" s="201" t="s">
        <v>544</v>
      </c>
      <c r="D41" s="24">
        <f>-'bcdps hop nhat'!H37</f>
        <v>-1831475746</v>
      </c>
      <c r="E41" s="25">
        <f>-'bcdps hop nhat'!D37</f>
        <v>-2971226378</v>
      </c>
      <c r="F41" s="53"/>
      <c r="G41" s="50"/>
    </row>
    <row r="42" spans="1:6" s="20" customFormat="1" ht="20.25" customHeight="1">
      <c r="A42" s="15" t="s">
        <v>83</v>
      </c>
      <c r="B42" s="16" t="s">
        <v>84</v>
      </c>
      <c r="C42" s="17"/>
      <c r="D42" s="18">
        <v>0</v>
      </c>
      <c r="E42" s="19">
        <v>0</v>
      </c>
      <c r="F42" s="53"/>
    </row>
    <row r="43" spans="1:6" s="20" customFormat="1" ht="20.25" customHeight="1">
      <c r="A43" s="21" t="s">
        <v>79</v>
      </c>
      <c r="B43" s="22" t="s">
        <v>85</v>
      </c>
      <c r="C43" s="23"/>
      <c r="D43" s="24">
        <v>0</v>
      </c>
      <c r="E43" s="25">
        <v>0</v>
      </c>
      <c r="F43" s="53"/>
    </row>
    <row r="44" spans="1:5" s="20" customFormat="1" ht="20.25" customHeight="1">
      <c r="A44" s="21" t="s">
        <v>81</v>
      </c>
      <c r="B44" s="22" t="s">
        <v>86</v>
      </c>
      <c r="C44" s="23"/>
      <c r="D44" s="24">
        <v>0</v>
      </c>
      <c r="E44" s="25">
        <v>0</v>
      </c>
    </row>
    <row r="45" spans="1:5" s="20" customFormat="1" ht="20.25" customHeight="1">
      <c r="A45" s="15" t="s">
        <v>87</v>
      </c>
      <c r="B45" s="16" t="s">
        <v>88</v>
      </c>
      <c r="C45" s="17"/>
      <c r="D45" s="18">
        <f>D46+D47</f>
        <v>71284451</v>
      </c>
      <c r="E45" s="26">
        <f>E46+E47</f>
        <v>77904293</v>
      </c>
    </row>
    <row r="46" spans="1:5" s="20" customFormat="1" ht="20.25" customHeight="1">
      <c r="A46" s="21" t="s">
        <v>79</v>
      </c>
      <c r="B46" s="22" t="s">
        <v>89</v>
      </c>
      <c r="C46" s="201" t="s">
        <v>547</v>
      </c>
      <c r="D46" s="24">
        <f>'bcdps hop nhat'!G34</f>
        <v>112752000</v>
      </c>
      <c r="E46" s="25">
        <f>'bcdps hop nhat'!C34</f>
        <v>112752000</v>
      </c>
    </row>
    <row r="47" spans="1:5" s="20" customFormat="1" ht="20.25" customHeight="1">
      <c r="A47" s="21" t="s">
        <v>81</v>
      </c>
      <c r="B47" s="22" t="s">
        <v>90</v>
      </c>
      <c r="C47" s="201" t="s">
        <v>548</v>
      </c>
      <c r="D47" s="24">
        <f>-'bcdps hop nhat'!H38</f>
        <v>-41467549</v>
      </c>
      <c r="E47" s="25">
        <f>-'bcdps hop nhat'!D38</f>
        <v>-34847707</v>
      </c>
    </row>
    <row r="48" spans="1:5" s="20" customFormat="1" ht="20.25" customHeight="1">
      <c r="A48" s="21" t="s">
        <v>91</v>
      </c>
      <c r="B48" s="22" t="s">
        <v>92</v>
      </c>
      <c r="C48" s="23"/>
      <c r="D48" s="24"/>
      <c r="E48" s="25"/>
    </row>
    <row r="49" spans="1:5" s="20" customFormat="1" ht="20.25" customHeight="1">
      <c r="A49" s="15" t="s">
        <v>93</v>
      </c>
      <c r="B49" s="16" t="s">
        <v>94</v>
      </c>
      <c r="C49" s="17"/>
      <c r="D49" s="18">
        <v>0</v>
      </c>
      <c r="E49" s="19">
        <v>0</v>
      </c>
    </row>
    <row r="50" spans="1:5" s="20" customFormat="1" ht="20.25" customHeight="1">
      <c r="A50" s="21" t="s">
        <v>79</v>
      </c>
      <c r="B50" s="22" t="s">
        <v>95</v>
      </c>
      <c r="C50" s="23"/>
      <c r="D50" s="24">
        <v>0</v>
      </c>
      <c r="E50" s="25">
        <v>0</v>
      </c>
    </row>
    <row r="51" spans="1:5" s="20" customFormat="1" ht="20.25" customHeight="1">
      <c r="A51" s="21" t="s">
        <v>81</v>
      </c>
      <c r="B51" s="22" t="s">
        <v>96</v>
      </c>
      <c r="C51" s="23"/>
      <c r="D51" s="24">
        <v>0</v>
      </c>
      <c r="E51" s="25">
        <v>0</v>
      </c>
    </row>
    <row r="52" spans="1:5" s="20" customFormat="1" ht="20.25" customHeight="1">
      <c r="A52" s="15" t="s">
        <v>97</v>
      </c>
      <c r="B52" s="16" t="s">
        <v>98</v>
      </c>
      <c r="C52" s="17"/>
      <c r="D52" s="18">
        <f>D53</f>
        <v>0</v>
      </c>
      <c r="E52" s="19">
        <f>E53</f>
        <v>0</v>
      </c>
    </row>
    <row r="53" spans="1:5" s="20" customFormat="1" ht="20.25" customHeight="1">
      <c r="A53" s="21" t="s">
        <v>99</v>
      </c>
      <c r="B53" s="22" t="s">
        <v>100</v>
      </c>
      <c r="C53" s="23"/>
      <c r="D53" s="24"/>
      <c r="E53" s="25"/>
    </row>
    <row r="54" spans="1:5" s="20" customFormat="1" ht="20.25" customHeight="1">
      <c r="A54" s="21" t="s">
        <v>101</v>
      </c>
      <c r="B54" s="22" t="s">
        <v>102</v>
      </c>
      <c r="C54" s="23"/>
      <c r="D54" s="24">
        <v>0</v>
      </c>
      <c r="E54" s="25">
        <v>0</v>
      </c>
    </row>
    <row r="55" spans="1:5" s="20" customFormat="1" ht="20.25" customHeight="1">
      <c r="A55" s="21" t="s">
        <v>103</v>
      </c>
      <c r="B55" s="22" t="s">
        <v>104</v>
      </c>
      <c r="C55" s="23"/>
      <c r="D55" s="24">
        <v>0</v>
      </c>
      <c r="E55" s="25">
        <v>0</v>
      </c>
    </row>
    <row r="56" spans="1:5" s="20" customFormat="1" ht="20.25" customHeight="1">
      <c r="A56" s="21" t="s">
        <v>105</v>
      </c>
      <c r="B56" s="22" t="s">
        <v>106</v>
      </c>
      <c r="C56" s="23"/>
      <c r="D56" s="24">
        <v>0</v>
      </c>
      <c r="E56" s="25">
        <v>0</v>
      </c>
    </row>
    <row r="57" spans="1:5" s="20" customFormat="1" ht="20.25" customHeight="1">
      <c r="A57" s="15" t="s">
        <v>107</v>
      </c>
      <c r="B57" s="16" t="s">
        <v>108</v>
      </c>
      <c r="C57" s="17"/>
      <c r="D57" s="18">
        <f>D58</f>
        <v>0</v>
      </c>
      <c r="E57" s="19">
        <f>E58</f>
        <v>0</v>
      </c>
    </row>
    <row r="58" spans="1:5" s="20" customFormat="1" ht="20.25" customHeight="1">
      <c r="A58" s="21" t="s">
        <v>109</v>
      </c>
      <c r="B58" s="22" t="s">
        <v>110</v>
      </c>
      <c r="C58" s="23"/>
      <c r="D58" s="24"/>
      <c r="E58" s="25"/>
    </row>
    <row r="59" spans="1:5" s="20" customFormat="1" ht="20.25" customHeight="1">
      <c r="A59" s="21" t="s">
        <v>111</v>
      </c>
      <c r="B59" s="22" t="s">
        <v>112</v>
      </c>
      <c r="C59" s="23"/>
      <c r="D59" s="24">
        <v>0</v>
      </c>
      <c r="E59" s="25">
        <v>0</v>
      </c>
    </row>
    <row r="60" spans="1:5" s="20" customFormat="1" ht="20.25" customHeight="1">
      <c r="A60" s="21" t="s">
        <v>113</v>
      </c>
      <c r="B60" s="22" t="s">
        <v>114</v>
      </c>
      <c r="C60" s="23"/>
      <c r="D60" s="24">
        <v>0</v>
      </c>
      <c r="E60" s="25">
        <v>0</v>
      </c>
    </row>
    <row r="61" spans="1:5" s="20" customFormat="1" ht="20.25" customHeight="1">
      <c r="A61" s="15" t="s">
        <v>115</v>
      </c>
      <c r="B61" s="16" t="s">
        <v>116</v>
      </c>
      <c r="C61" s="17"/>
      <c r="D61" s="18">
        <v>0</v>
      </c>
      <c r="E61" s="19">
        <v>0</v>
      </c>
    </row>
    <row r="62" spans="1:8" s="20" customFormat="1" ht="20.25" customHeight="1">
      <c r="A62" s="15" t="s">
        <v>117</v>
      </c>
      <c r="B62" s="16" t="s">
        <v>118</v>
      </c>
      <c r="C62" s="17"/>
      <c r="D62" s="18">
        <f>D9+D31</f>
        <v>50178945078</v>
      </c>
      <c r="E62" s="19">
        <f>E9+E31</f>
        <v>56991560854</v>
      </c>
      <c r="F62" s="20">
        <v>56991560854</v>
      </c>
      <c r="G62" s="53"/>
      <c r="H62" s="53"/>
    </row>
    <row r="63" spans="1:7" s="20" customFormat="1" ht="20.25" customHeight="1">
      <c r="A63" s="15" t="s">
        <v>119</v>
      </c>
      <c r="B63" s="16"/>
      <c r="C63" s="17"/>
      <c r="D63" s="18">
        <v>0</v>
      </c>
      <c r="E63" s="19">
        <v>0</v>
      </c>
      <c r="F63" s="50">
        <f>F62-E62</f>
        <v>0</v>
      </c>
      <c r="G63" s="50"/>
    </row>
    <row r="64" spans="1:5" s="20" customFormat="1" ht="20.25" customHeight="1">
      <c r="A64" s="15" t="s">
        <v>120</v>
      </c>
      <c r="B64" s="16" t="s">
        <v>121</v>
      </c>
      <c r="C64" s="17"/>
      <c r="D64" s="18">
        <f>D65+D77</f>
        <v>20598318840</v>
      </c>
      <c r="E64" s="19">
        <f>E65+E77</f>
        <v>27357258301</v>
      </c>
    </row>
    <row r="65" spans="1:5" s="20" customFormat="1" ht="20.25" customHeight="1">
      <c r="A65" s="15" t="s">
        <v>122</v>
      </c>
      <c r="B65" s="16" t="s">
        <v>123</v>
      </c>
      <c r="C65" s="17"/>
      <c r="D65" s="18">
        <f>SUM(D66:D76)</f>
        <v>20598318840</v>
      </c>
      <c r="E65" s="19">
        <f>SUM(E66:E76)</f>
        <v>27357258301</v>
      </c>
    </row>
    <row r="66" spans="1:5" s="20" customFormat="1" ht="20.25" customHeight="1">
      <c r="A66" s="21" t="s">
        <v>124</v>
      </c>
      <c r="B66" s="22" t="s">
        <v>125</v>
      </c>
      <c r="C66" s="201" t="s">
        <v>559</v>
      </c>
      <c r="D66" s="24">
        <f>'bcdps hop nhat'!H41</f>
        <v>11150000000</v>
      </c>
      <c r="E66" s="25">
        <f>'bcdps hop nhat'!D41</f>
        <v>7300000000</v>
      </c>
    </row>
    <row r="67" spans="1:5" s="20" customFormat="1" ht="20.25" customHeight="1">
      <c r="A67" s="21" t="s">
        <v>126</v>
      </c>
      <c r="B67" s="22" t="s">
        <v>127</v>
      </c>
      <c r="C67" s="201" t="s">
        <v>560</v>
      </c>
      <c r="D67" s="24">
        <f>'bcdps hop nhat'!H45</f>
        <v>8834862618</v>
      </c>
      <c r="E67" s="25">
        <f>'bcdps hop nhat'!D45</f>
        <v>18786086828</v>
      </c>
    </row>
    <row r="68" spans="1:5" s="20" customFormat="1" ht="20.25" customHeight="1">
      <c r="A68" s="21" t="s">
        <v>128</v>
      </c>
      <c r="B68" s="22" t="s">
        <v>129</v>
      </c>
      <c r="C68" s="201" t="s">
        <v>561</v>
      </c>
      <c r="D68" s="24">
        <f>'bcdps hop nhat'!H15</f>
        <v>352968000</v>
      </c>
      <c r="E68" s="25">
        <f>'bcdps hop nhat'!D15</f>
        <v>725328000</v>
      </c>
    </row>
    <row r="69" spans="1:5" s="20" customFormat="1" ht="20.25" customHeight="1">
      <c r="A69" s="21" t="s">
        <v>130</v>
      </c>
      <c r="B69" s="22" t="s">
        <v>131</v>
      </c>
      <c r="C69" s="201" t="s">
        <v>562</v>
      </c>
      <c r="D69" s="24">
        <f>'bcdps hop nhat'!H46</f>
        <v>47502025</v>
      </c>
      <c r="E69" s="25">
        <f>'bcdps hop nhat'!D46</f>
        <v>132857275</v>
      </c>
    </row>
    <row r="70" spans="1:5" s="20" customFormat="1" ht="20.25" customHeight="1">
      <c r="A70" s="21" t="s">
        <v>132</v>
      </c>
      <c r="B70" s="22" t="s">
        <v>133</v>
      </c>
      <c r="C70" s="23"/>
      <c r="D70" s="24">
        <v>0</v>
      </c>
      <c r="E70" s="25">
        <v>0</v>
      </c>
    </row>
    <row r="71" spans="1:5" s="20" customFormat="1" ht="20.25" customHeight="1">
      <c r="A71" s="21" t="s">
        <v>134</v>
      </c>
      <c r="B71" s="22" t="s">
        <v>135</v>
      </c>
      <c r="C71" s="23"/>
      <c r="D71" s="24">
        <v>0</v>
      </c>
      <c r="E71" s="25">
        <v>0</v>
      </c>
    </row>
    <row r="72" spans="1:5" s="20" customFormat="1" ht="20.25" customHeight="1">
      <c r="A72" s="21" t="s">
        <v>136</v>
      </c>
      <c r="B72" s="22" t="s">
        <v>137</v>
      </c>
      <c r="C72" s="201"/>
      <c r="D72" s="24"/>
      <c r="E72" s="25"/>
    </row>
    <row r="73" spans="1:5" s="20" customFormat="1" ht="20.25" customHeight="1">
      <c r="A73" s="21" t="s">
        <v>138</v>
      </c>
      <c r="B73" s="22" t="s">
        <v>139</v>
      </c>
      <c r="C73" s="23"/>
      <c r="D73" s="24">
        <v>0</v>
      </c>
      <c r="E73" s="25">
        <v>0</v>
      </c>
    </row>
    <row r="74" spans="1:5" s="20" customFormat="1" ht="20.25" customHeight="1">
      <c r="A74" s="21" t="s">
        <v>140</v>
      </c>
      <c r="B74" s="22" t="s">
        <v>141</v>
      </c>
      <c r="C74" s="201" t="s">
        <v>563</v>
      </c>
      <c r="D74" s="24">
        <f>'bcdps hop nhat'!H57-1</f>
        <v>212986197</v>
      </c>
      <c r="E74" s="25">
        <f>'bcdps hop nhat'!D57</f>
        <v>412986198</v>
      </c>
    </row>
    <row r="75" spans="1:5" s="20" customFormat="1" ht="20.25" customHeight="1">
      <c r="A75" s="21" t="s">
        <v>142</v>
      </c>
      <c r="B75" s="22" t="s">
        <v>143</v>
      </c>
      <c r="C75" s="23"/>
      <c r="D75" s="24">
        <v>0</v>
      </c>
      <c r="E75" s="25">
        <v>0</v>
      </c>
    </row>
    <row r="76" spans="1:5" s="20" customFormat="1" ht="20.25" customHeight="1">
      <c r="A76" s="21" t="s">
        <v>144</v>
      </c>
      <c r="B76" s="22" t="s">
        <v>145</v>
      </c>
      <c r="C76" s="23"/>
      <c r="D76" s="24"/>
      <c r="E76" s="25">
        <f>'bcdsps tt me'!D68</f>
        <v>0</v>
      </c>
    </row>
    <row r="77" spans="1:5" s="20" customFormat="1" ht="20.25" customHeight="1">
      <c r="A77" s="15" t="s">
        <v>146</v>
      </c>
      <c r="B77" s="16" t="s">
        <v>147</v>
      </c>
      <c r="C77" s="17"/>
      <c r="D77" s="18">
        <f>SUM(D78:D86)</f>
        <v>0</v>
      </c>
      <c r="E77" s="26">
        <f>SUM(E78:E86)</f>
        <v>0</v>
      </c>
    </row>
    <row r="78" spans="1:5" s="20" customFormat="1" ht="20.25" customHeight="1">
      <c r="A78" s="21" t="s">
        <v>148</v>
      </c>
      <c r="B78" s="22" t="s">
        <v>149</v>
      </c>
      <c r="C78" s="23"/>
      <c r="D78" s="24">
        <v>0</v>
      </c>
      <c r="E78" s="25">
        <v>0</v>
      </c>
    </row>
    <row r="79" spans="1:5" s="20" customFormat="1" ht="20.25" customHeight="1">
      <c r="A79" s="21" t="s">
        <v>150</v>
      </c>
      <c r="B79" s="22" t="s">
        <v>151</v>
      </c>
      <c r="C79" s="23"/>
      <c r="D79" s="24">
        <v>0</v>
      </c>
      <c r="E79" s="25">
        <v>0</v>
      </c>
    </row>
    <row r="80" spans="1:5" s="20" customFormat="1" ht="20.25" customHeight="1">
      <c r="A80" s="21" t="s">
        <v>152</v>
      </c>
      <c r="B80" s="22" t="s">
        <v>153</v>
      </c>
      <c r="C80" s="23"/>
      <c r="D80" s="24">
        <v>0</v>
      </c>
      <c r="E80" s="25">
        <v>0</v>
      </c>
    </row>
    <row r="81" spans="1:5" s="20" customFormat="1" ht="20.25" customHeight="1">
      <c r="A81" s="21" t="s">
        <v>154</v>
      </c>
      <c r="B81" s="22" t="s">
        <v>155</v>
      </c>
      <c r="C81" s="23"/>
      <c r="D81" s="24"/>
      <c r="E81" s="25"/>
    </row>
    <row r="82" spans="1:5" s="20" customFormat="1" ht="20.25" customHeight="1">
      <c r="A82" s="21" t="s">
        <v>156</v>
      </c>
      <c r="B82" s="22" t="s">
        <v>157</v>
      </c>
      <c r="C82" s="23"/>
      <c r="D82" s="24">
        <v>0</v>
      </c>
      <c r="E82" s="25">
        <v>0</v>
      </c>
    </row>
    <row r="83" spans="1:5" s="20" customFormat="1" ht="20.25" customHeight="1">
      <c r="A83" s="21" t="s">
        <v>158</v>
      </c>
      <c r="B83" s="22" t="s">
        <v>159</v>
      </c>
      <c r="C83" s="23"/>
      <c r="D83" s="24">
        <f>'bcdsps tt me'!H68</f>
        <v>0</v>
      </c>
      <c r="E83" s="25"/>
    </row>
    <row r="84" spans="1:5" s="20" customFormat="1" ht="20.25" customHeight="1">
      <c r="A84" s="21" t="s">
        <v>160</v>
      </c>
      <c r="B84" s="22" t="s">
        <v>161</v>
      </c>
      <c r="C84" s="23"/>
      <c r="D84" s="24">
        <v>0</v>
      </c>
      <c r="E84" s="25">
        <v>0</v>
      </c>
    </row>
    <row r="85" spans="1:5" s="20" customFormat="1" ht="20.25" customHeight="1">
      <c r="A85" s="21" t="s">
        <v>162</v>
      </c>
      <c r="B85" s="22" t="s">
        <v>163</v>
      </c>
      <c r="C85" s="23"/>
      <c r="D85" s="24">
        <v>0</v>
      </c>
      <c r="E85" s="25">
        <v>0</v>
      </c>
    </row>
    <row r="86" spans="1:5" s="20" customFormat="1" ht="20.25" customHeight="1">
      <c r="A86" s="21" t="s">
        <v>164</v>
      </c>
      <c r="B86" s="22" t="s">
        <v>165</v>
      </c>
      <c r="C86" s="23"/>
      <c r="D86" s="24">
        <v>0</v>
      </c>
      <c r="E86" s="25">
        <v>0</v>
      </c>
    </row>
    <row r="87" spans="1:5" s="20" customFormat="1" ht="20.25" customHeight="1">
      <c r="A87" s="15" t="s">
        <v>166</v>
      </c>
      <c r="B87" s="16" t="s">
        <v>167</v>
      </c>
      <c r="C87" s="17"/>
      <c r="D87" s="18">
        <f>D88+D101</f>
        <v>29580626238</v>
      </c>
      <c r="E87" s="19">
        <f>E88+E101</f>
        <v>29634302553</v>
      </c>
    </row>
    <row r="88" spans="1:5" s="20" customFormat="1" ht="20.25" customHeight="1">
      <c r="A88" s="15" t="s">
        <v>168</v>
      </c>
      <c r="B88" s="16" t="s">
        <v>169</v>
      </c>
      <c r="C88" s="17"/>
      <c r="D88" s="18">
        <f>SUM(D89:D100)</f>
        <v>29580626238</v>
      </c>
      <c r="E88" s="19">
        <f>SUM(E89:E100)</f>
        <v>29634302553</v>
      </c>
    </row>
    <row r="89" spans="1:5" s="20" customFormat="1" ht="20.25" customHeight="1">
      <c r="A89" s="21" t="s">
        <v>170</v>
      </c>
      <c r="B89" s="22" t="s">
        <v>171</v>
      </c>
      <c r="C89" s="201" t="s">
        <v>573</v>
      </c>
      <c r="D89" s="24">
        <f>'bcdps hop nhat'!H60</f>
        <v>29550000000</v>
      </c>
      <c r="E89" s="25">
        <f>'bcdps hop nhat'!D60</f>
        <v>29550000000</v>
      </c>
    </row>
    <row r="90" spans="1:5" s="20" customFormat="1" ht="20.25" customHeight="1">
      <c r="A90" s="21" t="s">
        <v>172</v>
      </c>
      <c r="B90" s="22" t="s">
        <v>173</v>
      </c>
      <c r="C90" s="23"/>
      <c r="D90" s="24">
        <v>0</v>
      </c>
      <c r="E90" s="25">
        <v>0</v>
      </c>
    </row>
    <row r="91" spans="1:5" s="20" customFormat="1" ht="20.25" customHeight="1">
      <c r="A91" s="21" t="s">
        <v>174</v>
      </c>
      <c r="B91" s="22" t="s">
        <v>175</v>
      </c>
      <c r="C91" s="23"/>
      <c r="D91" s="24">
        <v>0</v>
      </c>
      <c r="E91" s="25">
        <v>0</v>
      </c>
    </row>
    <row r="92" spans="1:5" s="20" customFormat="1" ht="20.25" customHeight="1">
      <c r="A92" s="21" t="s">
        <v>176</v>
      </c>
      <c r="B92" s="22" t="s">
        <v>177</v>
      </c>
      <c r="C92" s="23"/>
      <c r="D92" s="24">
        <v>0</v>
      </c>
      <c r="E92" s="25">
        <v>0</v>
      </c>
    </row>
    <row r="93" spans="1:5" s="20" customFormat="1" ht="20.25" customHeight="1">
      <c r="A93" s="21" t="s">
        <v>178</v>
      </c>
      <c r="B93" s="22" t="s">
        <v>179</v>
      </c>
      <c r="C93" s="23"/>
      <c r="D93" s="24">
        <v>0</v>
      </c>
      <c r="E93" s="25">
        <v>0</v>
      </c>
    </row>
    <row r="94" spans="1:5" s="20" customFormat="1" ht="20.25" customHeight="1">
      <c r="A94" s="21" t="s">
        <v>180</v>
      </c>
      <c r="B94" s="22" t="s">
        <v>181</v>
      </c>
      <c r="C94" s="23"/>
      <c r="D94" s="24">
        <v>0</v>
      </c>
      <c r="E94" s="25">
        <v>0</v>
      </c>
    </row>
    <row r="95" spans="1:5" s="20" customFormat="1" ht="20.25" customHeight="1">
      <c r="A95" s="21" t="s">
        <v>182</v>
      </c>
      <c r="B95" s="22" t="s">
        <v>183</v>
      </c>
      <c r="C95" s="23"/>
      <c r="D95" s="24">
        <f>'bcdsps tt me'!H60</f>
        <v>0</v>
      </c>
      <c r="E95" s="25">
        <f>'bcdsps tt me'!D63</f>
        <v>0</v>
      </c>
    </row>
    <row r="96" spans="1:5" s="20" customFormat="1" ht="20.25" customHeight="1">
      <c r="A96" s="21" t="s">
        <v>184</v>
      </c>
      <c r="B96" s="22" t="s">
        <v>185</v>
      </c>
      <c r="C96" s="23"/>
      <c r="D96" s="24"/>
      <c r="E96" s="25">
        <f>'bcdsps tt me'!D64</f>
        <v>0</v>
      </c>
    </row>
    <row r="97" spans="1:5" s="20" customFormat="1" ht="20.25" customHeight="1">
      <c r="A97" s="21" t="s">
        <v>186</v>
      </c>
      <c r="B97" s="22" t="s">
        <v>187</v>
      </c>
      <c r="C97" s="23"/>
      <c r="D97" s="24">
        <v>0</v>
      </c>
      <c r="E97" s="25">
        <v>0</v>
      </c>
    </row>
    <row r="98" spans="1:5" s="20" customFormat="1" ht="20.25" customHeight="1">
      <c r="A98" s="21" t="s">
        <v>188</v>
      </c>
      <c r="B98" s="22" t="s">
        <v>189</v>
      </c>
      <c r="C98" s="201" t="s">
        <v>574</v>
      </c>
      <c r="D98" s="24">
        <f>'bcdps hop nhat'!H61</f>
        <v>30626238</v>
      </c>
      <c r="E98" s="25">
        <f>'bcdps hop nhat'!D61</f>
        <v>84302553</v>
      </c>
    </row>
    <row r="99" spans="1:5" s="20" customFormat="1" ht="20.25" customHeight="1">
      <c r="A99" s="21" t="s">
        <v>190</v>
      </c>
      <c r="B99" s="22" t="s">
        <v>191</v>
      </c>
      <c r="C99" s="23"/>
      <c r="D99" s="24">
        <v>0</v>
      </c>
      <c r="E99" s="25">
        <v>0</v>
      </c>
    </row>
    <row r="100" spans="1:5" s="20" customFormat="1" ht="20.25" customHeight="1">
      <c r="A100" s="21" t="s">
        <v>192</v>
      </c>
      <c r="B100" s="22" t="s">
        <v>193</v>
      </c>
      <c r="C100" s="23"/>
      <c r="D100" s="24">
        <v>0</v>
      </c>
      <c r="E100" s="25">
        <v>0</v>
      </c>
    </row>
    <row r="101" spans="1:5" s="20" customFormat="1" ht="20.25" customHeight="1">
      <c r="A101" s="15" t="s">
        <v>194</v>
      </c>
      <c r="B101" s="16" t="s">
        <v>195</v>
      </c>
      <c r="C101" s="17"/>
      <c r="D101" s="18">
        <v>0</v>
      </c>
      <c r="E101" s="19">
        <v>0</v>
      </c>
    </row>
    <row r="102" spans="1:5" s="20" customFormat="1" ht="20.25" customHeight="1">
      <c r="A102" s="21" t="s">
        <v>196</v>
      </c>
      <c r="B102" s="22" t="s">
        <v>197</v>
      </c>
      <c r="C102" s="23"/>
      <c r="D102" s="24">
        <v>0</v>
      </c>
      <c r="E102" s="25">
        <v>0</v>
      </c>
    </row>
    <row r="103" spans="1:5" s="20" customFormat="1" ht="20.25" customHeight="1">
      <c r="A103" s="21" t="s">
        <v>198</v>
      </c>
      <c r="B103" s="22" t="s">
        <v>199</v>
      </c>
      <c r="C103" s="23"/>
      <c r="D103" s="24">
        <v>0</v>
      </c>
      <c r="E103" s="25">
        <v>0</v>
      </c>
    </row>
    <row r="104" spans="1:5" s="20" customFormat="1" ht="20.25" customHeight="1">
      <c r="A104" s="15" t="s">
        <v>200</v>
      </c>
      <c r="B104" s="16" t="s">
        <v>201</v>
      </c>
      <c r="C104" s="17"/>
      <c r="D104" s="18">
        <v>0</v>
      </c>
      <c r="E104" s="19">
        <v>0</v>
      </c>
    </row>
    <row r="105" spans="1:7" s="20" customFormat="1" ht="20.25" customHeight="1">
      <c r="A105" s="15" t="s">
        <v>202</v>
      </c>
      <c r="B105" s="16" t="s">
        <v>203</v>
      </c>
      <c r="C105" s="17"/>
      <c r="D105" s="18">
        <f>D87+D64</f>
        <v>50178945078</v>
      </c>
      <c r="E105" s="19">
        <f>E87+E64</f>
        <v>56991560854</v>
      </c>
      <c r="G105" s="50"/>
    </row>
    <row r="106" spans="1:5" s="20" customFormat="1" ht="20.25" customHeight="1">
      <c r="A106" s="15" t="s">
        <v>204</v>
      </c>
      <c r="B106" s="16"/>
      <c r="C106" s="17"/>
      <c r="D106" s="18">
        <v>0</v>
      </c>
      <c r="E106" s="19">
        <v>0</v>
      </c>
    </row>
    <row r="107" spans="1:5" s="20" customFormat="1" ht="20.25" customHeight="1">
      <c r="A107" s="21" t="s">
        <v>205</v>
      </c>
      <c r="B107" s="22" t="s">
        <v>206</v>
      </c>
      <c r="C107" s="23"/>
      <c r="D107" s="24">
        <v>0</v>
      </c>
      <c r="E107" s="25">
        <v>0</v>
      </c>
    </row>
    <row r="108" spans="1:5" s="20" customFormat="1" ht="20.25" customHeight="1">
      <c r="A108" s="21" t="s">
        <v>207</v>
      </c>
      <c r="B108" s="22" t="s">
        <v>208</v>
      </c>
      <c r="C108" s="23"/>
      <c r="D108" s="24">
        <v>0</v>
      </c>
      <c r="E108" s="25">
        <v>0</v>
      </c>
    </row>
    <row r="109" spans="1:5" s="20" customFormat="1" ht="20.25" customHeight="1">
      <c r="A109" s="21" t="s">
        <v>209</v>
      </c>
      <c r="B109" s="22" t="s">
        <v>210</v>
      </c>
      <c r="C109" s="23"/>
      <c r="D109" s="24">
        <v>0</v>
      </c>
      <c r="E109" s="25">
        <v>0</v>
      </c>
    </row>
    <row r="110" spans="1:7" s="20" customFormat="1" ht="20.25" customHeight="1">
      <c r="A110" s="21" t="s">
        <v>211</v>
      </c>
      <c r="B110" s="22" t="s">
        <v>212</v>
      </c>
      <c r="C110" s="23"/>
      <c r="D110" s="24">
        <v>0</v>
      </c>
      <c r="E110" s="25">
        <v>0</v>
      </c>
      <c r="G110" s="50"/>
    </row>
    <row r="111" spans="1:7" s="20" customFormat="1" ht="20.25" customHeight="1">
      <c r="A111" s="21" t="s">
        <v>213</v>
      </c>
      <c r="B111" s="22" t="s">
        <v>214</v>
      </c>
      <c r="C111" s="23"/>
      <c r="D111" s="24">
        <v>0</v>
      </c>
      <c r="E111" s="25">
        <v>0</v>
      </c>
      <c r="F111" s="50">
        <f>D105-D62</f>
        <v>0</v>
      </c>
      <c r="G111" s="50">
        <f>D105-D62</f>
        <v>0</v>
      </c>
    </row>
    <row r="112" spans="1:7" s="20" customFormat="1" ht="20.25" customHeight="1" thickBot="1">
      <c r="A112" s="27" t="s">
        <v>215</v>
      </c>
      <c r="B112" s="28" t="s">
        <v>216</v>
      </c>
      <c r="C112" s="29"/>
      <c r="D112" s="30">
        <v>0</v>
      </c>
      <c r="E112" s="31">
        <v>0</v>
      </c>
      <c r="G112" s="50">
        <f>E105-E62</f>
        <v>0</v>
      </c>
    </row>
    <row r="113" spans="1:6" s="35" customFormat="1" ht="15.75" thickTop="1">
      <c r="A113" s="32"/>
      <c r="B113" s="33"/>
      <c r="C113" s="34" t="s">
        <v>526</v>
      </c>
      <c r="E113" s="34"/>
      <c r="F113" s="34"/>
    </row>
    <row r="114" spans="1:7" ht="15.75">
      <c r="A114" s="36" t="s">
        <v>217</v>
      </c>
      <c r="B114" s="3" t="s">
        <v>218</v>
      </c>
      <c r="D114" s="3"/>
      <c r="E114" s="39" t="s">
        <v>219</v>
      </c>
      <c r="F114" s="39"/>
      <c r="G114" s="39">
        <f>E105-E62</f>
        <v>0</v>
      </c>
    </row>
    <row r="115" spans="1:6" ht="15.75">
      <c r="A115" s="36"/>
      <c r="B115" s="4"/>
      <c r="C115" s="37"/>
      <c r="D115" s="40"/>
      <c r="E115" s="40"/>
      <c r="F115" s="41"/>
    </row>
    <row r="116" spans="1:6" ht="15.75">
      <c r="A116" s="36"/>
      <c r="B116" s="4"/>
      <c r="C116" s="37"/>
      <c r="D116" s="158">
        <f>D105-D62</f>
        <v>0</v>
      </c>
      <c r="E116" s="158">
        <f>E105-E62</f>
        <v>0</v>
      </c>
      <c r="F116" s="41"/>
    </row>
    <row r="117" spans="1:6" ht="15.75">
      <c r="A117" s="36"/>
      <c r="B117" s="4"/>
      <c r="C117" s="37"/>
      <c r="D117" s="40"/>
      <c r="E117" s="40"/>
      <c r="F117" s="41"/>
    </row>
    <row r="118" spans="1:6" ht="15.75">
      <c r="A118" s="155" t="s">
        <v>519</v>
      </c>
      <c r="B118" s="3" t="s">
        <v>220</v>
      </c>
      <c r="D118" s="40"/>
      <c r="E118" s="40"/>
      <c r="F118" s="41"/>
    </row>
    <row r="119" spans="2:5" ht="15.75">
      <c r="B119" s="42"/>
      <c r="D119" s="152"/>
      <c r="E119" s="152"/>
    </row>
  </sheetData>
  <sheetProtection/>
  <mergeCells count="5">
    <mergeCell ref="A5:E5"/>
    <mergeCell ref="A1:B1"/>
    <mergeCell ref="A2:C2"/>
    <mergeCell ref="A3:B3"/>
    <mergeCell ref="C4:D4"/>
  </mergeCells>
  <printOptions/>
  <pageMargins left="0.51" right="0.36" top="0.52" bottom="0.52" header="0.5" footer="0.23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C12" sqref="C12:C23"/>
    </sheetView>
  </sheetViews>
  <sheetFormatPr defaultColWidth="9.00390625" defaultRowHeight="15.75"/>
  <cols>
    <col min="1" max="1" width="42.875" style="43" customWidth="1"/>
    <col min="2" max="2" width="5.75390625" style="7" customWidth="1"/>
    <col min="3" max="3" width="7.00390625" style="43" customWidth="1"/>
    <col min="4" max="4" width="15.125" style="44" customWidth="1"/>
    <col min="5" max="5" width="15.125" style="44" hidden="1" customWidth="1"/>
    <col min="6" max="6" width="15.75390625" style="44" customWidth="1"/>
    <col min="7" max="7" width="16.625" style="44" customWidth="1"/>
    <col min="8" max="8" width="15.50390625" style="44" customWidth="1"/>
    <col min="9" max="9" width="13.125" style="43" customWidth="1"/>
    <col min="10" max="10" width="12.75390625" style="43" customWidth="1"/>
    <col min="11" max="16384" width="9.00390625" style="43" customWidth="1"/>
  </cols>
  <sheetData>
    <row r="1" spans="1:9" s="35" customFormat="1" ht="17.25">
      <c r="A1" s="231" t="s">
        <v>221</v>
      </c>
      <c r="B1" s="231"/>
      <c r="C1" s="231"/>
      <c r="F1" s="45" t="s">
        <v>506</v>
      </c>
      <c r="H1" s="45"/>
      <c r="I1" s="46"/>
    </row>
    <row r="2" spans="1:9" s="35" customFormat="1" ht="17.25">
      <c r="A2" s="232" t="s">
        <v>8</v>
      </c>
      <c r="B2" s="232"/>
      <c r="C2" s="232"/>
      <c r="F2" s="45" t="s">
        <v>523</v>
      </c>
      <c r="H2" s="45"/>
      <c r="I2" s="46"/>
    </row>
    <row r="3" spans="1:8" s="35" customFormat="1" ht="15">
      <c r="A3" s="233" t="s">
        <v>9</v>
      </c>
      <c r="B3" s="233"/>
      <c r="C3" s="47"/>
      <c r="F3" s="33"/>
      <c r="G3" s="47"/>
      <c r="H3" s="33"/>
    </row>
    <row r="4" spans="1:8" ht="15.75">
      <c r="A4" s="4"/>
      <c r="B4" s="4"/>
      <c r="C4" s="3"/>
      <c r="F4" s="3" t="s">
        <v>222</v>
      </c>
      <c r="H4" s="3"/>
    </row>
    <row r="5" spans="1:8" s="6" customFormat="1" ht="25.5" customHeight="1" thickBot="1">
      <c r="A5" s="222" t="s">
        <v>477</v>
      </c>
      <c r="B5" s="222"/>
      <c r="C5" s="222"/>
      <c r="D5" s="222"/>
      <c r="E5" s="222"/>
      <c r="F5" s="222"/>
      <c r="G5" s="222"/>
      <c r="H5" s="222"/>
    </row>
    <row r="6" spans="1:8" s="14" customFormat="1" ht="71.25" customHeight="1" thickTop="1">
      <c r="A6" s="9" t="s">
        <v>12</v>
      </c>
      <c r="B6" s="10" t="s">
        <v>13</v>
      </c>
      <c r="C6" s="11" t="s">
        <v>14</v>
      </c>
      <c r="D6" s="12" t="s">
        <v>223</v>
      </c>
      <c r="E6" s="12" t="s">
        <v>484</v>
      </c>
      <c r="F6" s="12" t="s">
        <v>224</v>
      </c>
      <c r="G6" s="12" t="s">
        <v>225</v>
      </c>
      <c r="H6" s="13" t="s">
        <v>226</v>
      </c>
    </row>
    <row r="7" spans="1:8" s="20" customFormat="1" ht="21.75" customHeight="1">
      <c r="A7" s="21" t="s">
        <v>227</v>
      </c>
      <c r="B7" s="22" t="s">
        <v>206</v>
      </c>
      <c r="C7" s="201" t="s">
        <v>578</v>
      </c>
      <c r="D7" s="24">
        <f>3828653184+383959058</f>
        <v>4212612242</v>
      </c>
      <c r="E7" s="24" t="e">
        <f>#REF!</f>
        <v>#REF!</v>
      </c>
      <c r="F7" s="24">
        <v>31486472168</v>
      </c>
      <c r="G7" s="24">
        <f>'bcdps hop nhat'!F64</f>
        <v>22182961667</v>
      </c>
      <c r="H7" s="25">
        <v>49981280388</v>
      </c>
    </row>
    <row r="8" spans="1:8" s="20" customFormat="1" ht="21.75" customHeight="1">
      <c r="A8" s="21" t="s">
        <v>228</v>
      </c>
      <c r="B8" s="22" t="s">
        <v>208</v>
      </c>
      <c r="C8" s="23"/>
      <c r="D8" s="24">
        <v>0</v>
      </c>
      <c r="E8" s="24"/>
      <c r="F8" s="24"/>
      <c r="G8" s="24">
        <v>0</v>
      </c>
      <c r="H8" s="25">
        <v>0</v>
      </c>
    </row>
    <row r="9" spans="1:8" s="20" customFormat="1" ht="28.5" customHeight="1">
      <c r="A9" s="48" t="s">
        <v>229</v>
      </c>
      <c r="B9" s="16" t="s">
        <v>230</v>
      </c>
      <c r="C9" s="17"/>
      <c r="D9" s="18">
        <f>D7-D8</f>
        <v>4212612242</v>
      </c>
      <c r="E9" s="18" t="e">
        <f>E7-E8</f>
        <v>#REF!</v>
      </c>
      <c r="F9" s="18">
        <f>F7-F8</f>
        <v>31486472168</v>
      </c>
      <c r="G9" s="18">
        <f>G7-G8</f>
        <v>22182961667</v>
      </c>
      <c r="H9" s="19">
        <f>H7-H8</f>
        <v>49981280388</v>
      </c>
    </row>
    <row r="10" spans="1:8" s="20" customFormat="1" ht="21.75" customHeight="1">
      <c r="A10" s="49" t="s">
        <v>231</v>
      </c>
      <c r="B10" s="22" t="s">
        <v>232</v>
      </c>
      <c r="C10" s="201" t="s">
        <v>582</v>
      </c>
      <c r="D10" s="24">
        <f>2727558718+361760000</f>
        <v>3089318718</v>
      </c>
      <c r="E10" s="24" t="e">
        <f>#REF!</f>
        <v>#REF!</v>
      </c>
      <c r="F10" s="24">
        <v>29418475387</v>
      </c>
      <c r="G10" s="24">
        <f>'bcdps hop nhat'!F77</f>
        <v>17739765523</v>
      </c>
      <c r="H10" s="25">
        <v>44740408953</v>
      </c>
    </row>
    <row r="11" spans="1:9" s="20" customFormat="1" ht="29.25" customHeight="1">
      <c r="A11" s="48" t="s">
        <v>233</v>
      </c>
      <c r="B11" s="16" t="s">
        <v>234</v>
      </c>
      <c r="C11" s="17"/>
      <c r="D11" s="18">
        <f>D9-D10</f>
        <v>1123293524</v>
      </c>
      <c r="E11" s="18" t="e">
        <f>E9-E10</f>
        <v>#REF!</v>
      </c>
      <c r="F11" s="18">
        <f>F9-F10</f>
        <v>2067996781</v>
      </c>
      <c r="G11" s="18">
        <f>G9-G10</f>
        <v>4443196144</v>
      </c>
      <c r="H11" s="19">
        <f>H9-H10</f>
        <v>5240871435</v>
      </c>
      <c r="I11" s="50"/>
    </row>
    <row r="12" spans="1:8" s="20" customFormat="1" ht="21.75" customHeight="1">
      <c r="A12" s="49" t="s">
        <v>235</v>
      </c>
      <c r="B12" s="22" t="s">
        <v>236</v>
      </c>
      <c r="C12" s="201" t="s">
        <v>583</v>
      </c>
      <c r="D12" s="24">
        <f>759557+156300</f>
        <v>915857</v>
      </c>
      <c r="E12" s="24"/>
      <c r="F12" s="24">
        <v>1343504</v>
      </c>
      <c r="G12" s="24">
        <f>'bcdps hop nhat'!F67</f>
        <v>5678782</v>
      </c>
      <c r="H12" s="25">
        <v>7319539</v>
      </c>
    </row>
    <row r="13" spans="1:8" s="20" customFormat="1" ht="21.75" customHeight="1">
      <c r="A13" s="49" t="s">
        <v>237</v>
      </c>
      <c r="B13" s="22" t="s">
        <v>238</v>
      </c>
      <c r="C13" s="23"/>
      <c r="D13" s="24">
        <f>D14</f>
        <v>3444444</v>
      </c>
      <c r="E13" s="24"/>
      <c r="F13" s="24">
        <f>F14</f>
        <v>32125000</v>
      </c>
      <c r="G13" s="24">
        <f>G14</f>
        <v>18353332</v>
      </c>
      <c r="H13" s="25">
        <f>H14+H15</f>
        <v>179931960</v>
      </c>
    </row>
    <row r="14" spans="1:8" s="20" customFormat="1" ht="21.75" customHeight="1">
      <c r="A14" s="49" t="s">
        <v>239</v>
      </c>
      <c r="B14" s="22" t="s">
        <v>240</v>
      </c>
      <c r="C14" s="201" t="s">
        <v>589</v>
      </c>
      <c r="D14" s="24">
        <v>3444444</v>
      </c>
      <c r="E14" s="24"/>
      <c r="F14" s="24">
        <v>32125000</v>
      </c>
      <c r="G14" s="24">
        <f>'bcdps hop nhat'!F80</f>
        <v>18353332</v>
      </c>
      <c r="H14" s="25">
        <v>179931960</v>
      </c>
    </row>
    <row r="15" spans="1:8" s="20" customFormat="1" ht="21.75" customHeight="1">
      <c r="A15" s="49" t="s">
        <v>241</v>
      </c>
      <c r="B15" s="22" t="s">
        <v>242</v>
      </c>
      <c r="C15" s="23"/>
      <c r="D15" s="24"/>
      <c r="E15" s="24"/>
      <c r="F15" s="24"/>
      <c r="G15" s="24"/>
      <c r="H15" s="25"/>
    </row>
    <row r="16" spans="1:11" s="20" customFormat="1" ht="21.75" customHeight="1">
      <c r="A16" s="49" t="s">
        <v>243</v>
      </c>
      <c r="B16" s="22" t="s">
        <v>244</v>
      </c>
      <c r="C16" s="201" t="s">
        <v>590</v>
      </c>
      <c r="D16" s="24">
        <f>1047596186+169837102</f>
        <v>1217433288</v>
      </c>
      <c r="E16" s="24" t="e">
        <f>#REF!</f>
        <v>#REF!</v>
      </c>
      <c r="F16" s="24">
        <v>1696506504</v>
      </c>
      <c r="G16" s="24">
        <f>'bcdps hop nhat'!F82</f>
        <v>4298739405</v>
      </c>
      <c r="H16" s="25">
        <v>4482871297</v>
      </c>
      <c r="K16" s="20" t="s">
        <v>485</v>
      </c>
    </row>
    <row r="17" spans="1:9" s="20" customFormat="1" ht="39.75" customHeight="1">
      <c r="A17" s="48" t="s">
        <v>245</v>
      </c>
      <c r="B17" s="16" t="s">
        <v>246</v>
      </c>
      <c r="C17" s="17"/>
      <c r="D17" s="18">
        <f>D11+D12-D13-D16</f>
        <v>-96668351</v>
      </c>
      <c r="E17" s="18" t="e">
        <f>E11+E12-E13-E16</f>
        <v>#REF!</v>
      </c>
      <c r="F17" s="18">
        <f>F11+F12-F13-F16</f>
        <v>340708781</v>
      </c>
      <c r="G17" s="18">
        <f>G11+G12-G13-G16</f>
        <v>131782189</v>
      </c>
      <c r="H17" s="19">
        <f>H11+H12-H13-H16</f>
        <v>585387717</v>
      </c>
      <c r="I17" s="50"/>
    </row>
    <row r="18" spans="1:8" s="20" customFormat="1" ht="21.75" customHeight="1">
      <c r="A18" s="49" t="s">
        <v>247</v>
      </c>
      <c r="B18" s="22" t="s">
        <v>248</v>
      </c>
      <c r="C18" s="201" t="s">
        <v>591</v>
      </c>
      <c r="D18" s="24"/>
      <c r="E18" s="24"/>
      <c r="F18" s="24"/>
      <c r="G18" s="24">
        <f>'bcdps hop nhat'!F83</f>
        <v>31500000</v>
      </c>
      <c r="H18" s="25"/>
    </row>
    <row r="19" spans="1:11" s="20" customFormat="1" ht="21.75" customHeight="1">
      <c r="A19" s="49" t="s">
        <v>249</v>
      </c>
      <c r="B19" s="22" t="s">
        <v>250</v>
      </c>
      <c r="C19" s="23"/>
      <c r="D19" s="24"/>
      <c r="E19" s="24"/>
      <c r="F19" s="24"/>
      <c r="G19" s="24"/>
      <c r="H19" s="25"/>
      <c r="I19" s="165"/>
      <c r="J19" s="164"/>
      <c r="K19" s="173"/>
    </row>
    <row r="20" spans="1:11" s="20" customFormat="1" ht="21.75" customHeight="1">
      <c r="A20" s="48" t="s">
        <v>251</v>
      </c>
      <c r="B20" s="16" t="s">
        <v>252</v>
      </c>
      <c r="C20" s="17"/>
      <c r="D20" s="18">
        <f>D18-D19</f>
        <v>0</v>
      </c>
      <c r="E20" s="18"/>
      <c r="F20" s="18">
        <f>F18-F19</f>
        <v>0</v>
      </c>
      <c r="G20" s="18">
        <f>G18-G19</f>
        <v>31500000</v>
      </c>
      <c r="H20" s="19">
        <f>H18-H19</f>
        <v>0</v>
      </c>
      <c r="I20" s="165"/>
      <c r="J20" s="164"/>
      <c r="K20" s="173"/>
    </row>
    <row r="21" spans="1:9" s="20" customFormat="1" ht="21.75" customHeight="1">
      <c r="A21" s="49" t="s">
        <v>253</v>
      </c>
      <c r="B21" s="22" t="s">
        <v>254</v>
      </c>
      <c r="C21" s="23"/>
      <c r="D21" s="24">
        <v>0</v>
      </c>
      <c r="E21" s="24"/>
      <c r="F21" s="24">
        <v>0</v>
      </c>
      <c r="G21" s="24">
        <v>0</v>
      </c>
      <c r="H21" s="25">
        <v>0</v>
      </c>
      <c r="I21" s="172"/>
    </row>
    <row r="22" spans="1:9" s="20" customFormat="1" ht="34.5" customHeight="1">
      <c r="A22" s="48" t="s">
        <v>255</v>
      </c>
      <c r="B22" s="16" t="s">
        <v>256</v>
      </c>
      <c r="C22" s="17"/>
      <c r="D22" s="18">
        <f>D17+D20</f>
        <v>-96668351</v>
      </c>
      <c r="E22" s="18" t="e">
        <f>E17+E20</f>
        <v>#REF!</v>
      </c>
      <c r="F22" s="18">
        <f>F17+F20</f>
        <v>340708781</v>
      </c>
      <c r="G22" s="18">
        <f>G17+G20</f>
        <v>163282189</v>
      </c>
      <c r="H22" s="19">
        <f>H17+H20</f>
        <v>585387717</v>
      </c>
      <c r="I22" s="50"/>
    </row>
    <row r="23" spans="1:9" s="20" customFormat="1" ht="21.75" customHeight="1">
      <c r="A23" s="49" t="s">
        <v>257</v>
      </c>
      <c r="B23" s="22" t="s">
        <v>258</v>
      </c>
      <c r="C23" s="201" t="s">
        <v>592</v>
      </c>
      <c r="D23" s="24">
        <v>11178946</v>
      </c>
      <c r="E23" s="24" t="e">
        <f>#REF!</f>
        <v>#REF!</v>
      </c>
      <c r="F23" s="24">
        <v>74955932</v>
      </c>
      <c r="G23" s="24">
        <f>'bcdps hop nhat'!F84</f>
        <v>67502025</v>
      </c>
      <c r="H23" s="25">
        <v>128785297</v>
      </c>
      <c r="I23" s="50"/>
    </row>
    <row r="24" spans="1:8" s="20" customFormat="1" ht="21.75" customHeight="1">
      <c r="A24" s="49" t="s">
        <v>259</v>
      </c>
      <c r="B24" s="22" t="s">
        <v>260</v>
      </c>
      <c r="C24" s="23"/>
      <c r="D24" s="24">
        <v>0</v>
      </c>
      <c r="E24" s="24"/>
      <c r="F24" s="24">
        <v>0</v>
      </c>
      <c r="G24" s="24">
        <v>0</v>
      </c>
      <c r="H24" s="25">
        <v>0</v>
      </c>
    </row>
    <row r="25" spans="1:9" s="20" customFormat="1" ht="37.5" customHeight="1">
      <c r="A25" s="48" t="s">
        <v>261</v>
      </c>
      <c r="B25" s="16" t="s">
        <v>262</v>
      </c>
      <c r="C25" s="17"/>
      <c r="D25" s="18">
        <f>D22-D23</f>
        <v>-107847297</v>
      </c>
      <c r="E25" s="18" t="e">
        <f>E22-E23</f>
        <v>#REF!</v>
      </c>
      <c r="F25" s="51">
        <f>F22-F23</f>
        <v>265752849</v>
      </c>
      <c r="G25" s="51">
        <f>G22-G23</f>
        <v>95780164</v>
      </c>
      <c r="H25" s="26">
        <f>H22-H23</f>
        <v>456602420</v>
      </c>
      <c r="I25" s="50"/>
    </row>
    <row r="26" spans="1:8" s="20" customFormat="1" ht="21.75" customHeight="1">
      <c r="A26" s="49" t="s">
        <v>263</v>
      </c>
      <c r="B26" s="22" t="s">
        <v>264</v>
      </c>
      <c r="C26" s="23"/>
      <c r="D26" s="24">
        <v>0</v>
      </c>
      <c r="E26" s="24"/>
      <c r="F26" s="24">
        <v>0</v>
      </c>
      <c r="G26" s="24"/>
      <c r="H26" s="25">
        <v>0</v>
      </c>
    </row>
    <row r="27" spans="1:8" s="20" customFormat="1" ht="21.75" customHeight="1">
      <c r="A27" s="49" t="s">
        <v>265</v>
      </c>
      <c r="B27" s="22" t="s">
        <v>266</v>
      </c>
      <c r="C27" s="23"/>
      <c r="D27" s="24">
        <v>0</v>
      </c>
      <c r="E27" s="24"/>
      <c r="F27" s="24">
        <v>0</v>
      </c>
      <c r="G27" s="24">
        <v>0</v>
      </c>
      <c r="H27" s="25">
        <v>0</v>
      </c>
    </row>
    <row r="28" spans="1:8" s="20" customFormat="1" ht="21.75" customHeight="1" thickBot="1">
      <c r="A28" s="52" t="s">
        <v>267</v>
      </c>
      <c r="B28" s="28" t="s">
        <v>268</v>
      </c>
      <c r="C28" s="29"/>
      <c r="D28" s="30">
        <v>0</v>
      </c>
      <c r="E28" s="30"/>
      <c r="F28" s="30">
        <v>0</v>
      </c>
      <c r="G28" s="30">
        <v>0</v>
      </c>
      <c r="H28" s="31">
        <v>0</v>
      </c>
    </row>
    <row r="29" spans="1:8" s="35" customFormat="1" ht="15.75" thickTop="1">
      <c r="A29" s="32"/>
      <c r="B29" s="33"/>
      <c r="C29" s="54"/>
      <c r="D29" s="34"/>
      <c r="E29" s="34"/>
      <c r="F29" s="230" t="s">
        <v>526</v>
      </c>
      <c r="G29" s="230"/>
      <c r="H29" s="230"/>
    </row>
    <row r="30" spans="1:9" ht="15.75">
      <c r="A30" s="36"/>
      <c r="B30" s="4"/>
      <c r="C30" s="37"/>
      <c r="D30" s="34"/>
      <c r="E30" s="34"/>
      <c r="F30" s="34"/>
      <c r="G30" s="38"/>
      <c r="H30" s="38"/>
      <c r="I30" s="38"/>
    </row>
    <row r="31" spans="1:9" ht="15.75">
      <c r="A31" s="36" t="s">
        <v>217</v>
      </c>
      <c r="B31" s="228" t="s">
        <v>218</v>
      </c>
      <c r="C31" s="229"/>
      <c r="D31" s="229"/>
      <c r="E31" s="229"/>
      <c r="F31" s="229"/>
      <c r="G31" s="229"/>
      <c r="H31" s="39" t="s">
        <v>219</v>
      </c>
      <c r="I31" s="39"/>
    </row>
    <row r="32" spans="1:7" ht="15.75">
      <c r="A32" s="36"/>
      <c r="B32" s="4"/>
      <c r="C32" s="37"/>
      <c r="D32" s="40"/>
      <c r="E32" s="40"/>
      <c r="F32" s="40"/>
      <c r="G32" s="41"/>
    </row>
    <row r="33" spans="1:7" ht="15.75">
      <c r="A33" s="36"/>
      <c r="B33" s="4"/>
      <c r="C33" s="37"/>
      <c r="D33" s="40"/>
      <c r="E33" s="40"/>
      <c r="F33" s="40"/>
      <c r="G33" s="151"/>
    </row>
    <row r="34" spans="1:7" ht="15.75">
      <c r="A34" s="36"/>
      <c r="B34" s="4"/>
      <c r="C34" s="37"/>
      <c r="D34" s="40"/>
      <c r="E34" s="40"/>
      <c r="F34" s="40"/>
      <c r="G34" s="41"/>
    </row>
    <row r="35" spans="1:7" ht="15.75">
      <c r="A35" s="155" t="s">
        <v>519</v>
      </c>
      <c r="B35" s="3" t="s">
        <v>220</v>
      </c>
      <c r="D35" s="40"/>
      <c r="E35" s="40"/>
      <c r="F35" s="40"/>
      <c r="G35" s="151"/>
    </row>
    <row r="36" spans="2:7" ht="15.75">
      <c r="B36" s="42"/>
      <c r="G36" s="152"/>
    </row>
  </sheetData>
  <sheetProtection/>
  <mergeCells count="6">
    <mergeCell ref="B31:G31"/>
    <mergeCell ref="F29:H29"/>
    <mergeCell ref="A1:C1"/>
    <mergeCell ref="A2:C2"/>
    <mergeCell ref="A3:B3"/>
    <mergeCell ref="A5:H5"/>
  </mergeCells>
  <printOptions/>
  <pageMargins left="0.54" right="0.28" top="0.42" bottom="0.39" header="0.25" footer="0.26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14"/>
  <sheetViews>
    <sheetView zoomScalePageLayoutView="0" workbookViewId="0" topLeftCell="A170">
      <selection activeCell="D178" sqref="D178:H178"/>
    </sheetView>
  </sheetViews>
  <sheetFormatPr defaultColWidth="9.00390625" defaultRowHeight="15.75"/>
  <cols>
    <col min="1" max="1" width="3.625" style="0" customWidth="1"/>
    <col min="2" max="2" width="18.625" style="0" customWidth="1"/>
    <col min="3" max="3" width="11.75390625" style="127" customWidth="1"/>
    <col min="4" max="4" width="6.25390625" style="127" customWidth="1"/>
    <col min="5" max="5" width="9.75390625" style="127" customWidth="1"/>
    <col min="6" max="6" width="13.00390625" style="127" customWidth="1"/>
    <col min="7" max="7" width="11.875" style="128" customWidth="1"/>
    <col min="8" max="8" width="12.50390625" style="128" customWidth="1"/>
    <col min="9" max="9" width="14.75390625" style="0" bestFit="1" customWidth="1"/>
    <col min="10" max="10" width="23.375" style="0" customWidth="1"/>
    <col min="11" max="11" width="7.125" style="0" customWidth="1"/>
    <col min="12" max="12" width="7.00390625" style="0" customWidth="1"/>
  </cols>
  <sheetData>
    <row r="1" spans="1:8" s="59" customFormat="1" ht="15.75">
      <c r="A1" s="55" t="s">
        <v>7</v>
      </c>
      <c r="B1" s="56"/>
      <c r="C1" s="56"/>
      <c r="D1" s="56"/>
      <c r="E1" s="57"/>
      <c r="F1" s="234" t="s">
        <v>506</v>
      </c>
      <c r="G1" s="234"/>
      <c r="H1" s="234"/>
    </row>
    <row r="2" spans="1:8" s="59" customFormat="1" ht="15.75">
      <c r="A2" s="60" t="s">
        <v>8</v>
      </c>
      <c r="B2" s="60"/>
      <c r="C2" s="56"/>
      <c r="D2" s="56"/>
      <c r="E2" s="61"/>
      <c r="F2" s="234" t="s">
        <v>523</v>
      </c>
      <c r="G2" s="234"/>
      <c r="H2" s="234"/>
    </row>
    <row r="3" spans="1:8" s="59" customFormat="1" ht="15.75">
      <c r="A3" s="60" t="s">
        <v>9</v>
      </c>
      <c r="B3" s="60"/>
      <c r="C3" s="62"/>
      <c r="D3" s="63"/>
      <c r="E3" s="61"/>
      <c r="F3" s="61"/>
      <c r="G3" s="61"/>
      <c r="H3" s="61"/>
    </row>
    <row r="4" spans="1:8" s="59" customFormat="1" ht="15.75">
      <c r="A4" s="61"/>
      <c r="B4" s="61"/>
      <c r="C4" s="235"/>
      <c r="D4" s="235"/>
      <c r="E4" s="61"/>
      <c r="F4" s="61"/>
      <c r="G4" s="235"/>
      <c r="H4" s="235"/>
    </row>
    <row r="5" spans="2:8" ht="21.75">
      <c r="B5" s="236" t="s">
        <v>269</v>
      </c>
      <c r="C5" s="236"/>
      <c r="D5" s="236"/>
      <c r="E5" s="236"/>
      <c r="F5" s="236"/>
      <c r="G5" s="236"/>
      <c r="H5" s="236"/>
    </row>
    <row r="6" spans="2:8" ht="21.75">
      <c r="B6" s="237" t="s">
        <v>524</v>
      </c>
      <c r="C6" s="237"/>
      <c r="D6" s="237"/>
      <c r="E6" s="237"/>
      <c r="F6" s="237"/>
      <c r="G6" s="237"/>
      <c r="H6" s="237"/>
    </row>
    <row r="7" spans="2:8" s="64" customFormat="1" ht="19.5" customHeight="1">
      <c r="B7" s="65" t="s">
        <v>270</v>
      </c>
      <c r="C7" s="66"/>
      <c r="D7" s="66"/>
      <c r="E7" s="66"/>
      <c r="F7" s="66"/>
      <c r="G7" s="67"/>
      <c r="H7" s="67"/>
    </row>
    <row r="8" spans="3:11" s="64" customFormat="1" ht="19.5" customHeight="1">
      <c r="C8" s="66"/>
      <c r="D8" s="66"/>
      <c r="E8" s="66"/>
      <c r="F8" s="238" t="s">
        <v>271</v>
      </c>
      <c r="G8" s="238"/>
      <c r="H8" s="238"/>
      <c r="I8" s="239"/>
      <c r="J8" s="239"/>
      <c r="K8" s="239"/>
    </row>
    <row r="9" spans="2:11" s="64" customFormat="1" ht="19.5" customHeight="1">
      <c r="B9" s="240" t="s">
        <v>272</v>
      </c>
      <c r="C9" s="240"/>
      <c r="D9" s="240"/>
      <c r="E9" s="241" t="s">
        <v>389</v>
      </c>
      <c r="F9" s="241"/>
      <c r="G9" s="242" t="s">
        <v>273</v>
      </c>
      <c r="H9" s="242"/>
      <c r="I9" s="68"/>
      <c r="J9" s="68"/>
      <c r="K9" s="68"/>
    </row>
    <row r="10" spans="2:11" s="64" customFormat="1" ht="19.5" customHeight="1">
      <c r="B10" s="243" t="s">
        <v>274</v>
      </c>
      <c r="C10" s="243"/>
      <c r="D10" s="243"/>
      <c r="E10" s="244">
        <f>'bcdps hop nhat'!C6</f>
        <v>318353330</v>
      </c>
      <c r="F10" s="244"/>
      <c r="G10" s="245">
        <f>'bcdps hop nhat'!G6</f>
        <v>507935488</v>
      </c>
      <c r="H10" s="245"/>
      <c r="I10" s="70"/>
      <c r="J10" s="68"/>
      <c r="K10" s="68"/>
    </row>
    <row r="11" spans="2:11" s="64" customFormat="1" ht="19.5" customHeight="1">
      <c r="B11" s="243" t="s">
        <v>275</v>
      </c>
      <c r="C11" s="243"/>
      <c r="D11" s="243"/>
      <c r="E11" s="244">
        <f>'bcdps hop nhat'!C8</f>
        <v>1363858068</v>
      </c>
      <c r="F11" s="244"/>
      <c r="G11" s="245">
        <f>'bcdps hop nhat'!G8</f>
        <v>292572503</v>
      </c>
      <c r="H11" s="245"/>
      <c r="I11" s="68"/>
      <c r="J11" s="68"/>
      <c r="K11" s="68"/>
    </row>
    <row r="12" spans="2:11" s="64" customFormat="1" ht="19.5" customHeight="1">
      <c r="B12" s="243" t="s">
        <v>276</v>
      </c>
      <c r="C12" s="243"/>
      <c r="D12" s="243"/>
      <c r="E12" s="244"/>
      <c r="F12" s="244"/>
      <c r="G12" s="245"/>
      <c r="H12" s="245"/>
      <c r="I12" s="68"/>
      <c r="J12" s="68"/>
      <c r="K12" s="68"/>
    </row>
    <row r="13" spans="2:8" s="64" customFormat="1" ht="19.5" customHeight="1">
      <c r="B13" s="246" t="s">
        <v>277</v>
      </c>
      <c r="C13" s="246"/>
      <c r="D13" s="246"/>
      <c r="E13" s="244">
        <f>E10+E11</f>
        <v>1682211398</v>
      </c>
      <c r="F13" s="244"/>
      <c r="G13" s="245">
        <f>G10+G11</f>
        <v>800507991</v>
      </c>
      <c r="H13" s="245"/>
    </row>
    <row r="14" spans="2:8" s="64" customFormat="1" ht="19.5" customHeight="1">
      <c r="B14" s="247" t="s">
        <v>529</v>
      </c>
      <c r="C14" s="248"/>
      <c r="D14" s="249"/>
      <c r="E14" s="250"/>
      <c r="F14" s="251"/>
      <c r="G14" s="252"/>
      <c r="H14" s="252"/>
    </row>
    <row r="15" spans="2:8" s="64" customFormat="1" ht="19.5" customHeight="1">
      <c r="B15" s="253" t="s">
        <v>531</v>
      </c>
      <c r="C15" s="254"/>
      <c r="D15" s="255"/>
      <c r="E15" s="250">
        <f>BCDKT!E17</f>
        <v>13928318950</v>
      </c>
      <c r="F15" s="251"/>
      <c r="G15" s="252">
        <f>BCDKT!D17</f>
        <v>7563156666</v>
      </c>
      <c r="H15" s="252"/>
    </row>
    <row r="16" spans="2:8" s="64" customFormat="1" ht="19.5" customHeight="1">
      <c r="B16" s="253" t="s">
        <v>532</v>
      </c>
      <c r="C16" s="254"/>
      <c r="D16" s="255"/>
      <c r="E16" s="250">
        <f>BCDKT!E18</f>
        <v>1087503467</v>
      </c>
      <c r="F16" s="251"/>
      <c r="G16" s="252">
        <f>BCDKT!D18</f>
        <v>603253015</v>
      </c>
      <c r="H16" s="252"/>
    </row>
    <row r="17" spans="2:8" s="64" customFormat="1" ht="19.5" customHeight="1">
      <c r="B17" s="253" t="s">
        <v>533</v>
      </c>
      <c r="C17" s="254"/>
      <c r="D17" s="255"/>
      <c r="E17" s="250"/>
      <c r="F17" s="251"/>
      <c r="G17" s="252"/>
      <c r="H17" s="252"/>
    </row>
    <row r="18" spans="2:8" s="64" customFormat="1" ht="19.5" customHeight="1">
      <c r="B18" s="253" t="s">
        <v>534</v>
      </c>
      <c r="C18" s="254"/>
      <c r="D18" s="255"/>
      <c r="E18" s="250">
        <f>BCDKT!E21</f>
        <v>8963754</v>
      </c>
      <c r="F18" s="251"/>
      <c r="G18" s="252">
        <f>BCDKT!D21</f>
        <v>162064103</v>
      </c>
      <c r="H18" s="252"/>
    </row>
    <row r="19" spans="2:8" s="64" customFormat="1" ht="19.5" customHeight="1">
      <c r="B19" s="246" t="s">
        <v>277</v>
      </c>
      <c r="C19" s="246"/>
      <c r="D19" s="246"/>
      <c r="E19" s="298">
        <f>SUM(E15:F18)</f>
        <v>15024786171</v>
      </c>
      <c r="F19" s="299"/>
      <c r="G19" s="298">
        <f>SUM(G15:H18)</f>
        <v>8328473784</v>
      </c>
      <c r="H19" s="299"/>
    </row>
    <row r="20" spans="2:8" s="64" customFormat="1" ht="19.5" customHeight="1">
      <c r="B20" s="240" t="s">
        <v>530</v>
      </c>
      <c r="C20" s="240"/>
      <c r="D20" s="240"/>
      <c r="E20" s="241" t="s">
        <v>389</v>
      </c>
      <c r="F20" s="241"/>
      <c r="G20" s="242" t="s">
        <v>273</v>
      </c>
      <c r="H20" s="242"/>
    </row>
    <row r="21" spans="2:9" s="64" customFormat="1" ht="19.5" customHeight="1">
      <c r="B21" s="243" t="s">
        <v>278</v>
      </c>
      <c r="C21" s="243"/>
      <c r="D21" s="243"/>
      <c r="E21" s="244">
        <f>'bcdps hop nhat'!C23</f>
        <v>16861442221</v>
      </c>
      <c r="F21" s="244"/>
      <c r="G21" s="245">
        <f>'bcdps hop nhat'!G23</f>
        <v>16426708329</v>
      </c>
      <c r="H21" s="245"/>
      <c r="I21" s="71"/>
    </row>
    <row r="22" spans="2:9" s="64" customFormat="1" ht="19.5" customHeight="1">
      <c r="B22" s="243" t="s">
        <v>279</v>
      </c>
      <c r="C22" s="243"/>
      <c r="D22" s="243"/>
      <c r="E22" s="244">
        <f>'bcdps hop nhat'!C25</f>
        <v>31166667</v>
      </c>
      <c r="F22" s="244"/>
      <c r="G22" s="245">
        <f>'bcdps hop nhat'!G25</f>
        <v>31166667</v>
      </c>
      <c r="H22" s="245"/>
      <c r="I22" s="71"/>
    </row>
    <row r="23" spans="2:9" s="64" customFormat="1" ht="19.5" customHeight="1">
      <c r="B23" s="243" t="s">
        <v>280</v>
      </c>
      <c r="C23" s="243"/>
      <c r="D23" s="243"/>
      <c r="E23" s="244">
        <f>'bcdps hop nhat'!C26</f>
        <v>11739529157</v>
      </c>
      <c r="F23" s="244"/>
      <c r="G23" s="245">
        <f>'bcdps hop nhat'!G26</f>
        <v>13815454736</v>
      </c>
      <c r="H23" s="245"/>
      <c r="I23" s="71"/>
    </row>
    <row r="24" spans="2:9" s="64" customFormat="1" ht="19.5" customHeight="1">
      <c r="B24" s="243" t="s">
        <v>281</v>
      </c>
      <c r="C24" s="243"/>
      <c r="D24" s="243"/>
      <c r="E24" s="244"/>
      <c r="F24" s="244"/>
      <c r="G24" s="245"/>
      <c r="H24" s="245"/>
      <c r="I24" s="71"/>
    </row>
    <row r="25" spans="2:9" s="64" customFormat="1" ht="19.5" customHeight="1">
      <c r="B25" s="243" t="s">
        <v>282</v>
      </c>
      <c r="C25" s="243"/>
      <c r="D25" s="243"/>
      <c r="E25" s="244">
        <f>'[1]Sheet1'!C38</f>
        <v>0</v>
      </c>
      <c r="F25" s="244"/>
      <c r="G25" s="245"/>
      <c r="H25" s="245"/>
      <c r="I25" s="71"/>
    </row>
    <row r="26" spans="2:8" s="64" customFormat="1" ht="19.5" customHeight="1">
      <c r="B26" s="243" t="s">
        <v>283</v>
      </c>
      <c r="C26" s="243"/>
      <c r="D26" s="243"/>
      <c r="E26" s="244"/>
      <c r="F26" s="244"/>
      <c r="G26" s="245"/>
      <c r="H26" s="245"/>
    </row>
    <row r="27" spans="2:8" s="64" customFormat="1" ht="19.5" customHeight="1">
      <c r="B27" s="246" t="s">
        <v>277</v>
      </c>
      <c r="C27" s="246"/>
      <c r="D27" s="246"/>
      <c r="E27" s="244">
        <f>SUM(E21:F26)</f>
        <v>28632138045</v>
      </c>
      <c r="F27" s="244"/>
      <c r="G27" s="245">
        <f>SUM(G21:H26)</f>
        <v>30273329732</v>
      </c>
      <c r="H27" s="245"/>
    </row>
    <row r="28" spans="2:8" s="64" customFormat="1" ht="19.5" customHeight="1">
      <c r="B28" s="72"/>
      <c r="C28" s="66"/>
      <c r="D28" s="66"/>
      <c r="E28" s="66"/>
      <c r="F28" s="66"/>
      <c r="G28" s="67"/>
      <c r="H28" s="67"/>
    </row>
    <row r="29" spans="2:8" s="64" customFormat="1" ht="19.5" customHeight="1">
      <c r="B29" s="240" t="s">
        <v>539</v>
      </c>
      <c r="C29" s="240"/>
      <c r="D29" s="240"/>
      <c r="E29" s="300" t="s">
        <v>389</v>
      </c>
      <c r="F29" s="300"/>
      <c r="G29" s="301" t="s">
        <v>273</v>
      </c>
      <c r="H29" s="301"/>
    </row>
    <row r="30" spans="2:8" s="64" customFormat="1" ht="19.5" customHeight="1">
      <c r="B30" s="243" t="s">
        <v>540</v>
      </c>
      <c r="C30" s="243"/>
      <c r="D30" s="243"/>
      <c r="E30" s="302">
        <f>BCDKT!E28</f>
        <v>1062392563</v>
      </c>
      <c r="F30" s="302"/>
      <c r="G30" s="252">
        <f>BCDKT!D28</f>
        <v>654157073</v>
      </c>
      <c r="H30" s="252"/>
    </row>
    <row r="31" spans="2:8" s="64" customFormat="1" ht="19.5" customHeight="1">
      <c r="B31" s="253" t="s">
        <v>541</v>
      </c>
      <c r="C31" s="254"/>
      <c r="D31" s="255"/>
      <c r="E31" s="250"/>
      <c r="F31" s="251"/>
      <c r="G31" s="303"/>
      <c r="H31" s="304"/>
    </row>
    <row r="32" spans="2:8" s="64" customFormat="1" ht="19.5" customHeight="1">
      <c r="B32" s="243" t="s">
        <v>542</v>
      </c>
      <c r="C32" s="243"/>
      <c r="D32" s="243"/>
      <c r="E32" s="302"/>
      <c r="F32" s="302"/>
      <c r="G32" s="252"/>
      <c r="H32" s="252"/>
    </row>
    <row r="33" spans="2:8" s="64" customFormat="1" ht="19.5" customHeight="1">
      <c r="B33" s="246" t="s">
        <v>277</v>
      </c>
      <c r="C33" s="246"/>
      <c r="D33" s="246"/>
      <c r="E33" s="302">
        <f>SUM(E30:F32)</f>
        <v>1062392563</v>
      </c>
      <c r="F33" s="302"/>
      <c r="G33" s="252">
        <f>SUM(G30:H32)</f>
        <v>654157073</v>
      </c>
      <c r="H33" s="252"/>
    </row>
    <row r="34" spans="2:8" s="64" customFormat="1" ht="9.75" customHeight="1">
      <c r="B34" s="72"/>
      <c r="C34" s="66"/>
      <c r="D34" s="66"/>
      <c r="E34" s="66"/>
      <c r="F34" s="66"/>
      <c r="G34" s="67"/>
      <c r="H34" s="67"/>
    </row>
    <row r="35" spans="2:8" s="64" customFormat="1" ht="19.5" customHeight="1">
      <c r="B35" s="65" t="s">
        <v>546</v>
      </c>
      <c r="C35" s="66"/>
      <c r="D35" s="66"/>
      <c r="E35" s="66"/>
      <c r="F35" s="66"/>
      <c r="G35" s="67"/>
      <c r="H35" s="67"/>
    </row>
    <row r="36" spans="2:8" s="64" customFormat="1" ht="19.5" customHeight="1">
      <c r="B36" s="256" t="s">
        <v>284</v>
      </c>
      <c r="C36" s="258" t="s">
        <v>478</v>
      </c>
      <c r="D36" s="258" t="s">
        <v>473</v>
      </c>
      <c r="E36" s="258"/>
      <c r="F36" s="258" t="s">
        <v>472</v>
      </c>
      <c r="G36" s="257" t="s">
        <v>474</v>
      </c>
      <c r="H36" s="257" t="s">
        <v>285</v>
      </c>
    </row>
    <row r="37" spans="2:8" s="64" customFormat="1" ht="19.5" customHeight="1">
      <c r="B37" s="256"/>
      <c r="C37" s="258"/>
      <c r="D37" s="258"/>
      <c r="E37" s="258"/>
      <c r="F37" s="258"/>
      <c r="G37" s="257"/>
      <c r="H37" s="257"/>
    </row>
    <row r="38" spans="2:8" s="64" customFormat="1" ht="19.5" customHeight="1">
      <c r="B38" s="256"/>
      <c r="C38" s="258"/>
      <c r="D38" s="258"/>
      <c r="E38" s="258"/>
      <c r="F38" s="258"/>
      <c r="G38" s="257"/>
      <c r="H38" s="257"/>
    </row>
    <row r="39" spans="2:8" s="64" customFormat="1" ht="19.5" customHeight="1">
      <c r="B39" s="75" t="s">
        <v>286</v>
      </c>
      <c r="C39" s="76"/>
      <c r="D39" s="262"/>
      <c r="E39" s="262"/>
      <c r="F39" s="76"/>
      <c r="G39" s="77"/>
      <c r="H39" s="78"/>
    </row>
    <row r="40" spans="2:9" s="64" customFormat="1" ht="19.5" customHeight="1">
      <c r="B40" s="79" t="s">
        <v>390</v>
      </c>
      <c r="C40" s="169">
        <f>8563826118</f>
        <v>8563826118</v>
      </c>
      <c r="D40" s="259">
        <v>1542857142</v>
      </c>
      <c r="E40" s="259"/>
      <c r="F40" s="161">
        <f>3283595238</f>
        <v>3283595238</v>
      </c>
      <c r="G40" s="162">
        <v>93076264</v>
      </c>
      <c r="H40" s="162">
        <f>SUM(C40:G40)</f>
        <v>13483354762</v>
      </c>
      <c r="I40" s="71"/>
    </row>
    <row r="41" spans="2:8" s="64" customFormat="1" ht="19.5" customHeight="1">
      <c r="B41" s="79" t="s">
        <v>395</v>
      </c>
      <c r="C41" s="161">
        <f>'bcdsps tt me'!E31</f>
        <v>36000000</v>
      </c>
      <c r="D41" s="244"/>
      <c r="E41" s="244"/>
      <c r="F41" s="80"/>
      <c r="G41" s="81"/>
      <c r="H41" s="162">
        <f>SUM(C41:G41)</f>
        <v>36000000</v>
      </c>
    </row>
    <row r="42" spans="2:8" s="64" customFormat="1" ht="19.5" customHeight="1">
      <c r="B42" s="82" t="s">
        <v>287</v>
      </c>
      <c r="C42" s="80"/>
      <c r="D42" s="244"/>
      <c r="E42" s="244"/>
      <c r="F42" s="80"/>
      <c r="G42" s="81"/>
      <c r="H42" s="81">
        <f>SUM(C42:G42)</f>
        <v>0</v>
      </c>
    </row>
    <row r="43" spans="2:8" s="64" customFormat="1" ht="19.5" customHeight="1">
      <c r="B43" s="82" t="s">
        <v>288</v>
      </c>
      <c r="C43" s="80"/>
      <c r="D43" s="260"/>
      <c r="E43" s="261"/>
      <c r="F43" s="80"/>
      <c r="G43" s="81"/>
      <c r="H43" s="81">
        <f>C43</f>
        <v>0</v>
      </c>
    </row>
    <row r="44" spans="2:8" s="64" customFormat="1" ht="19.5" customHeight="1">
      <c r="B44" s="82" t="s">
        <v>289</v>
      </c>
      <c r="C44" s="80">
        <f>'bcdsps tt me'!E33</f>
        <v>0</v>
      </c>
      <c r="D44" s="244"/>
      <c r="E44" s="244"/>
      <c r="F44" s="69"/>
      <c r="G44" s="81"/>
      <c r="H44" s="81">
        <f>C44</f>
        <v>0</v>
      </c>
    </row>
    <row r="45" spans="2:8" s="65" customFormat="1" ht="19.5" customHeight="1">
      <c r="B45" s="170" t="s">
        <v>396</v>
      </c>
      <c r="C45" s="161">
        <f>C48</f>
        <v>0</v>
      </c>
      <c r="D45" s="259">
        <f>D48</f>
        <v>0</v>
      </c>
      <c r="E45" s="259"/>
      <c r="F45" s="160">
        <f>F48</f>
        <v>0</v>
      </c>
      <c r="G45" s="162">
        <f>G48</f>
        <v>0</v>
      </c>
      <c r="H45" s="162">
        <f>SUM(C45:G45)</f>
        <v>0</v>
      </c>
    </row>
    <row r="46" spans="2:8" s="64" customFormat="1" ht="19.5" customHeight="1">
      <c r="B46" s="82" t="s">
        <v>290</v>
      </c>
      <c r="C46" s="80"/>
      <c r="D46" s="244"/>
      <c r="E46" s="244"/>
      <c r="F46" s="80"/>
      <c r="G46" s="81"/>
      <c r="H46" s="81"/>
    </row>
    <row r="47" spans="2:9" s="64" customFormat="1" ht="19.5" customHeight="1">
      <c r="B47" s="82" t="s">
        <v>471</v>
      </c>
      <c r="C47" s="80"/>
      <c r="D47" s="244"/>
      <c r="E47" s="244"/>
      <c r="F47" s="80"/>
      <c r="G47" s="81"/>
      <c r="H47" s="81">
        <f>F47</f>
        <v>0</v>
      </c>
      <c r="I47" s="71"/>
    </row>
    <row r="48" spans="2:8" s="64" customFormat="1" ht="19.5" customHeight="1">
      <c r="B48" s="82" t="s">
        <v>487</v>
      </c>
      <c r="C48" s="149">
        <f>'bcdsps tt me'!F33</f>
        <v>0</v>
      </c>
      <c r="D48" s="263"/>
      <c r="E48" s="263"/>
      <c r="F48" s="149">
        <f>'bcdsps tt me'!F32</f>
        <v>0</v>
      </c>
      <c r="G48" s="150"/>
      <c r="H48" s="81">
        <f>SUM(C48:G48)</f>
        <v>0</v>
      </c>
    </row>
    <row r="49" spans="2:8" s="64" customFormat="1" ht="19.5" customHeight="1">
      <c r="B49" s="82" t="s">
        <v>475</v>
      </c>
      <c r="C49" s="80"/>
      <c r="D49" s="244"/>
      <c r="E49" s="244"/>
      <c r="F49" s="80"/>
      <c r="G49" s="81"/>
      <c r="H49" s="81">
        <f>SUM(C49:G49)</f>
        <v>0</v>
      </c>
    </row>
    <row r="50" spans="2:8" s="64" customFormat="1" ht="19.5" customHeight="1">
      <c r="B50" s="79" t="s">
        <v>6</v>
      </c>
      <c r="C50" s="163">
        <f>C40+C41-C48</f>
        <v>8599826118</v>
      </c>
      <c r="D50" s="259">
        <f>D40+D41-D45</f>
        <v>1542857142</v>
      </c>
      <c r="E50" s="259"/>
      <c r="F50" s="161">
        <f>F40+F41-F45</f>
        <v>3283595238</v>
      </c>
      <c r="G50" s="161">
        <f>G40+G41-G45</f>
        <v>93076264</v>
      </c>
      <c r="H50" s="161">
        <f>H40+H41-H45</f>
        <v>13519354762</v>
      </c>
    </row>
    <row r="51" spans="2:8" s="64" customFormat="1" ht="33" customHeight="1">
      <c r="B51" s="84" t="s">
        <v>291</v>
      </c>
      <c r="C51" s="80"/>
      <c r="D51" s="244"/>
      <c r="E51" s="244"/>
      <c r="F51" s="80"/>
      <c r="G51" s="80"/>
      <c r="H51" s="81"/>
    </row>
    <row r="52" spans="2:8" s="64" customFormat="1" ht="19.5" customHeight="1">
      <c r="B52" s="79" t="s">
        <v>391</v>
      </c>
      <c r="C52" s="80">
        <f>983363385</f>
        <v>983363385</v>
      </c>
      <c r="D52" s="244">
        <v>1213219528</v>
      </c>
      <c r="E52" s="244"/>
      <c r="F52" s="80">
        <f>716567201</f>
        <v>716567201</v>
      </c>
      <c r="G52" s="81">
        <v>58076264</v>
      </c>
      <c r="H52" s="162">
        <f>C52+D52+F52+G52</f>
        <v>2971226378</v>
      </c>
    </row>
    <row r="53" spans="2:9" s="64" customFormat="1" ht="19.5" customHeight="1">
      <c r="B53" s="79" t="s">
        <v>397</v>
      </c>
      <c r="C53" s="80">
        <f>169793886+91150615</f>
        <v>260944501</v>
      </c>
      <c r="D53" s="244"/>
      <c r="E53" s="244"/>
      <c r="F53" s="80">
        <f>'bcdsps tt me'!F37+71657682+164334153+1</f>
        <v>235991836</v>
      </c>
      <c r="G53" s="81"/>
      <c r="H53" s="81">
        <f>C53+D53+F53+G53</f>
        <v>496936337</v>
      </c>
      <c r="I53" s="71"/>
    </row>
    <row r="54" spans="2:9" s="64" customFormat="1" ht="19.5" customHeight="1">
      <c r="B54" s="79" t="s">
        <v>398</v>
      </c>
      <c r="C54" s="80">
        <v>970928631</v>
      </c>
      <c r="D54" s="244"/>
      <c r="E54" s="244"/>
      <c r="F54" s="171">
        <f>665758338</f>
        <v>665758338</v>
      </c>
      <c r="G54" s="81"/>
      <c r="H54" s="81">
        <f>C54+D54+F54+G54</f>
        <v>1636686969</v>
      </c>
      <c r="I54" s="71"/>
    </row>
    <row r="55" spans="2:8" s="64" customFormat="1" ht="19.5" customHeight="1">
      <c r="B55" s="79" t="s">
        <v>6</v>
      </c>
      <c r="C55" s="80">
        <f>C52+C53-C54</f>
        <v>273379255</v>
      </c>
      <c r="D55" s="244">
        <f>D52+D53-D54</f>
        <v>1213219528</v>
      </c>
      <c r="E55" s="244"/>
      <c r="F55" s="80">
        <f>F52+F53-F54</f>
        <v>286800699</v>
      </c>
      <c r="G55" s="80">
        <f>G52+G53-G54</f>
        <v>58076264</v>
      </c>
      <c r="H55" s="81">
        <f>H52+H53-H54</f>
        <v>1831475746</v>
      </c>
    </row>
    <row r="56" spans="2:9" s="64" customFormat="1" ht="19.5" customHeight="1">
      <c r="B56" s="75" t="s">
        <v>292</v>
      </c>
      <c r="C56" s="80"/>
      <c r="D56" s="244"/>
      <c r="E56" s="244"/>
      <c r="F56" s="80"/>
      <c r="G56" s="81"/>
      <c r="H56" s="81"/>
      <c r="I56" s="71"/>
    </row>
    <row r="57" spans="2:8" s="64" customFormat="1" ht="19.5" customHeight="1">
      <c r="B57" s="75" t="s">
        <v>293</v>
      </c>
      <c r="C57" s="80"/>
      <c r="D57" s="244"/>
      <c r="E57" s="244"/>
      <c r="F57" s="80"/>
      <c r="G57" s="81"/>
      <c r="H57" s="81"/>
    </row>
    <row r="58" spans="2:8" s="64" customFormat="1" ht="19.5" customHeight="1">
      <c r="B58" s="79" t="s">
        <v>316</v>
      </c>
      <c r="C58" s="80">
        <f>C40-C52</f>
        <v>7580462733</v>
      </c>
      <c r="D58" s="244">
        <f>D40-D52</f>
        <v>329637614</v>
      </c>
      <c r="E58" s="244"/>
      <c r="F58" s="80">
        <f>F40-F52</f>
        <v>2567028037</v>
      </c>
      <c r="G58" s="81">
        <f>G40-G52</f>
        <v>35000000</v>
      </c>
      <c r="H58" s="162">
        <f>C58+D58+F58+G58</f>
        <v>10512128384</v>
      </c>
    </row>
    <row r="59" spans="2:8" s="64" customFormat="1" ht="19.5" customHeight="1">
      <c r="B59" s="79" t="s">
        <v>470</v>
      </c>
      <c r="C59" s="80">
        <f>C50-C55-C54</f>
        <v>7355518232</v>
      </c>
      <c r="D59" s="260">
        <f>D50-D55</f>
        <v>329637614</v>
      </c>
      <c r="E59" s="261"/>
      <c r="F59" s="80">
        <f>F50-F55-F54</f>
        <v>2331036201</v>
      </c>
      <c r="G59" s="80">
        <f>G50-G55</f>
        <v>35000000</v>
      </c>
      <c r="H59" s="162">
        <f>C59+D59+F59+G59</f>
        <v>10051192047</v>
      </c>
    </row>
    <row r="60" spans="2:8" s="64" customFormat="1" ht="19.5" customHeight="1">
      <c r="B60" s="82" t="s">
        <v>294</v>
      </c>
      <c r="C60" s="80"/>
      <c r="D60" s="244"/>
      <c r="E60" s="244"/>
      <c r="F60" s="80"/>
      <c r="G60" s="81"/>
      <c r="H60" s="81"/>
    </row>
    <row r="61" spans="2:8" s="64" customFormat="1" ht="19.5" customHeight="1">
      <c r="B61" s="82" t="s">
        <v>295</v>
      </c>
      <c r="C61" s="80"/>
      <c r="D61" s="244"/>
      <c r="E61" s="244"/>
      <c r="F61" s="80"/>
      <c r="G61" s="81"/>
      <c r="H61" s="81"/>
    </row>
    <row r="62" spans="2:8" s="64" customFormat="1" ht="19.5" customHeight="1">
      <c r="B62" s="82" t="s">
        <v>296</v>
      </c>
      <c r="C62" s="80"/>
      <c r="D62" s="244"/>
      <c r="E62" s="244"/>
      <c r="F62" s="80"/>
      <c r="G62" s="81"/>
      <c r="H62" s="81"/>
    </row>
    <row r="63" spans="2:8" s="64" customFormat="1" ht="19.5" customHeight="1">
      <c r="B63" s="82" t="s">
        <v>297</v>
      </c>
      <c r="C63" s="80"/>
      <c r="D63" s="244"/>
      <c r="E63" s="244"/>
      <c r="F63" s="80"/>
      <c r="G63" s="81"/>
      <c r="H63" s="81"/>
    </row>
    <row r="64" spans="2:8" s="64" customFormat="1" ht="19.5" customHeight="1">
      <c r="B64" s="82" t="s">
        <v>298</v>
      </c>
      <c r="C64" s="80"/>
      <c r="D64" s="244"/>
      <c r="E64" s="244"/>
      <c r="F64" s="80"/>
      <c r="G64" s="81"/>
      <c r="H64" s="81"/>
    </row>
    <row r="65" spans="3:8" s="64" customFormat="1" ht="15" customHeight="1">
      <c r="C65" s="66"/>
      <c r="D65" s="66"/>
      <c r="E65" s="66"/>
      <c r="F65" s="66"/>
      <c r="G65" s="67"/>
      <c r="H65" s="67"/>
    </row>
    <row r="66" spans="2:8" s="64" customFormat="1" ht="19.5" customHeight="1">
      <c r="B66" s="65" t="s">
        <v>549</v>
      </c>
      <c r="C66" s="66"/>
      <c r="D66" s="66"/>
      <c r="E66" s="66"/>
      <c r="F66" s="66"/>
      <c r="G66" s="67"/>
      <c r="H66" s="67"/>
    </row>
    <row r="67" spans="2:8" s="64" customFormat="1" ht="19.5" customHeight="1">
      <c r="B67" s="264" t="s">
        <v>284</v>
      </c>
      <c r="C67" s="264" t="s">
        <v>299</v>
      </c>
      <c r="D67" s="264" t="s">
        <v>300</v>
      </c>
      <c r="E67" s="264" t="s">
        <v>301</v>
      </c>
      <c r="F67" s="264" t="s">
        <v>302</v>
      </c>
      <c r="G67" s="268" t="s">
        <v>303</v>
      </c>
      <c r="H67" s="268" t="s">
        <v>285</v>
      </c>
    </row>
    <row r="68" spans="2:8" s="64" customFormat="1" ht="19.5" customHeight="1">
      <c r="B68" s="264"/>
      <c r="C68" s="264" t="s">
        <v>304</v>
      </c>
      <c r="D68" s="264" t="s">
        <v>305</v>
      </c>
      <c r="E68" s="264" t="s">
        <v>306</v>
      </c>
      <c r="F68" s="264" t="s">
        <v>307</v>
      </c>
      <c r="G68" s="268" t="s">
        <v>308</v>
      </c>
      <c r="H68" s="268" t="s">
        <v>285</v>
      </c>
    </row>
    <row r="69" spans="2:8" s="64" customFormat="1" ht="19.5" customHeight="1">
      <c r="B69" s="264"/>
      <c r="C69" s="264"/>
      <c r="D69" s="264"/>
      <c r="E69" s="264"/>
      <c r="F69" s="264"/>
      <c r="G69" s="268" t="s">
        <v>309</v>
      </c>
      <c r="H69" s="268"/>
    </row>
    <row r="70" spans="2:8" s="64" customFormat="1" ht="28.5" customHeight="1">
      <c r="B70" s="84" t="s">
        <v>310</v>
      </c>
      <c r="C70" s="80">
        <f>C71</f>
        <v>112752000</v>
      </c>
      <c r="D70" s="80"/>
      <c r="E70" s="85">
        <f>E71</f>
        <v>0</v>
      </c>
      <c r="F70" s="86"/>
      <c r="G70" s="81"/>
      <c r="H70" s="81">
        <f aca="true" t="shared" si="0" ref="H70:H76">SUM(C70:G70)</f>
        <v>112752000</v>
      </c>
    </row>
    <row r="71" spans="2:8" s="64" customFormat="1" ht="19.5" customHeight="1">
      <c r="B71" s="79" t="s">
        <v>390</v>
      </c>
      <c r="C71" s="80">
        <v>112752000</v>
      </c>
      <c r="D71" s="80"/>
      <c r="E71" s="87"/>
      <c r="F71" s="88"/>
      <c r="G71" s="81"/>
      <c r="H71" s="81">
        <f t="shared" si="0"/>
        <v>112752000</v>
      </c>
    </row>
    <row r="72" spans="2:8" s="64" customFormat="1" ht="19.5" customHeight="1">
      <c r="B72" s="79" t="s">
        <v>395</v>
      </c>
      <c r="C72" s="80"/>
      <c r="D72" s="80"/>
      <c r="E72" s="80">
        <f>E74</f>
        <v>0</v>
      </c>
      <c r="F72" s="80"/>
      <c r="G72" s="81"/>
      <c r="H72" s="81">
        <f t="shared" si="0"/>
        <v>0</v>
      </c>
    </row>
    <row r="73" spans="2:8" s="64" customFormat="1" ht="19.5" customHeight="1">
      <c r="B73" s="82" t="s">
        <v>294</v>
      </c>
      <c r="C73" s="80"/>
      <c r="D73" s="80"/>
      <c r="E73" s="80"/>
      <c r="F73" s="80"/>
      <c r="G73" s="81"/>
      <c r="H73" s="81">
        <f t="shared" si="0"/>
        <v>0</v>
      </c>
    </row>
    <row r="74" spans="2:8" s="64" customFormat="1" ht="19.5" customHeight="1">
      <c r="B74" s="82" t="s">
        <v>399</v>
      </c>
      <c r="C74" s="80"/>
      <c r="D74" s="80"/>
      <c r="E74" s="80"/>
      <c r="F74" s="80"/>
      <c r="G74" s="81"/>
      <c r="H74" s="81">
        <f t="shared" si="0"/>
        <v>0</v>
      </c>
    </row>
    <row r="75" spans="2:8" s="64" customFormat="1" ht="19.5" customHeight="1">
      <c r="B75" s="82" t="s">
        <v>311</v>
      </c>
      <c r="C75" s="80"/>
      <c r="D75" s="80"/>
      <c r="E75" s="80"/>
      <c r="F75" s="80"/>
      <c r="G75" s="81"/>
      <c r="H75" s="81">
        <f t="shared" si="0"/>
        <v>0</v>
      </c>
    </row>
    <row r="76" spans="2:8" s="64" customFormat="1" ht="19.5" customHeight="1">
      <c r="B76" s="79" t="s">
        <v>396</v>
      </c>
      <c r="C76" s="80"/>
      <c r="D76" s="80"/>
      <c r="E76" s="80"/>
      <c r="F76" s="80"/>
      <c r="G76" s="81"/>
      <c r="H76" s="81">
        <f t="shared" si="0"/>
        <v>0</v>
      </c>
    </row>
    <row r="77" spans="2:8" s="64" customFormat="1" ht="19.5" customHeight="1">
      <c r="B77" s="82" t="s">
        <v>294</v>
      </c>
      <c r="C77" s="80"/>
      <c r="D77" s="80"/>
      <c r="E77" s="80"/>
      <c r="F77" s="80"/>
      <c r="G77" s="81"/>
      <c r="H77" s="81"/>
    </row>
    <row r="78" spans="2:8" s="64" customFormat="1" ht="19.5" customHeight="1">
      <c r="B78" s="82" t="s">
        <v>312</v>
      </c>
      <c r="C78" s="80"/>
      <c r="D78" s="80"/>
      <c r="E78" s="80"/>
      <c r="F78" s="80"/>
      <c r="G78" s="81"/>
      <c r="H78" s="81"/>
    </row>
    <row r="79" spans="2:8" s="64" customFormat="1" ht="19.5" customHeight="1">
      <c r="B79" s="82" t="s">
        <v>313</v>
      </c>
      <c r="C79" s="80"/>
      <c r="D79" s="80"/>
      <c r="E79" s="80"/>
      <c r="F79" s="80"/>
      <c r="G79" s="81"/>
      <c r="H79" s="81"/>
    </row>
    <row r="80" spans="2:8" s="64" customFormat="1" ht="19.5" customHeight="1">
      <c r="B80" s="79" t="s">
        <v>463</v>
      </c>
      <c r="C80" s="80">
        <f>C71</f>
        <v>112752000</v>
      </c>
      <c r="D80" s="80"/>
      <c r="E80" s="80">
        <f>E71-E79</f>
        <v>0</v>
      </c>
      <c r="F80" s="80"/>
      <c r="G80" s="81"/>
      <c r="H80" s="81">
        <f aca="true" t="shared" si="1" ref="H80:H85">SUM(C80:G80)</f>
        <v>112752000</v>
      </c>
    </row>
    <row r="81" spans="2:8" s="64" customFormat="1" ht="31.5" customHeight="1">
      <c r="B81" s="84" t="s">
        <v>314</v>
      </c>
      <c r="C81" s="80">
        <f>C82+C83</f>
        <v>41467549</v>
      </c>
      <c r="D81" s="80"/>
      <c r="E81" s="80">
        <f>E82+E83</f>
        <v>0</v>
      </c>
      <c r="F81" s="80"/>
      <c r="G81" s="81"/>
      <c r="H81" s="81">
        <f t="shared" si="1"/>
        <v>41467549</v>
      </c>
    </row>
    <row r="82" spans="2:8" s="64" customFormat="1" ht="19.5" customHeight="1">
      <c r="B82" s="79" t="s">
        <v>390</v>
      </c>
      <c r="C82" s="80">
        <f>'bcdps hop nhat'!D38</f>
        <v>34847707</v>
      </c>
      <c r="D82" s="80"/>
      <c r="E82" s="80"/>
      <c r="F82" s="80"/>
      <c r="G82" s="81"/>
      <c r="H82" s="81">
        <f t="shared" si="1"/>
        <v>34847707</v>
      </c>
    </row>
    <row r="83" spans="2:8" s="64" customFormat="1" ht="19.5" customHeight="1">
      <c r="B83" s="79" t="s">
        <v>400</v>
      </c>
      <c r="C83" s="80">
        <f>'bcdps hop nhat'!F38</f>
        <v>6619842</v>
      </c>
      <c r="D83" s="80"/>
      <c r="E83" s="80"/>
      <c r="F83" s="80"/>
      <c r="G83" s="81"/>
      <c r="H83" s="81">
        <f t="shared" si="1"/>
        <v>6619842</v>
      </c>
    </row>
    <row r="84" spans="2:9" s="64" customFormat="1" ht="19.5" customHeight="1">
      <c r="B84" s="79" t="s">
        <v>396</v>
      </c>
      <c r="C84" s="80"/>
      <c r="D84" s="80"/>
      <c r="E84" s="80"/>
      <c r="F84" s="80"/>
      <c r="G84" s="81"/>
      <c r="H84" s="81">
        <f t="shared" si="1"/>
        <v>0</v>
      </c>
      <c r="I84" s="71"/>
    </row>
    <row r="85" spans="2:8" s="64" customFormat="1" ht="19.5" customHeight="1">
      <c r="B85" s="79" t="s">
        <v>463</v>
      </c>
      <c r="C85" s="80">
        <f>C82+C83</f>
        <v>41467549</v>
      </c>
      <c r="D85" s="80"/>
      <c r="E85" s="80"/>
      <c r="F85" s="80"/>
      <c r="G85" s="81"/>
      <c r="H85" s="81">
        <f t="shared" si="1"/>
        <v>41467549</v>
      </c>
    </row>
    <row r="86" spans="2:8" s="64" customFormat="1" ht="19.5" customHeight="1">
      <c r="B86" s="75" t="s">
        <v>315</v>
      </c>
      <c r="C86" s="80"/>
      <c r="D86" s="80"/>
      <c r="E86" s="80"/>
      <c r="F86" s="80"/>
      <c r="G86" s="81"/>
      <c r="H86" s="81"/>
    </row>
    <row r="87" spans="2:8" s="64" customFormat="1" ht="19.5" customHeight="1">
      <c r="B87" s="75" t="s">
        <v>308</v>
      </c>
      <c r="C87" s="80"/>
      <c r="D87" s="80"/>
      <c r="E87" s="80"/>
      <c r="F87" s="80"/>
      <c r="G87" s="81"/>
      <c r="H87" s="81"/>
    </row>
    <row r="88" spans="2:8" s="64" customFormat="1" ht="19.5" customHeight="1">
      <c r="B88" s="79" t="s">
        <v>316</v>
      </c>
      <c r="C88" s="80">
        <f>C71-C82</f>
        <v>77904293</v>
      </c>
      <c r="D88" s="80"/>
      <c r="E88" s="80">
        <f>E71-E82</f>
        <v>0</v>
      </c>
      <c r="F88" s="80"/>
      <c r="G88" s="81"/>
      <c r="H88" s="81">
        <f>SUM(C88:G88)</f>
        <v>77904293</v>
      </c>
    </row>
    <row r="89" spans="2:8" s="64" customFormat="1" ht="19.5" customHeight="1">
      <c r="B89" s="79" t="s">
        <v>464</v>
      </c>
      <c r="C89" s="80">
        <f>C80-C85</f>
        <v>71284451</v>
      </c>
      <c r="D89" s="80"/>
      <c r="E89" s="80">
        <v>0</v>
      </c>
      <c r="F89" s="80"/>
      <c r="G89" s="81"/>
      <c r="H89" s="81">
        <f>SUM(C89:G89)</f>
        <v>71284451</v>
      </c>
    </row>
    <row r="90" spans="2:8" s="64" customFormat="1" ht="12" customHeight="1">
      <c r="B90" s="202"/>
      <c r="C90" s="203"/>
      <c r="D90" s="203"/>
      <c r="E90" s="203"/>
      <c r="F90" s="203"/>
      <c r="G90" s="204"/>
      <c r="H90" s="204"/>
    </row>
    <row r="91" spans="2:8" s="64" customFormat="1" ht="19.5" customHeight="1">
      <c r="B91" s="65" t="s">
        <v>550</v>
      </c>
      <c r="C91" s="66"/>
      <c r="D91" s="66"/>
      <c r="E91" s="89"/>
      <c r="F91" s="66"/>
      <c r="G91" s="90"/>
      <c r="H91" s="90"/>
    </row>
    <row r="92" spans="2:8" s="64" customFormat="1" ht="42.75" customHeight="1">
      <c r="B92" s="73" t="s">
        <v>284</v>
      </c>
      <c r="C92" s="73" t="s">
        <v>317</v>
      </c>
      <c r="D92" s="73"/>
      <c r="E92" s="91"/>
      <c r="F92" s="73" t="s">
        <v>302</v>
      </c>
      <c r="G92" s="74" t="s">
        <v>303</v>
      </c>
      <c r="H92" s="74" t="s">
        <v>318</v>
      </c>
    </row>
    <row r="93" spans="2:8" s="64" customFormat="1" ht="19.5" customHeight="1">
      <c r="B93" s="79" t="s">
        <v>392</v>
      </c>
      <c r="C93" s="80"/>
      <c r="D93" s="80"/>
      <c r="E93" s="80"/>
      <c r="F93" s="80"/>
      <c r="G93" s="81"/>
      <c r="H93" s="81">
        <f>C93</f>
        <v>0</v>
      </c>
    </row>
    <row r="94" spans="2:8" s="64" customFormat="1" ht="19.5" customHeight="1">
      <c r="B94" s="79" t="s">
        <v>401</v>
      </c>
      <c r="C94" s="80">
        <f>'[1]Sheet1'!E53</f>
        <v>0</v>
      </c>
      <c r="D94" s="80"/>
      <c r="E94" s="80"/>
      <c r="F94" s="80"/>
      <c r="G94" s="81"/>
      <c r="H94" s="81">
        <f>C94</f>
        <v>0</v>
      </c>
    </row>
    <row r="95" spans="2:8" s="64" customFormat="1" ht="19.5" customHeight="1">
      <c r="B95" s="79" t="s">
        <v>402</v>
      </c>
      <c r="C95" s="80">
        <f>C93</f>
        <v>0</v>
      </c>
      <c r="D95" s="80"/>
      <c r="E95" s="80"/>
      <c r="F95" s="80"/>
      <c r="G95" s="81"/>
      <c r="H95" s="81">
        <f>C95</f>
        <v>0</v>
      </c>
    </row>
    <row r="96" spans="2:8" s="64" customFormat="1" ht="19.5" customHeight="1">
      <c r="B96" s="79" t="s">
        <v>403</v>
      </c>
      <c r="C96" s="80">
        <f>C93+C94-C95</f>
        <v>0</v>
      </c>
      <c r="D96" s="80"/>
      <c r="E96" s="80"/>
      <c r="F96" s="80"/>
      <c r="G96" s="81"/>
      <c r="H96" s="81">
        <f>C96</f>
        <v>0</v>
      </c>
    </row>
    <row r="97" spans="2:8" s="64" customFormat="1" ht="19.5" customHeight="1">
      <c r="B97" s="79"/>
      <c r="C97" s="80"/>
      <c r="D97" s="80"/>
      <c r="E97" s="80"/>
      <c r="F97" s="80"/>
      <c r="G97" s="81"/>
      <c r="H97" s="81"/>
    </row>
    <row r="98" spans="3:8" s="64" customFormat="1" ht="13.5" customHeight="1">
      <c r="C98" s="66"/>
      <c r="D98" s="66"/>
      <c r="E98" s="66"/>
      <c r="F98" s="66"/>
      <c r="G98" s="67"/>
      <c r="H98" s="67"/>
    </row>
    <row r="99" spans="2:8" s="64" customFormat="1" ht="38.25" customHeight="1">
      <c r="B99" s="265" t="s">
        <v>551</v>
      </c>
      <c r="C99" s="266"/>
      <c r="D99" s="267"/>
      <c r="E99" s="262" t="s">
        <v>393</v>
      </c>
      <c r="F99" s="262"/>
      <c r="G99" s="269" t="s">
        <v>465</v>
      </c>
      <c r="H99" s="270"/>
    </row>
    <row r="100" spans="2:8" s="64" customFormat="1" ht="19.5" customHeight="1">
      <c r="B100" s="92" t="s">
        <v>319</v>
      </c>
      <c r="C100" s="93"/>
      <c r="D100" s="94"/>
      <c r="E100" s="273"/>
      <c r="F100" s="273"/>
      <c r="G100" s="274"/>
      <c r="H100" s="274"/>
    </row>
    <row r="101" spans="2:8" s="64" customFormat="1" ht="19.5" customHeight="1">
      <c r="B101" s="95" t="s">
        <v>320</v>
      </c>
      <c r="C101" s="96"/>
      <c r="D101" s="97"/>
      <c r="E101" s="271"/>
      <c r="F101" s="271"/>
      <c r="G101" s="272"/>
      <c r="H101" s="272"/>
    </row>
    <row r="102" spans="2:8" s="64" customFormat="1" ht="19.5" customHeight="1">
      <c r="B102" s="95" t="s">
        <v>321</v>
      </c>
      <c r="C102" s="96"/>
      <c r="D102" s="97"/>
      <c r="E102" s="271"/>
      <c r="F102" s="271"/>
      <c r="G102" s="272"/>
      <c r="H102" s="272"/>
    </row>
    <row r="103" spans="2:8" s="64" customFormat="1" ht="19.5" customHeight="1">
      <c r="B103" s="98" t="s">
        <v>322</v>
      </c>
      <c r="C103" s="96"/>
      <c r="D103" s="97"/>
      <c r="E103" s="271"/>
      <c r="F103" s="271"/>
      <c r="G103" s="272"/>
      <c r="H103" s="272"/>
    </row>
    <row r="104" spans="2:8" s="64" customFormat="1" ht="19.5" customHeight="1">
      <c r="B104" s="95" t="s">
        <v>323</v>
      </c>
      <c r="C104" s="96"/>
      <c r="D104" s="97"/>
      <c r="E104" s="271"/>
      <c r="F104" s="271"/>
      <c r="G104" s="272"/>
      <c r="H104" s="272"/>
    </row>
    <row r="105" spans="2:8" s="64" customFormat="1" ht="19.5" customHeight="1">
      <c r="B105" s="95" t="s">
        <v>486</v>
      </c>
      <c r="C105" s="96"/>
      <c r="D105" s="97"/>
      <c r="E105" s="271"/>
      <c r="F105" s="271"/>
      <c r="G105" s="272"/>
      <c r="H105" s="272"/>
    </row>
    <row r="106" spans="2:8" s="64" customFormat="1" ht="19.5" customHeight="1">
      <c r="B106" s="99" t="s">
        <v>324</v>
      </c>
      <c r="C106" s="100"/>
      <c r="D106" s="101"/>
      <c r="E106" s="275"/>
      <c r="F106" s="275"/>
      <c r="G106" s="276"/>
      <c r="H106" s="276"/>
    </row>
    <row r="107" spans="2:8" s="64" customFormat="1" ht="19.5" customHeight="1">
      <c r="B107" s="309" t="s">
        <v>277</v>
      </c>
      <c r="C107" s="310"/>
      <c r="D107" s="311"/>
      <c r="E107" s="241">
        <f>E105</f>
        <v>0</v>
      </c>
      <c r="F107" s="241"/>
      <c r="G107" s="242">
        <f>G105</f>
        <v>0</v>
      </c>
      <c r="H107" s="242"/>
    </row>
    <row r="108" spans="2:8" s="64" customFormat="1" ht="19.5" customHeight="1">
      <c r="B108" s="205"/>
      <c r="C108" s="205"/>
      <c r="D108" s="205"/>
      <c r="E108" s="206"/>
      <c r="F108" s="206"/>
      <c r="G108" s="207"/>
      <c r="H108" s="207"/>
    </row>
    <row r="109" spans="2:8" s="64" customFormat="1" ht="19.5" customHeight="1">
      <c r="B109" s="305" t="s">
        <v>552</v>
      </c>
      <c r="C109" s="305"/>
      <c r="D109" s="305"/>
      <c r="E109" s="306" t="s">
        <v>393</v>
      </c>
      <c r="F109" s="306"/>
      <c r="G109" s="307" t="s">
        <v>465</v>
      </c>
      <c r="H109" s="308"/>
    </row>
    <row r="110" spans="2:8" s="64" customFormat="1" ht="19.5" customHeight="1">
      <c r="B110" s="312" t="s">
        <v>553</v>
      </c>
      <c r="C110" s="312"/>
      <c r="D110" s="312"/>
      <c r="E110" s="313">
        <f>BCDKT!E66</f>
        <v>7300000000</v>
      </c>
      <c r="F110" s="313"/>
      <c r="G110" s="314">
        <f>BCDKT!D66</f>
        <v>11150000000</v>
      </c>
      <c r="H110" s="314"/>
    </row>
    <row r="111" spans="2:8" s="64" customFormat="1" ht="19.5" customHeight="1">
      <c r="B111" s="315" t="s">
        <v>554</v>
      </c>
      <c r="C111" s="316"/>
      <c r="D111" s="317"/>
      <c r="E111" s="318">
        <f>BCDKT!E67</f>
        <v>18786086828</v>
      </c>
      <c r="F111" s="318"/>
      <c r="G111" s="319">
        <f>BCDKT!D67</f>
        <v>8834862618</v>
      </c>
      <c r="H111" s="319"/>
    </row>
    <row r="112" spans="2:8" s="64" customFormat="1" ht="19.5" customHeight="1">
      <c r="B112" s="315" t="s">
        <v>555</v>
      </c>
      <c r="C112" s="316"/>
      <c r="D112" s="317"/>
      <c r="E112" s="318">
        <f>BCDKT!E68</f>
        <v>725328000</v>
      </c>
      <c r="F112" s="318"/>
      <c r="G112" s="319">
        <f>BCDKT!D68</f>
        <v>352968000</v>
      </c>
      <c r="H112" s="319"/>
    </row>
    <row r="113" spans="2:8" s="64" customFormat="1" ht="19.5" customHeight="1">
      <c r="B113" s="315" t="s">
        <v>556</v>
      </c>
      <c r="C113" s="316"/>
      <c r="D113" s="317"/>
      <c r="E113" s="318">
        <f>BCDKT!E69</f>
        <v>132857275</v>
      </c>
      <c r="F113" s="318"/>
      <c r="G113" s="319">
        <f>BCDKT!D69</f>
        <v>47502025</v>
      </c>
      <c r="H113" s="319"/>
    </row>
    <row r="114" spans="2:8" s="64" customFormat="1" ht="19.5" customHeight="1">
      <c r="B114" s="315" t="s">
        <v>557</v>
      </c>
      <c r="C114" s="316"/>
      <c r="D114" s="317"/>
      <c r="E114" s="318">
        <f>BCDKT!E74</f>
        <v>412986198</v>
      </c>
      <c r="F114" s="318"/>
      <c r="G114" s="319">
        <f>BCDKT!D74</f>
        <v>212986197</v>
      </c>
      <c r="H114" s="319"/>
    </row>
    <row r="115" spans="2:8" s="64" customFormat="1" ht="30.75" customHeight="1">
      <c r="B115" s="320" t="s">
        <v>558</v>
      </c>
      <c r="C115" s="321"/>
      <c r="D115" s="322"/>
      <c r="E115" s="318"/>
      <c r="F115" s="318"/>
      <c r="G115" s="319"/>
      <c r="H115" s="319"/>
    </row>
    <row r="116" spans="2:8" s="64" customFormat="1" ht="19.5" customHeight="1">
      <c r="B116" s="309" t="s">
        <v>277</v>
      </c>
      <c r="C116" s="310"/>
      <c r="D116" s="311"/>
      <c r="E116" s="300">
        <f>SUM(E110:F115)</f>
        <v>27357258301</v>
      </c>
      <c r="F116" s="300"/>
      <c r="G116" s="300">
        <f>SUM(G110:H115)</f>
        <v>20598318840</v>
      </c>
      <c r="H116" s="300"/>
    </row>
    <row r="117" spans="2:8" s="64" customFormat="1" ht="19.5" customHeight="1">
      <c r="B117" s="72"/>
      <c r="C117" s="66"/>
      <c r="D117" s="66"/>
      <c r="E117" s="66"/>
      <c r="F117" s="66"/>
      <c r="G117" s="67"/>
      <c r="H117" s="67"/>
    </row>
    <row r="118" spans="2:8" s="64" customFormat="1" ht="19.5" customHeight="1">
      <c r="B118" s="208" t="s">
        <v>564</v>
      </c>
      <c r="C118" s="102"/>
      <c r="D118" s="103"/>
      <c r="E118" s="262" t="s">
        <v>393</v>
      </c>
      <c r="F118" s="262"/>
      <c r="G118" s="277" t="s">
        <v>465</v>
      </c>
      <c r="H118" s="277"/>
    </row>
    <row r="119" spans="2:8" s="64" customFormat="1" ht="19.5" customHeight="1">
      <c r="B119" s="253" t="s">
        <v>325</v>
      </c>
      <c r="C119" s="254"/>
      <c r="D119" s="255"/>
      <c r="E119" s="244">
        <f>'bcdsps tt me'!D49</f>
        <v>0</v>
      </c>
      <c r="F119" s="244"/>
      <c r="G119" s="245"/>
      <c r="H119" s="245"/>
    </row>
    <row r="120" spans="2:8" s="64" customFormat="1" ht="19.5" customHeight="1">
      <c r="B120" s="253" t="s">
        <v>326</v>
      </c>
      <c r="C120" s="254"/>
      <c r="D120" s="255"/>
      <c r="E120" s="244"/>
      <c r="F120" s="244"/>
      <c r="G120" s="245"/>
      <c r="H120" s="245"/>
    </row>
    <row r="121" spans="2:8" s="64" customFormat="1" ht="19.5" customHeight="1">
      <c r="B121" s="253" t="s">
        <v>327</v>
      </c>
      <c r="C121" s="254"/>
      <c r="D121" s="255"/>
      <c r="E121" s="244"/>
      <c r="F121" s="244"/>
      <c r="G121" s="245"/>
      <c r="H121" s="245"/>
    </row>
    <row r="122" spans="2:8" s="64" customFormat="1" ht="28.5" customHeight="1">
      <c r="B122" s="278" t="s">
        <v>328</v>
      </c>
      <c r="C122" s="279"/>
      <c r="D122" s="280"/>
      <c r="E122" s="244">
        <f>'bcdps hop nhat'!D46</f>
        <v>132857275</v>
      </c>
      <c r="F122" s="244"/>
      <c r="G122" s="245">
        <f>'bcdps hop nhat'!H46</f>
        <v>47502025</v>
      </c>
      <c r="H122" s="245"/>
    </row>
    <row r="123" spans="2:8" s="64" customFormat="1" ht="19.5" customHeight="1">
      <c r="B123" s="253" t="s">
        <v>329</v>
      </c>
      <c r="C123" s="254"/>
      <c r="D123" s="255"/>
      <c r="E123" s="244"/>
      <c r="F123" s="244"/>
      <c r="G123" s="245"/>
      <c r="H123" s="245"/>
    </row>
    <row r="124" spans="2:8" s="64" customFormat="1" ht="19.5" customHeight="1">
      <c r="B124" s="253" t="s">
        <v>330</v>
      </c>
      <c r="C124" s="254"/>
      <c r="D124" s="255"/>
      <c r="E124" s="244"/>
      <c r="F124" s="244"/>
      <c r="G124" s="245"/>
      <c r="H124" s="245"/>
    </row>
    <row r="125" spans="2:8" s="64" customFormat="1" ht="19.5" customHeight="1">
      <c r="B125" s="253" t="s">
        <v>331</v>
      </c>
      <c r="C125" s="254"/>
      <c r="D125" s="255"/>
      <c r="E125" s="244"/>
      <c r="F125" s="244"/>
      <c r="G125" s="245"/>
      <c r="H125" s="245"/>
    </row>
    <row r="126" spans="2:8" s="64" customFormat="1" ht="19.5" customHeight="1">
      <c r="B126" s="253" t="s">
        <v>332</v>
      </c>
      <c r="C126" s="254"/>
      <c r="D126" s="255"/>
      <c r="E126" s="244"/>
      <c r="F126" s="244"/>
      <c r="G126" s="245"/>
      <c r="H126" s="245"/>
    </row>
    <row r="127" spans="2:8" s="64" customFormat="1" ht="19.5" customHeight="1">
      <c r="B127" s="253" t="s">
        <v>333</v>
      </c>
      <c r="C127" s="254"/>
      <c r="D127" s="255"/>
      <c r="E127" s="244"/>
      <c r="F127" s="244"/>
      <c r="G127" s="245"/>
      <c r="H127" s="245"/>
    </row>
    <row r="128" spans="2:8" s="64" customFormat="1" ht="19.5" customHeight="1">
      <c r="B128" s="246" t="s">
        <v>277</v>
      </c>
      <c r="C128" s="246"/>
      <c r="D128" s="246"/>
      <c r="E128" s="259">
        <f>SUM(E119:F127)</f>
        <v>132857275</v>
      </c>
      <c r="F128" s="259"/>
      <c r="G128" s="281">
        <f>SUM(G119:H127)</f>
        <v>47502025</v>
      </c>
      <c r="H128" s="281"/>
    </row>
    <row r="129" spans="2:8" s="64" customFormat="1" ht="19.5" customHeight="1">
      <c r="B129" s="65" t="s">
        <v>565</v>
      </c>
      <c r="C129" s="66"/>
      <c r="D129" s="66"/>
      <c r="E129" s="66"/>
      <c r="F129" s="66"/>
      <c r="G129" s="67"/>
      <c r="H129" s="67"/>
    </row>
    <row r="130" spans="2:8" s="64" customFormat="1" ht="19.5" customHeight="1">
      <c r="B130" s="282" t="s">
        <v>334</v>
      </c>
      <c r="C130" s="283"/>
      <c r="D130" s="284" t="s">
        <v>335</v>
      </c>
      <c r="E130" s="285"/>
      <c r="F130" s="104" t="s">
        <v>336</v>
      </c>
      <c r="G130" s="105" t="s">
        <v>337</v>
      </c>
      <c r="H130" s="105" t="s">
        <v>404</v>
      </c>
    </row>
    <row r="131" spans="2:8" s="64" customFormat="1" ht="19.5" customHeight="1">
      <c r="B131" s="106"/>
      <c r="C131" s="107"/>
      <c r="D131" s="286" t="s">
        <v>394</v>
      </c>
      <c r="E131" s="287"/>
      <c r="F131" s="108" t="s">
        <v>466</v>
      </c>
      <c r="G131" s="109" t="s">
        <v>467</v>
      </c>
      <c r="H131" s="110" t="s">
        <v>468</v>
      </c>
    </row>
    <row r="132" spans="2:8" s="64" customFormat="1" ht="19.5" customHeight="1">
      <c r="B132" s="243" t="s">
        <v>566</v>
      </c>
      <c r="C132" s="243"/>
      <c r="D132" s="244">
        <f>'bcdps hop nhat'!D60</f>
        <v>29550000000</v>
      </c>
      <c r="E132" s="244"/>
      <c r="F132" s="83"/>
      <c r="G132" s="111"/>
      <c r="H132" s="81">
        <f aca="true" t="shared" si="2" ref="H132:H137">D132+F132-G132</f>
        <v>29550000000</v>
      </c>
    </row>
    <row r="133" spans="2:8" s="64" customFormat="1" ht="19.5" customHeight="1">
      <c r="B133" s="243" t="s">
        <v>567</v>
      </c>
      <c r="C133" s="243"/>
      <c r="D133" s="244"/>
      <c r="E133" s="244"/>
      <c r="F133" s="80"/>
      <c r="G133" s="81"/>
      <c r="H133" s="81">
        <f t="shared" si="2"/>
        <v>0</v>
      </c>
    </row>
    <row r="134" spans="2:8" s="64" customFormat="1" ht="19.5" customHeight="1">
      <c r="B134" s="243" t="s">
        <v>568</v>
      </c>
      <c r="C134" s="243"/>
      <c r="D134" s="244"/>
      <c r="E134" s="244"/>
      <c r="F134" s="80"/>
      <c r="G134" s="81"/>
      <c r="H134" s="81">
        <f t="shared" si="2"/>
        <v>0</v>
      </c>
    </row>
    <row r="135" spans="2:8" s="64" customFormat="1" ht="19.5" customHeight="1">
      <c r="B135" s="243" t="s">
        <v>569</v>
      </c>
      <c r="C135" s="243"/>
      <c r="D135" s="244"/>
      <c r="E135" s="244"/>
      <c r="F135" s="80"/>
      <c r="G135" s="81"/>
      <c r="H135" s="81">
        <f t="shared" si="2"/>
        <v>0</v>
      </c>
    </row>
    <row r="136" spans="2:8" s="64" customFormat="1" ht="19.5" customHeight="1">
      <c r="B136" s="243" t="s">
        <v>570</v>
      </c>
      <c r="C136" s="243"/>
      <c r="D136" s="244"/>
      <c r="E136" s="244"/>
      <c r="F136" s="80"/>
      <c r="G136" s="81"/>
      <c r="H136" s="81">
        <f t="shared" si="2"/>
        <v>0</v>
      </c>
    </row>
    <row r="137" spans="2:8" s="64" customFormat="1" ht="19.5" customHeight="1">
      <c r="B137" s="243" t="s">
        <v>571</v>
      </c>
      <c r="C137" s="243"/>
      <c r="D137" s="244"/>
      <c r="E137" s="244"/>
      <c r="F137" s="80"/>
      <c r="G137" s="81"/>
      <c r="H137" s="81">
        <f t="shared" si="2"/>
        <v>0</v>
      </c>
    </row>
    <row r="138" spans="2:8" s="64" customFormat="1" ht="36" customHeight="1">
      <c r="B138" s="278" t="s">
        <v>572</v>
      </c>
      <c r="C138" s="280"/>
      <c r="D138" s="244">
        <f>'bcdps hop nhat'!D61</f>
        <v>84302553</v>
      </c>
      <c r="E138" s="244"/>
      <c r="F138" s="149">
        <f>'bcdps hop nhat'!F61</f>
        <v>243261908</v>
      </c>
      <c r="G138" s="150">
        <f>'bcdps hop nhat'!E61</f>
        <v>296938223</v>
      </c>
      <c r="H138" s="81">
        <f>D138+F138-G138</f>
        <v>30626238</v>
      </c>
    </row>
    <row r="139" spans="2:8" s="64" customFormat="1" ht="19.5" customHeight="1">
      <c r="B139" s="288" t="s">
        <v>277</v>
      </c>
      <c r="C139" s="288"/>
      <c r="D139" s="244"/>
      <c r="E139" s="244"/>
      <c r="F139" s="80"/>
      <c r="G139" s="81"/>
      <c r="H139" s="81"/>
    </row>
    <row r="140" spans="3:8" s="64" customFormat="1" ht="19.5" customHeight="1">
      <c r="C140" s="66"/>
      <c r="D140" s="66"/>
      <c r="E140" s="66"/>
      <c r="F140" s="66"/>
      <c r="G140" s="67"/>
      <c r="H140" s="67"/>
    </row>
    <row r="141" spans="2:8" s="64" customFormat="1" ht="19.5" customHeight="1">
      <c r="B141" s="65" t="s">
        <v>338</v>
      </c>
      <c r="C141" s="66"/>
      <c r="D141" s="66"/>
      <c r="E141" s="66"/>
      <c r="F141" s="66"/>
      <c r="G141" s="67"/>
      <c r="H141" s="67"/>
    </row>
    <row r="142" spans="3:8" s="64" customFormat="1" ht="19.5" customHeight="1">
      <c r="C142" s="66"/>
      <c r="D142" s="66"/>
      <c r="E142" s="66"/>
      <c r="F142" s="66"/>
      <c r="G142" s="289" t="s">
        <v>271</v>
      </c>
      <c r="H142" s="289"/>
    </row>
    <row r="143" spans="2:8" s="64" customFormat="1" ht="38.25" customHeight="1">
      <c r="B143" s="209" t="s">
        <v>577</v>
      </c>
      <c r="C143" s="113"/>
      <c r="D143" s="114"/>
      <c r="E143" s="290" t="s">
        <v>575</v>
      </c>
      <c r="F143" s="291"/>
      <c r="G143" s="290" t="s">
        <v>576</v>
      </c>
      <c r="H143" s="291"/>
    </row>
    <row r="144" spans="2:8" s="64" customFormat="1" ht="19.5" customHeight="1">
      <c r="B144" s="253" t="s">
        <v>584</v>
      </c>
      <c r="C144" s="254"/>
      <c r="D144" s="255"/>
      <c r="E144" s="244">
        <f>BCKQHĐK!H7</f>
        <v>49981280388</v>
      </c>
      <c r="F144" s="244"/>
      <c r="G144" s="245">
        <f>BCKQHĐK!G7</f>
        <v>22182961667</v>
      </c>
      <c r="H144" s="245"/>
    </row>
    <row r="145" spans="2:8" s="64" customFormat="1" ht="19.5" customHeight="1">
      <c r="B145" s="253" t="s">
        <v>339</v>
      </c>
      <c r="C145" s="254"/>
      <c r="D145" s="255"/>
      <c r="E145" s="244"/>
      <c r="F145" s="244"/>
      <c r="G145" s="245"/>
      <c r="H145" s="245"/>
    </row>
    <row r="146" spans="2:8" s="64" customFormat="1" ht="19.5" customHeight="1">
      <c r="B146" s="253" t="s">
        <v>585</v>
      </c>
      <c r="C146" s="254"/>
      <c r="D146" s="255"/>
      <c r="E146" s="244"/>
      <c r="F146" s="244"/>
      <c r="G146" s="245"/>
      <c r="H146" s="245"/>
    </row>
    <row r="147" spans="2:8" s="64" customFormat="1" ht="19.5" customHeight="1">
      <c r="B147" s="253" t="s">
        <v>340</v>
      </c>
      <c r="C147" s="254"/>
      <c r="D147" s="255"/>
      <c r="E147" s="244"/>
      <c r="F147" s="244"/>
      <c r="G147" s="245"/>
      <c r="H147" s="245"/>
    </row>
    <row r="148" spans="2:8" s="64" customFormat="1" ht="19.5" customHeight="1">
      <c r="B148" s="253" t="s">
        <v>586</v>
      </c>
      <c r="C148" s="254"/>
      <c r="D148" s="255"/>
      <c r="E148" s="244">
        <f>BCKQHĐK!H12</f>
        <v>7319539</v>
      </c>
      <c r="F148" s="244"/>
      <c r="G148" s="245">
        <f>BCKQHĐK!G12</f>
        <v>5678782</v>
      </c>
      <c r="H148" s="245"/>
    </row>
    <row r="149" spans="2:8" s="64" customFormat="1" ht="19.5" customHeight="1">
      <c r="B149" s="253" t="s">
        <v>294</v>
      </c>
      <c r="C149" s="254"/>
      <c r="D149" s="255"/>
      <c r="E149" s="244"/>
      <c r="F149" s="244"/>
      <c r="G149" s="245"/>
      <c r="H149" s="245"/>
    </row>
    <row r="150" spans="2:8" s="64" customFormat="1" ht="19.5" customHeight="1">
      <c r="B150" s="253" t="s">
        <v>341</v>
      </c>
      <c r="C150" s="254"/>
      <c r="D150" s="255"/>
      <c r="E150" s="244"/>
      <c r="F150" s="244"/>
      <c r="G150" s="245"/>
      <c r="H150" s="245"/>
    </row>
    <row r="151" spans="2:8" s="64" customFormat="1" ht="19.5" customHeight="1">
      <c r="B151" s="253" t="s">
        <v>342</v>
      </c>
      <c r="C151" s="254"/>
      <c r="D151" s="255"/>
      <c r="E151" s="244"/>
      <c r="F151" s="244"/>
      <c r="G151" s="245"/>
      <c r="H151" s="245"/>
    </row>
    <row r="152" spans="2:8" s="64" customFormat="1" ht="19.5" customHeight="1">
      <c r="B152" s="253" t="s">
        <v>343</v>
      </c>
      <c r="C152" s="254"/>
      <c r="D152" s="255"/>
      <c r="E152" s="244"/>
      <c r="F152" s="244"/>
      <c r="G152" s="245"/>
      <c r="H152" s="245"/>
    </row>
    <row r="153" spans="3:8" s="64" customFormat="1" ht="19.5" customHeight="1">
      <c r="C153" s="66"/>
      <c r="D153" s="66"/>
      <c r="E153" s="66"/>
      <c r="F153" s="66"/>
      <c r="G153" s="67"/>
      <c r="H153" s="67"/>
    </row>
    <row r="154" spans="2:8" s="64" customFormat="1" ht="38.25" customHeight="1">
      <c r="B154" s="209" t="s">
        <v>579</v>
      </c>
      <c r="C154" s="210"/>
      <c r="D154" s="211"/>
      <c r="E154" s="290" t="s">
        <v>575</v>
      </c>
      <c r="F154" s="291"/>
      <c r="G154" s="290" t="s">
        <v>576</v>
      </c>
      <c r="H154" s="291"/>
    </row>
    <row r="155" spans="2:8" s="64" customFormat="1" ht="19.5" customHeight="1">
      <c r="B155" s="253" t="s">
        <v>580</v>
      </c>
      <c r="C155" s="254"/>
      <c r="D155" s="255"/>
      <c r="E155" s="302">
        <v>49514170962</v>
      </c>
      <c r="F155" s="302"/>
      <c r="G155" s="252">
        <f>'bcdps hop nhat'!F78</f>
        <v>15706639836</v>
      </c>
      <c r="H155" s="252"/>
    </row>
    <row r="156" spans="2:8" s="64" customFormat="1" ht="19.5" customHeight="1">
      <c r="B156" s="253" t="s">
        <v>581</v>
      </c>
      <c r="C156" s="254"/>
      <c r="D156" s="255"/>
      <c r="E156" s="302">
        <v>3182571584</v>
      </c>
      <c r="F156" s="302"/>
      <c r="G156" s="252">
        <f>'bcdps hop nhat'!F79</f>
        <v>2033125687</v>
      </c>
      <c r="H156" s="252"/>
    </row>
    <row r="157" spans="2:8" s="64" customFormat="1" ht="19.5" customHeight="1">
      <c r="B157" s="323" t="s">
        <v>277</v>
      </c>
      <c r="C157" s="324"/>
      <c r="D157" s="325"/>
      <c r="E157" s="298">
        <f>E156+E155</f>
        <v>52696742546</v>
      </c>
      <c r="F157" s="299"/>
      <c r="G157" s="298">
        <f>G156+G155</f>
        <v>17739765523</v>
      </c>
      <c r="H157" s="299"/>
    </row>
    <row r="158" spans="3:8" s="64" customFormat="1" ht="19.5" customHeight="1">
      <c r="C158" s="66"/>
      <c r="D158" s="66"/>
      <c r="E158" s="66"/>
      <c r="F158" s="66"/>
      <c r="G158" s="67"/>
      <c r="H158" s="67"/>
    </row>
    <row r="159" spans="2:8" s="64" customFormat="1" ht="41.25" customHeight="1">
      <c r="B159" s="209" t="s">
        <v>587</v>
      </c>
      <c r="C159" s="210"/>
      <c r="D159" s="211"/>
      <c r="E159" s="290" t="s">
        <v>575</v>
      </c>
      <c r="F159" s="291"/>
      <c r="G159" s="290" t="s">
        <v>576</v>
      </c>
      <c r="H159" s="291"/>
    </row>
    <row r="160" spans="2:8" s="64" customFormat="1" ht="19.5" customHeight="1">
      <c r="B160" s="253" t="s">
        <v>588</v>
      </c>
      <c r="C160" s="254"/>
      <c r="D160" s="255"/>
      <c r="E160" s="302">
        <f>BCKQHĐK!H13</f>
        <v>179931960</v>
      </c>
      <c r="F160" s="302"/>
      <c r="G160" s="252">
        <f>BCKQHĐK!G13</f>
        <v>18353332</v>
      </c>
      <c r="H160" s="252"/>
    </row>
    <row r="161" spans="2:8" s="64" customFormat="1" ht="19.5" customHeight="1">
      <c r="B161" s="253"/>
      <c r="C161" s="254"/>
      <c r="D161" s="255"/>
      <c r="E161" s="250"/>
      <c r="F161" s="251"/>
      <c r="G161" s="303"/>
      <c r="H161" s="304"/>
    </row>
    <row r="162" spans="2:8" s="64" customFormat="1" ht="19.5" customHeight="1">
      <c r="B162" s="323" t="s">
        <v>277</v>
      </c>
      <c r="C162" s="324"/>
      <c r="D162" s="325"/>
      <c r="E162" s="298">
        <f>E161+E160</f>
        <v>179931960</v>
      </c>
      <c r="F162" s="299"/>
      <c r="G162" s="298">
        <f>G161+G160</f>
        <v>18353332</v>
      </c>
      <c r="H162" s="299"/>
    </row>
    <row r="163" spans="3:8" s="64" customFormat="1" ht="19.5" customHeight="1">
      <c r="C163" s="66"/>
      <c r="D163" s="66"/>
      <c r="E163" s="66"/>
      <c r="F163" s="66"/>
      <c r="G163" s="67"/>
      <c r="H163" s="67"/>
    </row>
    <row r="164" spans="2:8" s="64" customFormat="1" ht="44.25" customHeight="1">
      <c r="B164" s="209" t="s">
        <v>593</v>
      </c>
      <c r="C164" s="210"/>
      <c r="D164" s="211"/>
      <c r="E164" s="290" t="s">
        <v>575</v>
      </c>
      <c r="F164" s="291"/>
      <c r="G164" s="290" t="s">
        <v>576</v>
      </c>
      <c r="H164" s="291"/>
    </row>
    <row r="165" spans="2:8" s="64" customFormat="1" ht="19.5" customHeight="1">
      <c r="B165" s="253" t="s">
        <v>594</v>
      </c>
      <c r="C165" s="254"/>
      <c r="D165" s="255"/>
      <c r="E165" s="302">
        <f>BCKQHĐK!H16</f>
        <v>4482871297</v>
      </c>
      <c r="F165" s="302"/>
      <c r="G165" s="252">
        <f>BCKQHĐK!G16</f>
        <v>4298739405</v>
      </c>
      <c r="H165" s="252"/>
    </row>
    <row r="166" spans="2:8" s="64" customFormat="1" ht="19.5" customHeight="1">
      <c r="B166" s="253"/>
      <c r="C166" s="254"/>
      <c r="D166" s="255"/>
      <c r="E166" s="302"/>
      <c r="F166" s="302"/>
      <c r="G166" s="252"/>
      <c r="H166" s="252"/>
    </row>
    <row r="167" spans="2:8" s="64" customFormat="1" ht="19.5" customHeight="1">
      <c r="B167" s="323" t="s">
        <v>277</v>
      </c>
      <c r="C167" s="324"/>
      <c r="D167" s="325"/>
      <c r="E167" s="298">
        <f>E166+E165</f>
        <v>4482871297</v>
      </c>
      <c r="F167" s="299"/>
      <c r="G167" s="298">
        <f>G166+G165</f>
        <v>4298739405</v>
      </c>
      <c r="H167" s="299"/>
    </row>
    <row r="168" spans="3:8" s="64" customFormat="1" ht="19.5" customHeight="1">
      <c r="C168" s="212"/>
      <c r="D168" s="212"/>
      <c r="E168" s="212"/>
      <c r="F168" s="212"/>
      <c r="G168" s="213"/>
      <c r="H168" s="213"/>
    </row>
    <row r="169" spans="2:8" s="64" customFormat="1" ht="49.5" customHeight="1">
      <c r="B169" s="209" t="s">
        <v>595</v>
      </c>
      <c r="C169" s="210"/>
      <c r="D169" s="211"/>
      <c r="E169" s="290" t="s">
        <v>575</v>
      </c>
      <c r="F169" s="291"/>
      <c r="G169" s="290" t="s">
        <v>576</v>
      </c>
      <c r="H169" s="291"/>
    </row>
    <row r="170" spans="2:8" s="64" customFormat="1" ht="19.5" customHeight="1">
      <c r="B170" s="253" t="s">
        <v>596</v>
      </c>
      <c r="C170" s="254"/>
      <c r="D170" s="255"/>
      <c r="E170" s="302"/>
      <c r="F170" s="302"/>
      <c r="G170" s="252">
        <f>BCKQHĐK!G18</f>
        <v>31500000</v>
      </c>
      <c r="H170" s="252"/>
    </row>
    <row r="171" spans="2:8" s="64" customFormat="1" ht="19.5" customHeight="1">
      <c r="B171" s="323" t="s">
        <v>277</v>
      </c>
      <c r="C171" s="324"/>
      <c r="D171" s="325"/>
      <c r="E171" s="298">
        <f>E170</f>
        <v>0</v>
      </c>
      <c r="F171" s="299"/>
      <c r="G171" s="298">
        <f>G170</f>
        <v>31500000</v>
      </c>
      <c r="H171" s="299"/>
    </row>
    <row r="172" spans="2:8" s="64" customFormat="1" ht="46.5" customHeight="1">
      <c r="B172" s="209" t="s">
        <v>597</v>
      </c>
      <c r="C172" s="210"/>
      <c r="D172" s="211"/>
      <c r="E172" s="290" t="s">
        <v>575</v>
      </c>
      <c r="F172" s="291"/>
      <c r="G172" s="290" t="s">
        <v>576</v>
      </c>
      <c r="H172" s="291"/>
    </row>
    <row r="173" spans="2:8" s="64" customFormat="1" ht="19.5" customHeight="1">
      <c r="B173" s="253" t="s">
        <v>598</v>
      </c>
      <c r="C173" s="254"/>
      <c r="D173" s="255"/>
      <c r="E173" s="302">
        <f>BCKQHĐK!H22</f>
        <v>585387717</v>
      </c>
      <c r="F173" s="302"/>
      <c r="G173" s="252">
        <f>BCKQHĐK!G22</f>
        <v>163282189</v>
      </c>
      <c r="H173" s="252"/>
    </row>
    <row r="174" spans="2:8" s="64" customFormat="1" ht="19.5" customHeight="1">
      <c r="B174" s="196" t="s">
        <v>599</v>
      </c>
      <c r="C174" s="197"/>
      <c r="D174" s="198"/>
      <c r="E174" s="250">
        <f>E173</f>
        <v>585387717</v>
      </c>
      <c r="F174" s="251"/>
      <c r="G174" s="303">
        <f>G173</f>
        <v>163282189</v>
      </c>
      <c r="H174" s="304"/>
    </row>
    <row r="175" spans="2:8" s="64" customFormat="1" ht="19.5" customHeight="1">
      <c r="B175" s="253" t="s">
        <v>600</v>
      </c>
      <c r="C175" s="254"/>
      <c r="D175" s="255"/>
      <c r="E175" s="326">
        <v>0.22</v>
      </c>
      <c r="F175" s="327"/>
      <c r="G175" s="326">
        <v>0.22</v>
      </c>
      <c r="H175" s="327"/>
    </row>
    <row r="176" spans="2:8" s="64" customFormat="1" ht="19.5" customHeight="1">
      <c r="B176" s="253" t="s">
        <v>601</v>
      </c>
      <c r="C176" s="254"/>
      <c r="D176" s="255"/>
      <c r="E176" s="250">
        <f>BCKQHĐK!H25</f>
        <v>456602420</v>
      </c>
      <c r="F176" s="251"/>
      <c r="G176" s="199"/>
      <c r="H176" s="200">
        <f>BCKQHĐK!G25</f>
        <v>95780164</v>
      </c>
    </row>
    <row r="177" spans="3:8" s="64" customFormat="1" ht="19.5" customHeight="1">
      <c r="C177" s="66"/>
      <c r="D177" s="66"/>
      <c r="E177" s="66"/>
      <c r="F177" s="66"/>
      <c r="G177" s="67"/>
      <c r="H177" s="67"/>
    </row>
    <row r="178" spans="3:11" s="64" customFormat="1" ht="15.75">
      <c r="C178" s="66"/>
      <c r="D178" s="238" t="s">
        <v>527</v>
      </c>
      <c r="E178" s="238"/>
      <c r="F178" s="238"/>
      <c r="G178" s="238"/>
      <c r="H178" s="238"/>
      <c r="I178" s="115"/>
      <c r="J178" s="115"/>
      <c r="K178" s="115"/>
    </row>
    <row r="179" spans="3:9" s="64" customFormat="1" ht="15">
      <c r="C179" s="66"/>
      <c r="D179" s="66"/>
      <c r="E179" s="66"/>
      <c r="F179" s="116"/>
      <c r="G179" s="112"/>
      <c r="H179" s="67"/>
      <c r="I179" s="66"/>
    </row>
    <row r="180" spans="2:10" s="65" customFormat="1" ht="15.75">
      <c r="B180" s="117" t="s">
        <v>344</v>
      </c>
      <c r="C180" s="297" t="s">
        <v>345</v>
      </c>
      <c r="D180" s="297"/>
      <c r="E180" s="297"/>
      <c r="F180" s="297"/>
      <c r="G180" s="292" t="s">
        <v>346</v>
      </c>
      <c r="H180" s="292"/>
      <c r="I180" s="118"/>
      <c r="J180" s="118"/>
    </row>
    <row r="181" spans="2:10" s="64" customFormat="1" ht="15">
      <c r="B181" s="119"/>
      <c r="C181" s="293"/>
      <c r="D181" s="293"/>
      <c r="E181" s="120"/>
      <c r="F181" s="120"/>
      <c r="G181" s="289"/>
      <c r="H181" s="289"/>
      <c r="I181" s="119"/>
      <c r="J181" s="119"/>
    </row>
    <row r="182" spans="2:10" s="64" customFormat="1" ht="15">
      <c r="B182" s="119"/>
      <c r="C182" s="116"/>
      <c r="D182" s="116"/>
      <c r="E182" s="120"/>
      <c r="F182" s="120"/>
      <c r="G182" s="112"/>
      <c r="H182" s="112"/>
      <c r="I182" s="119"/>
      <c r="J182" s="119"/>
    </row>
    <row r="183" spans="3:9" s="64" customFormat="1" ht="15">
      <c r="C183" s="66"/>
      <c r="D183" s="66"/>
      <c r="E183" s="66"/>
      <c r="F183" s="116"/>
      <c r="G183" s="112"/>
      <c r="H183" s="67"/>
      <c r="I183" s="66"/>
    </row>
    <row r="184" spans="3:8" s="64" customFormat="1" ht="15">
      <c r="C184" s="66"/>
      <c r="D184" s="66"/>
      <c r="E184" s="66"/>
      <c r="F184" s="66"/>
      <c r="G184" s="67"/>
      <c r="H184" s="67"/>
    </row>
    <row r="185" spans="1:6" s="20" customFormat="1" ht="15">
      <c r="A185" s="294" t="s">
        <v>519</v>
      </c>
      <c r="B185" s="294"/>
      <c r="C185" s="295" t="s">
        <v>220</v>
      </c>
      <c r="D185" s="295"/>
      <c r="E185" s="295"/>
      <c r="F185" s="295"/>
    </row>
    <row r="186" spans="3:8" s="64" customFormat="1" ht="15">
      <c r="C186" s="66"/>
      <c r="D186" s="66"/>
      <c r="E186" s="66"/>
      <c r="F186" s="66"/>
      <c r="G186" s="67"/>
      <c r="H186" s="67"/>
    </row>
    <row r="187" spans="3:8" s="64" customFormat="1" ht="15">
      <c r="C187" s="66"/>
      <c r="D187" s="66"/>
      <c r="E187" s="66"/>
      <c r="F187" s="66"/>
      <c r="G187" s="67"/>
      <c r="H187" s="67"/>
    </row>
    <row r="188" spans="2:9" s="121" customFormat="1" ht="18">
      <c r="B188" s="122"/>
      <c r="C188" s="296"/>
      <c r="D188" s="296"/>
      <c r="E188" s="296"/>
      <c r="F188" s="123"/>
      <c r="G188" s="124"/>
      <c r="H188" s="125"/>
      <c r="I188" s="126"/>
    </row>
    <row r="189" spans="3:8" s="64" customFormat="1" ht="15">
      <c r="C189" s="66"/>
      <c r="D189" s="66"/>
      <c r="E189" s="66"/>
      <c r="F189" s="66"/>
      <c r="G189" s="67"/>
      <c r="H189" s="67"/>
    </row>
    <row r="190" spans="3:8" s="64" customFormat="1" ht="15">
      <c r="C190" s="66"/>
      <c r="D190" s="66"/>
      <c r="E190" s="66"/>
      <c r="F190" s="66"/>
      <c r="G190" s="67"/>
      <c r="H190" s="67"/>
    </row>
    <row r="191" spans="3:8" s="64" customFormat="1" ht="15">
      <c r="C191" s="66"/>
      <c r="D191" s="66"/>
      <c r="E191" s="66"/>
      <c r="F191" s="66"/>
      <c r="G191" s="67"/>
      <c r="H191" s="67"/>
    </row>
    <row r="192" spans="3:8" s="64" customFormat="1" ht="15">
      <c r="C192" s="66"/>
      <c r="D192" s="66"/>
      <c r="E192" s="66"/>
      <c r="F192" s="66"/>
      <c r="G192" s="67"/>
      <c r="H192" s="67"/>
    </row>
    <row r="193" spans="3:8" s="64" customFormat="1" ht="15">
      <c r="C193" s="66"/>
      <c r="D193" s="66"/>
      <c r="E193" s="66"/>
      <c r="F193" s="66"/>
      <c r="G193" s="67"/>
      <c r="H193" s="67"/>
    </row>
    <row r="194" spans="3:8" s="64" customFormat="1" ht="15">
      <c r="C194" s="66"/>
      <c r="D194" s="66"/>
      <c r="E194" s="66"/>
      <c r="F194" s="66"/>
      <c r="G194" s="67"/>
      <c r="H194" s="67"/>
    </row>
    <row r="195" spans="3:8" s="64" customFormat="1" ht="15">
      <c r="C195" s="66"/>
      <c r="D195" s="66"/>
      <c r="E195" s="66"/>
      <c r="F195" s="66"/>
      <c r="G195" s="67"/>
      <c r="H195" s="67"/>
    </row>
    <row r="196" spans="3:8" s="64" customFormat="1" ht="15">
      <c r="C196" s="66"/>
      <c r="D196" s="66"/>
      <c r="E196" s="66"/>
      <c r="F196" s="66"/>
      <c r="G196" s="67"/>
      <c r="H196" s="67"/>
    </row>
    <row r="197" spans="3:8" s="64" customFormat="1" ht="15">
      <c r="C197" s="66"/>
      <c r="D197" s="66"/>
      <c r="E197" s="66"/>
      <c r="F197" s="66"/>
      <c r="G197" s="67"/>
      <c r="H197" s="67"/>
    </row>
    <row r="198" spans="3:8" s="64" customFormat="1" ht="15">
      <c r="C198" s="66"/>
      <c r="D198" s="66"/>
      <c r="E198" s="66"/>
      <c r="F198" s="66"/>
      <c r="G198" s="67"/>
      <c r="H198" s="67"/>
    </row>
    <row r="199" spans="3:8" s="64" customFormat="1" ht="15">
      <c r="C199" s="66"/>
      <c r="D199" s="66"/>
      <c r="E199" s="66"/>
      <c r="F199" s="66"/>
      <c r="G199" s="67"/>
      <c r="H199" s="67"/>
    </row>
    <row r="200" spans="3:8" s="64" customFormat="1" ht="15">
      <c r="C200" s="66"/>
      <c r="D200" s="66"/>
      <c r="E200" s="66"/>
      <c r="F200" s="66"/>
      <c r="G200" s="67"/>
      <c r="H200" s="67"/>
    </row>
    <row r="201" spans="3:8" s="64" customFormat="1" ht="15">
      <c r="C201" s="66"/>
      <c r="D201" s="66"/>
      <c r="E201" s="66"/>
      <c r="F201" s="66"/>
      <c r="G201" s="67"/>
      <c r="H201" s="67"/>
    </row>
    <row r="202" spans="3:8" s="64" customFormat="1" ht="15">
      <c r="C202" s="66"/>
      <c r="D202" s="66"/>
      <c r="E202" s="66"/>
      <c r="F202" s="66"/>
      <c r="G202" s="67"/>
      <c r="H202" s="67"/>
    </row>
    <row r="203" spans="3:8" s="64" customFormat="1" ht="15">
      <c r="C203" s="66"/>
      <c r="D203" s="66"/>
      <c r="E203" s="66"/>
      <c r="F203" s="66"/>
      <c r="G203" s="67"/>
      <c r="H203" s="67"/>
    </row>
    <row r="204" spans="3:8" s="64" customFormat="1" ht="15">
      <c r="C204" s="66"/>
      <c r="D204" s="66"/>
      <c r="E204" s="66"/>
      <c r="F204" s="66"/>
      <c r="G204" s="67"/>
      <c r="H204" s="67"/>
    </row>
    <row r="205" spans="3:8" s="64" customFormat="1" ht="15">
      <c r="C205" s="66"/>
      <c r="D205" s="66"/>
      <c r="E205" s="66"/>
      <c r="F205" s="66"/>
      <c r="G205" s="67"/>
      <c r="H205" s="67"/>
    </row>
    <row r="206" spans="3:8" s="64" customFormat="1" ht="15">
      <c r="C206" s="66"/>
      <c r="D206" s="66"/>
      <c r="E206" s="66"/>
      <c r="F206" s="66"/>
      <c r="G206" s="67"/>
      <c r="H206" s="67"/>
    </row>
    <row r="207" spans="3:8" s="64" customFormat="1" ht="15">
      <c r="C207" s="66"/>
      <c r="D207" s="66"/>
      <c r="E207" s="66"/>
      <c r="F207" s="66"/>
      <c r="G207" s="67"/>
      <c r="H207" s="67"/>
    </row>
    <row r="208" spans="3:8" s="64" customFormat="1" ht="15">
      <c r="C208" s="66"/>
      <c r="D208" s="66"/>
      <c r="E208" s="66"/>
      <c r="F208" s="66"/>
      <c r="G208" s="67"/>
      <c r="H208" s="67"/>
    </row>
    <row r="209" spans="3:8" s="64" customFormat="1" ht="15">
      <c r="C209" s="66"/>
      <c r="D209" s="66"/>
      <c r="E209" s="66"/>
      <c r="F209" s="66"/>
      <c r="G209" s="67"/>
      <c r="H209" s="67"/>
    </row>
    <row r="210" spans="3:8" s="64" customFormat="1" ht="15">
      <c r="C210" s="66"/>
      <c r="D210" s="66"/>
      <c r="E210" s="66"/>
      <c r="F210" s="66"/>
      <c r="G210" s="67"/>
      <c r="H210" s="67"/>
    </row>
    <row r="211" spans="3:8" s="64" customFormat="1" ht="15">
      <c r="C211" s="66"/>
      <c r="D211" s="66"/>
      <c r="E211" s="66"/>
      <c r="F211" s="66"/>
      <c r="G211" s="67"/>
      <c r="H211" s="67"/>
    </row>
    <row r="212" spans="3:8" s="64" customFormat="1" ht="15">
      <c r="C212" s="66"/>
      <c r="D212" s="66"/>
      <c r="E212" s="66"/>
      <c r="F212" s="66"/>
      <c r="G212" s="67"/>
      <c r="H212" s="67"/>
    </row>
    <row r="213" spans="3:8" s="64" customFormat="1" ht="15">
      <c r="C213" s="66"/>
      <c r="D213" s="66"/>
      <c r="E213" s="66"/>
      <c r="F213" s="66"/>
      <c r="G213" s="67"/>
      <c r="H213" s="67"/>
    </row>
    <row r="214" spans="3:8" s="64" customFormat="1" ht="15">
      <c r="C214" s="66"/>
      <c r="D214" s="66"/>
      <c r="E214" s="66"/>
      <c r="F214" s="66"/>
      <c r="G214" s="67"/>
      <c r="H214" s="67"/>
    </row>
  </sheetData>
  <sheetProtection/>
  <mergeCells count="305">
    <mergeCell ref="B175:D175"/>
    <mergeCell ref="E175:F175"/>
    <mergeCell ref="G175:H175"/>
    <mergeCell ref="B176:D176"/>
    <mergeCell ref="E176:F176"/>
    <mergeCell ref="G171:H171"/>
    <mergeCell ref="E172:F172"/>
    <mergeCell ref="G172:H172"/>
    <mergeCell ref="G167:H167"/>
    <mergeCell ref="B171:D171"/>
    <mergeCell ref="B173:D173"/>
    <mergeCell ref="E173:F173"/>
    <mergeCell ref="G173:H173"/>
    <mergeCell ref="E169:F169"/>
    <mergeCell ref="G169:H169"/>
    <mergeCell ref="B167:D167"/>
    <mergeCell ref="E167:F167"/>
    <mergeCell ref="E174:F174"/>
    <mergeCell ref="G174:H174"/>
    <mergeCell ref="B170:D170"/>
    <mergeCell ref="E170:F170"/>
    <mergeCell ref="G170:H170"/>
    <mergeCell ref="E171:F171"/>
    <mergeCell ref="E164:F164"/>
    <mergeCell ref="G164:H164"/>
    <mergeCell ref="B165:D165"/>
    <mergeCell ref="E165:F165"/>
    <mergeCell ref="G165:H165"/>
    <mergeCell ref="B166:D166"/>
    <mergeCell ref="E166:F166"/>
    <mergeCell ref="G166:H166"/>
    <mergeCell ref="G159:H159"/>
    <mergeCell ref="B160:D160"/>
    <mergeCell ref="E160:F160"/>
    <mergeCell ref="G160:H160"/>
    <mergeCell ref="B162:D162"/>
    <mergeCell ref="E162:F162"/>
    <mergeCell ref="G162:H162"/>
    <mergeCell ref="G161:H161"/>
    <mergeCell ref="E161:F161"/>
    <mergeCell ref="B161:D161"/>
    <mergeCell ref="G146:H146"/>
    <mergeCell ref="B156:D156"/>
    <mergeCell ref="E156:F156"/>
    <mergeCell ref="G156:H156"/>
    <mergeCell ref="B157:D157"/>
    <mergeCell ref="E157:F157"/>
    <mergeCell ref="G157:H157"/>
    <mergeCell ref="B149:D149"/>
    <mergeCell ref="B116:D116"/>
    <mergeCell ref="E116:F116"/>
    <mergeCell ref="G116:H116"/>
    <mergeCell ref="E154:F154"/>
    <mergeCell ref="G154:H154"/>
    <mergeCell ref="E149:F149"/>
    <mergeCell ref="G149:H149"/>
    <mergeCell ref="B146:D146"/>
    <mergeCell ref="E146:F146"/>
    <mergeCell ref="B114:D114"/>
    <mergeCell ref="E114:F114"/>
    <mergeCell ref="G114:H114"/>
    <mergeCell ref="B115:D115"/>
    <mergeCell ref="E115:F115"/>
    <mergeCell ref="G115:H115"/>
    <mergeCell ref="B112:D112"/>
    <mergeCell ref="E112:F112"/>
    <mergeCell ref="G112:H112"/>
    <mergeCell ref="B113:D113"/>
    <mergeCell ref="E113:F113"/>
    <mergeCell ref="G113:H113"/>
    <mergeCell ref="B110:D110"/>
    <mergeCell ref="E110:F110"/>
    <mergeCell ref="G110:H110"/>
    <mergeCell ref="B111:D111"/>
    <mergeCell ref="E111:F111"/>
    <mergeCell ref="G111:H111"/>
    <mergeCell ref="B33:D33"/>
    <mergeCell ref="E33:F33"/>
    <mergeCell ref="G33:H33"/>
    <mergeCell ref="B109:D109"/>
    <mergeCell ref="E109:F109"/>
    <mergeCell ref="G109:H109"/>
    <mergeCell ref="B107:D107"/>
    <mergeCell ref="E107:F107"/>
    <mergeCell ref="G107:H107"/>
    <mergeCell ref="E104:F104"/>
    <mergeCell ref="G19:H19"/>
    <mergeCell ref="B29:D29"/>
    <mergeCell ref="E29:F29"/>
    <mergeCell ref="G29:H29"/>
    <mergeCell ref="B30:D30"/>
    <mergeCell ref="E30:F30"/>
    <mergeCell ref="G30:H30"/>
    <mergeCell ref="E15:F15"/>
    <mergeCell ref="G15:H15"/>
    <mergeCell ref="B16:D16"/>
    <mergeCell ref="E16:F16"/>
    <mergeCell ref="G16:H16"/>
    <mergeCell ref="B18:D18"/>
    <mergeCell ref="E18:F18"/>
    <mergeCell ref="G18:H18"/>
    <mergeCell ref="G17:H17"/>
    <mergeCell ref="D178:H178"/>
    <mergeCell ref="B151:D151"/>
    <mergeCell ref="E151:F151"/>
    <mergeCell ref="G151:H151"/>
    <mergeCell ref="B150:D150"/>
    <mergeCell ref="E150:F150"/>
    <mergeCell ref="G150:H150"/>
    <mergeCell ref="B19:D19"/>
    <mergeCell ref="E19:F19"/>
    <mergeCell ref="A185:B185"/>
    <mergeCell ref="C185:F185"/>
    <mergeCell ref="C188:E188"/>
    <mergeCell ref="C180:F180"/>
    <mergeCell ref="B17:D17"/>
    <mergeCell ref="E17:F17"/>
    <mergeCell ref="B31:D31"/>
    <mergeCell ref="E31:F31"/>
    <mergeCell ref="B32:D32"/>
    <mergeCell ref="E32:F32"/>
    <mergeCell ref="G180:H180"/>
    <mergeCell ref="C181:D181"/>
    <mergeCell ref="G181:H181"/>
    <mergeCell ref="B152:D152"/>
    <mergeCell ref="E152:F152"/>
    <mergeCell ref="G152:H152"/>
    <mergeCell ref="B155:D155"/>
    <mergeCell ref="E155:F155"/>
    <mergeCell ref="G155:H155"/>
    <mergeCell ref="E159:F159"/>
    <mergeCell ref="B148:D148"/>
    <mergeCell ref="E148:F148"/>
    <mergeCell ref="G148:H148"/>
    <mergeCell ref="B147:D147"/>
    <mergeCell ref="E147:F147"/>
    <mergeCell ref="G147:H147"/>
    <mergeCell ref="G142:H142"/>
    <mergeCell ref="E143:F143"/>
    <mergeCell ref="G143:H143"/>
    <mergeCell ref="B144:D144"/>
    <mergeCell ref="E144:F144"/>
    <mergeCell ref="G144:H144"/>
    <mergeCell ref="B145:D145"/>
    <mergeCell ref="E145:F145"/>
    <mergeCell ref="G145:H145"/>
    <mergeCell ref="G128:H128"/>
    <mergeCell ref="B130:C130"/>
    <mergeCell ref="D130:E130"/>
    <mergeCell ref="D131:E131"/>
    <mergeCell ref="B132:C132"/>
    <mergeCell ref="D132:E132"/>
    <mergeCell ref="B139:C139"/>
    <mergeCell ref="D139:E139"/>
    <mergeCell ref="B135:C135"/>
    <mergeCell ref="D135:E135"/>
    <mergeCell ref="B138:C138"/>
    <mergeCell ref="D138:E138"/>
    <mergeCell ref="B136:C136"/>
    <mergeCell ref="D136:E136"/>
    <mergeCell ref="B137:C137"/>
    <mergeCell ref="D137:E137"/>
    <mergeCell ref="E126:F126"/>
    <mergeCell ref="D134:E134"/>
    <mergeCell ref="B128:D128"/>
    <mergeCell ref="E128:F128"/>
    <mergeCell ref="B133:C133"/>
    <mergeCell ref="D133:E133"/>
    <mergeCell ref="B134:C134"/>
    <mergeCell ref="B124:D124"/>
    <mergeCell ref="G127:H127"/>
    <mergeCell ref="B127:D127"/>
    <mergeCell ref="E127:F127"/>
    <mergeCell ref="E124:F124"/>
    <mergeCell ref="G124:H124"/>
    <mergeCell ref="B125:D125"/>
    <mergeCell ref="E125:F125"/>
    <mergeCell ref="G125:H125"/>
    <mergeCell ref="B126:D126"/>
    <mergeCell ref="B121:D121"/>
    <mergeCell ref="E121:F121"/>
    <mergeCell ref="G121:H121"/>
    <mergeCell ref="G126:H126"/>
    <mergeCell ref="B122:D122"/>
    <mergeCell ref="E122:F122"/>
    <mergeCell ref="G122:H122"/>
    <mergeCell ref="B123:D123"/>
    <mergeCell ref="E123:F123"/>
    <mergeCell ref="G123:H123"/>
    <mergeCell ref="B120:D120"/>
    <mergeCell ref="E120:F120"/>
    <mergeCell ref="G120:H120"/>
    <mergeCell ref="B119:D119"/>
    <mergeCell ref="E119:F119"/>
    <mergeCell ref="G119:H119"/>
    <mergeCell ref="G104:H104"/>
    <mergeCell ref="E105:F105"/>
    <mergeCell ref="G105:H105"/>
    <mergeCell ref="E106:F106"/>
    <mergeCell ref="G106:H106"/>
    <mergeCell ref="E118:F118"/>
    <mergeCell ref="G118:H118"/>
    <mergeCell ref="E103:F103"/>
    <mergeCell ref="G103:H103"/>
    <mergeCell ref="E100:F100"/>
    <mergeCell ref="G100:H100"/>
    <mergeCell ref="E101:F101"/>
    <mergeCell ref="G101:H101"/>
    <mergeCell ref="E102:F102"/>
    <mergeCell ref="G102:H102"/>
    <mergeCell ref="D63:E63"/>
    <mergeCell ref="D64:E64"/>
    <mergeCell ref="E99:F99"/>
    <mergeCell ref="D61:E61"/>
    <mergeCell ref="D62:E62"/>
    <mergeCell ref="E67:E69"/>
    <mergeCell ref="F67:F69"/>
    <mergeCell ref="B67:B69"/>
    <mergeCell ref="C67:C69"/>
    <mergeCell ref="D67:D69"/>
    <mergeCell ref="B99:D99"/>
    <mergeCell ref="G67:G69"/>
    <mergeCell ref="H67:H69"/>
    <mergeCell ref="G99:H99"/>
    <mergeCell ref="D60:E60"/>
    <mergeCell ref="D53:E53"/>
    <mergeCell ref="D54:E54"/>
    <mergeCell ref="D55:E55"/>
    <mergeCell ref="D56:E56"/>
    <mergeCell ref="D57:E57"/>
    <mergeCell ref="D58:E58"/>
    <mergeCell ref="D59:E59"/>
    <mergeCell ref="C36:C38"/>
    <mergeCell ref="D36:E38"/>
    <mergeCell ref="D44:E44"/>
    <mergeCell ref="D47:E47"/>
    <mergeCell ref="D48:E48"/>
    <mergeCell ref="D49:E49"/>
    <mergeCell ref="D52:E52"/>
    <mergeCell ref="D45:E45"/>
    <mergeCell ref="D46:E46"/>
    <mergeCell ref="D41:E41"/>
    <mergeCell ref="D42:E42"/>
    <mergeCell ref="D43:E43"/>
    <mergeCell ref="D50:E50"/>
    <mergeCell ref="G26:H26"/>
    <mergeCell ref="G27:H27"/>
    <mergeCell ref="G36:G38"/>
    <mergeCell ref="B27:D27"/>
    <mergeCell ref="F36:F38"/>
    <mergeCell ref="D51:E51"/>
    <mergeCell ref="D39:E39"/>
    <mergeCell ref="D40:E40"/>
    <mergeCell ref="G31:H31"/>
    <mergeCell ref="G32:H32"/>
    <mergeCell ref="G23:H23"/>
    <mergeCell ref="B24:D24"/>
    <mergeCell ref="E24:F24"/>
    <mergeCell ref="G24:H24"/>
    <mergeCell ref="H36:H38"/>
    <mergeCell ref="B25:D25"/>
    <mergeCell ref="E25:F25"/>
    <mergeCell ref="G25:H25"/>
    <mergeCell ref="B26:D26"/>
    <mergeCell ref="E26:F26"/>
    <mergeCell ref="G21:H21"/>
    <mergeCell ref="B22:D22"/>
    <mergeCell ref="E22:F22"/>
    <mergeCell ref="G22:H22"/>
    <mergeCell ref="E27:F27"/>
    <mergeCell ref="B36:B38"/>
    <mergeCell ref="B21:D21"/>
    <mergeCell ref="E21:F21"/>
    <mergeCell ref="B23:D23"/>
    <mergeCell ref="E23:F23"/>
    <mergeCell ref="B13:D13"/>
    <mergeCell ref="E13:F13"/>
    <mergeCell ref="G13:H13"/>
    <mergeCell ref="B20:D20"/>
    <mergeCell ref="E20:F20"/>
    <mergeCell ref="G20:H20"/>
    <mergeCell ref="B14:D14"/>
    <mergeCell ref="E14:F14"/>
    <mergeCell ref="G14:H14"/>
    <mergeCell ref="B15:D15"/>
    <mergeCell ref="B11:D11"/>
    <mergeCell ref="E11:F11"/>
    <mergeCell ref="G11:H11"/>
    <mergeCell ref="B12:D12"/>
    <mergeCell ref="E12:F12"/>
    <mergeCell ref="G12:H12"/>
    <mergeCell ref="F8:H8"/>
    <mergeCell ref="I8:K8"/>
    <mergeCell ref="B9:D9"/>
    <mergeCell ref="E9:F9"/>
    <mergeCell ref="G9:H9"/>
    <mergeCell ref="B10:D10"/>
    <mergeCell ref="E10:F10"/>
    <mergeCell ref="G10:H10"/>
    <mergeCell ref="F1:H1"/>
    <mergeCell ref="F2:H2"/>
    <mergeCell ref="C4:D4"/>
    <mergeCell ref="G4:H4"/>
    <mergeCell ref="B5:H5"/>
    <mergeCell ref="B6:H6"/>
  </mergeCells>
  <printOptions/>
  <pageMargins left="0.22" right="0.67" top="0.52" bottom="0.59" header="0.5" footer="0.31"/>
  <pageSetup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37">
      <selection activeCell="D42" sqref="D42"/>
    </sheetView>
  </sheetViews>
  <sheetFormatPr defaultColWidth="9.00390625" defaultRowHeight="15.75"/>
  <cols>
    <col min="1" max="1" width="38.125" style="147" customWidth="1"/>
    <col min="2" max="2" width="7.125" style="7" customWidth="1"/>
    <col min="3" max="3" width="8.00390625" style="43" customWidth="1"/>
    <col min="4" max="4" width="16.75390625" style="44" customWidth="1"/>
    <col min="5" max="5" width="17.625" style="44" customWidth="1"/>
    <col min="6" max="6" width="16.50390625" style="43" customWidth="1"/>
    <col min="7" max="7" width="12.25390625" style="43" customWidth="1"/>
    <col min="8" max="8" width="18.375" style="44" customWidth="1"/>
    <col min="9" max="9" width="13.50390625" style="43" customWidth="1"/>
    <col min="10" max="16384" width="9.00390625" style="43" customWidth="1"/>
  </cols>
  <sheetData>
    <row r="1" spans="1:8" s="59" customFormat="1" ht="15.75">
      <c r="A1" s="328" t="s">
        <v>7</v>
      </c>
      <c r="B1" s="329"/>
      <c r="C1" s="61"/>
      <c r="D1" s="234" t="s">
        <v>506</v>
      </c>
      <c r="E1" s="234"/>
      <c r="F1" s="61"/>
      <c r="H1" s="167"/>
    </row>
    <row r="2" spans="1:8" s="59" customFormat="1" ht="15.75">
      <c r="A2" s="330" t="s">
        <v>8</v>
      </c>
      <c r="B2" s="330"/>
      <c r="C2" s="61"/>
      <c r="D2" s="234" t="s">
        <v>525</v>
      </c>
      <c r="E2" s="234"/>
      <c r="F2" s="61"/>
      <c r="H2" s="167"/>
    </row>
    <row r="3" spans="1:8" s="59" customFormat="1" ht="15.75">
      <c r="A3" s="332" t="s">
        <v>9</v>
      </c>
      <c r="B3" s="332"/>
      <c r="C3" s="58"/>
      <c r="D3" s="61"/>
      <c r="E3" s="61"/>
      <c r="F3" s="61"/>
      <c r="H3" s="167"/>
    </row>
    <row r="4" spans="1:8" s="59" customFormat="1" ht="15.75">
      <c r="A4" s="61"/>
      <c r="B4" s="61"/>
      <c r="C4" s="235" t="s">
        <v>347</v>
      </c>
      <c r="D4" s="235"/>
      <c r="E4" s="61"/>
      <c r="F4" s="61"/>
      <c r="H4" s="167"/>
    </row>
    <row r="5" spans="1:8" s="130" customFormat="1" ht="24" customHeight="1">
      <c r="A5" s="333" t="s">
        <v>348</v>
      </c>
      <c r="B5" s="235"/>
      <c r="C5" s="235"/>
      <c r="D5" s="235"/>
      <c r="E5" s="129"/>
      <c r="H5" s="168"/>
    </row>
    <row r="6" spans="1:8" s="130" customFormat="1" ht="12" customHeight="1">
      <c r="A6" s="131"/>
      <c r="B6" s="7"/>
      <c r="C6" s="7"/>
      <c r="D6" s="7"/>
      <c r="E6" s="129"/>
      <c r="H6" s="168"/>
    </row>
    <row r="7" spans="1:8" s="130" customFormat="1" ht="12">
      <c r="A7" s="132"/>
      <c r="B7" s="7"/>
      <c r="C7" s="7"/>
      <c r="D7" s="129"/>
      <c r="E7" s="129"/>
      <c r="H7" s="168"/>
    </row>
    <row r="8" spans="1:8" s="130" customFormat="1" ht="54.75" customHeight="1">
      <c r="A8" s="133" t="s">
        <v>12</v>
      </c>
      <c r="B8" s="133" t="s">
        <v>13</v>
      </c>
      <c r="C8" s="134" t="s">
        <v>14</v>
      </c>
      <c r="D8" s="135" t="s">
        <v>349</v>
      </c>
      <c r="E8" s="135" t="s">
        <v>350</v>
      </c>
      <c r="H8" s="168"/>
    </row>
    <row r="9" spans="1:5" ht="31.5">
      <c r="A9" s="136" t="s">
        <v>351</v>
      </c>
      <c r="B9" s="137"/>
      <c r="C9" s="138"/>
      <c r="D9" s="139"/>
      <c r="E9" s="139"/>
    </row>
    <row r="10" spans="1:9" ht="30">
      <c r="A10" s="140" t="s">
        <v>352</v>
      </c>
      <c r="B10" s="141" t="s">
        <v>206</v>
      </c>
      <c r="C10" s="142"/>
      <c r="D10" s="143">
        <f>28865717957+19316000+1541802886</f>
        <v>30426836843</v>
      </c>
      <c r="E10" s="143">
        <v>39832371994</v>
      </c>
      <c r="F10" s="44"/>
      <c r="G10" s="166"/>
      <c r="I10" s="166"/>
    </row>
    <row r="11" spans="1:9" ht="30">
      <c r="A11" s="140" t="s">
        <v>353</v>
      </c>
      <c r="B11" s="141" t="s">
        <v>208</v>
      </c>
      <c r="C11" s="142"/>
      <c r="D11" s="143">
        <f>-(778592323+27307175095+282281778+53375613+2122775000)</f>
        <v>-30544199809</v>
      </c>
      <c r="E11" s="143">
        <v>-35472352738</v>
      </c>
      <c r="F11" s="44"/>
      <c r="G11" s="166"/>
      <c r="I11" s="166"/>
    </row>
    <row r="12" spans="1:9" ht="15">
      <c r="A12" s="140" t="s">
        <v>354</v>
      </c>
      <c r="B12" s="141" t="s">
        <v>210</v>
      </c>
      <c r="C12" s="142"/>
      <c r="D12" s="143">
        <f>-(2810955000+281170000+112499900)</f>
        <v>-3204624900</v>
      </c>
      <c r="E12" s="143">
        <v>-11617079054</v>
      </c>
      <c r="F12" s="44"/>
      <c r="G12" s="166"/>
      <c r="I12" s="166"/>
    </row>
    <row r="13" spans="1:9" ht="15">
      <c r="A13" s="140" t="s">
        <v>355</v>
      </c>
      <c r="B13" s="141" t="s">
        <v>212</v>
      </c>
      <c r="C13" s="142"/>
      <c r="D13" s="143">
        <v>-18353332</v>
      </c>
      <c r="E13" s="143">
        <v>-179931960</v>
      </c>
      <c r="F13" s="44"/>
      <c r="G13" s="166"/>
      <c r="I13" s="166"/>
    </row>
    <row r="14" spans="1:9" ht="30">
      <c r="A14" s="140" t="s">
        <v>356</v>
      </c>
      <c r="B14" s="141" t="s">
        <v>214</v>
      </c>
      <c r="C14" s="142"/>
      <c r="D14" s="143">
        <f>-(287409413+12340124)</f>
        <v>-299749537</v>
      </c>
      <c r="E14" s="143">
        <v>-47973317</v>
      </c>
      <c r="F14" s="44"/>
      <c r="G14" s="166"/>
      <c r="I14" s="166"/>
    </row>
    <row r="15" spans="1:9" ht="15">
      <c r="A15" s="140" t="s">
        <v>357</v>
      </c>
      <c r="B15" s="141" t="s">
        <v>216</v>
      </c>
      <c r="C15" s="142"/>
      <c r="D15" s="143">
        <f>73602900+36424080+33224000+5238582+970440200</f>
        <v>1118929762</v>
      </c>
      <c r="E15" s="143">
        <v>104077809</v>
      </c>
      <c r="F15" s="44"/>
      <c r="G15" s="166"/>
      <c r="I15" s="166"/>
    </row>
    <row r="16" spans="1:9" ht="15">
      <c r="A16" s="140" t="s">
        <v>358</v>
      </c>
      <c r="B16" s="141" t="s">
        <v>359</v>
      </c>
      <c r="C16" s="142"/>
      <c r="D16" s="143">
        <f>-(18169291+1276724+17817579+66448000+3000000+220000000+2386703+970000000+211444137)</f>
        <v>-1510542434</v>
      </c>
      <c r="E16" s="143">
        <v>-989472503</v>
      </c>
      <c r="F16" s="44"/>
      <c r="G16" s="166"/>
      <c r="I16" s="166"/>
    </row>
    <row r="17" spans="1:9" ht="31.5">
      <c r="A17" s="136" t="s">
        <v>360</v>
      </c>
      <c r="B17" s="137" t="s">
        <v>234</v>
      </c>
      <c r="C17" s="138"/>
      <c r="D17" s="144">
        <f>SUM(D10:D16)</f>
        <v>-4031703407</v>
      </c>
      <c r="E17" s="144">
        <f>SUM(E10:E16)</f>
        <v>-8370359769</v>
      </c>
      <c r="F17" s="44"/>
      <c r="G17" s="166"/>
      <c r="I17" s="166"/>
    </row>
    <row r="18" spans="1:9" ht="31.5">
      <c r="A18" s="136" t="s">
        <v>361</v>
      </c>
      <c r="B18" s="137"/>
      <c r="C18" s="138"/>
      <c r="D18" s="144"/>
      <c r="E18" s="144"/>
      <c r="F18" s="44"/>
      <c r="G18" s="166"/>
      <c r="I18" s="166"/>
    </row>
    <row r="19" spans="1:9" ht="30">
      <c r="A19" s="140" t="s">
        <v>362</v>
      </c>
      <c r="B19" s="141" t="s">
        <v>236</v>
      </c>
      <c r="C19" s="142"/>
      <c r="D19" s="143"/>
      <c r="E19" s="143"/>
      <c r="F19" s="44"/>
      <c r="G19" s="166"/>
      <c r="I19" s="166"/>
    </row>
    <row r="20" spans="1:9" ht="30">
      <c r="A20" s="140" t="s">
        <v>363</v>
      </c>
      <c r="B20" s="141" t="s">
        <v>238</v>
      </c>
      <c r="C20" s="142"/>
      <c r="D20" s="143"/>
      <c r="E20" s="143"/>
      <c r="F20" s="44"/>
      <c r="G20" s="166"/>
      <c r="I20" s="166"/>
    </row>
    <row r="21" spans="1:9" ht="30">
      <c r="A21" s="140" t="s">
        <v>364</v>
      </c>
      <c r="B21" s="141" t="s">
        <v>240</v>
      </c>
      <c r="C21" s="142"/>
      <c r="D21" s="143"/>
      <c r="E21" s="143"/>
      <c r="F21" s="44"/>
      <c r="G21" s="166"/>
      <c r="I21" s="166"/>
    </row>
    <row r="22" spans="1:9" ht="30">
      <c r="A22" s="140" t="s">
        <v>365</v>
      </c>
      <c r="B22" s="141" t="s">
        <v>242</v>
      </c>
      <c r="C22" s="142"/>
      <c r="D22" s="143"/>
      <c r="E22" s="143"/>
      <c r="F22" s="44"/>
      <c r="G22" s="166"/>
      <c r="I22" s="166"/>
    </row>
    <row r="23" spans="1:9" ht="15">
      <c r="A23" s="140" t="s">
        <v>366</v>
      </c>
      <c r="B23" s="141" t="s">
        <v>244</v>
      </c>
      <c r="C23" s="142"/>
      <c r="D23" s="143"/>
      <c r="E23" s="143"/>
      <c r="F23" s="44"/>
      <c r="G23" s="166"/>
      <c r="I23" s="166"/>
    </row>
    <row r="24" spans="1:9" ht="30">
      <c r="A24" s="140" t="s">
        <v>367</v>
      </c>
      <c r="B24" s="141" t="s">
        <v>368</v>
      </c>
      <c r="C24" s="142"/>
      <c r="D24" s="143"/>
      <c r="E24" s="143"/>
      <c r="F24" s="44"/>
      <c r="G24" s="166"/>
      <c r="I24" s="166"/>
    </row>
    <row r="25" spans="1:9" ht="30">
      <c r="A25" s="140" t="s">
        <v>369</v>
      </c>
      <c r="B25" s="141" t="s">
        <v>370</v>
      </c>
      <c r="C25" s="142"/>
      <c r="D25" s="143"/>
      <c r="E25" s="143"/>
      <c r="F25" s="44"/>
      <c r="G25" s="166"/>
      <c r="I25" s="166"/>
    </row>
    <row r="26" spans="1:9" ht="31.5">
      <c r="A26" s="136" t="s">
        <v>371</v>
      </c>
      <c r="B26" s="137" t="s">
        <v>246</v>
      </c>
      <c r="C26" s="138"/>
      <c r="D26" s="144"/>
      <c r="E26" s="144"/>
      <c r="F26" s="44"/>
      <c r="G26" s="166"/>
      <c r="I26" s="166"/>
    </row>
    <row r="27" spans="1:9" ht="31.5">
      <c r="A27" s="136" t="s">
        <v>372</v>
      </c>
      <c r="B27" s="137"/>
      <c r="C27" s="138"/>
      <c r="D27" s="144"/>
      <c r="E27" s="144"/>
      <c r="F27" s="44"/>
      <c r="G27" s="166"/>
      <c r="I27" s="166"/>
    </row>
    <row r="28" spans="1:9" ht="30">
      <c r="A28" s="140" t="s">
        <v>373</v>
      </c>
      <c r="B28" s="141" t="s">
        <v>248</v>
      </c>
      <c r="C28" s="142"/>
      <c r="D28" s="143"/>
      <c r="E28" s="143"/>
      <c r="F28" s="44"/>
      <c r="G28" s="166"/>
      <c r="I28" s="166"/>
    </row>
    <row r="29" spans="1:9" ht="45">
      <c r="A29" s="140" t="s">
        <v>374</v>
      </c>
      <c r="B29" s="141" t="s">
        <v>250</v>
      </c>
      <c r="C29" s="142"/>
      <c r="D29" s="143"/>
      <c r="E29" s="143"/>
      <c r="F29" s="44"/>
      <c r="G29" s="166"/>
      <c r="I29" s="166"/>
    </row>
    <row r="30" spans="1:9" ht="15">
      <c r="A30" s="140" t="s">
        <v>375</v>
      </c>
      <c r="B30" s="141" t="s">
        <v>376</v>
      </c>
      <c r="C30" s="142"/>
      <c r="D30" s="143">
        <f>600000000+7950000000+2170000000</f>
        <v>10720000000</v>
      </c>
      <c r="E30" s="143">
        <v>14570000000</v>
      </c>
      <c r="F30" s="44"/>
      <c r="G30" s="166"/>
      <c r="I30" s="166"/>
    </row>
    <row r="31" spans="1:9" ht="15">
      <c r="A31" s="140" t="s">
        <v>377</v>
      </c>
      <c r="B31" s="141" t="s">
        <v>378</v>
      </c>
      <c r="C31" s="142"/>
      <c r="D31" s="143">
        <f>-(4400000000+3170000000)</f>
        <v>-7570000000</v>
      </c>
      <c r="E31" s="143">
        <v>-9147315000</v>
      </c>
      <c r="F31" s="44"/>
      <c r="G31" s="166"/>
      <c r="I31" s="166"/>
    </row>
    <row r="32" spans="1:9" ht="15">
      <c r="A32" s="140" t="s">
        <v>379</v>
      </c>
      <c r="B32" s="141" t="s">
        <v>380</v>
      </c>
      <c r="C32" s="142"/>
      <c r="D32" s="143"/>
      <c r="E32" s="143"/>
      <c r="F32" s="44"/>
      <c r="G32" s="166"/>
      <c r="I32" s="166"/>
    </row>
    <row r="33" spans="1:9" ht="30">
      <c r="A33" s="140" t="s">
        <v>381</v>
      </c>
      <c r="B33" s="141" t="s">
        <v>382</v>
      </c>
      <c r="C33" s="142"/>
      <c r="D33" s="143"/>
      <c r="E33" s="143"/>
      <c r="F33" s="44"/>
      <c r="G33" s="166"/>
      <c r="I33" s="166"/>
    </row>
    <row r="34" spans="1:9" ht="31.5">
      <c r="A34" s="136" t="s">
        <v>383</v>
      </c>
      <c r="B34" s="137" t="s">
        <v>252</v>
      </c>
      <c r="C34" s="138"/>
      <c r="D34" s="144">
        <f>SUM(D28:D33)</f>
        <v>3150000000</v>
      </c>
      <c r="E34" s="144">
        <f>SUM(E28:E33)</f>
        <v>5422685000</v>
      </c>
      <c r="F34" s="44"/>
      <c r="G34" s="166"/>
      <c r="I34" s="166"/>
    </row>
    <row r="35" spans="1:9" ht="31.5">
      <c r="A35" s="136" t="s">
        <v>384</v>
      </c>
      <c r="B35" s="137" t="s">
        <v>256</v>
      </c>
      <c r="C35" s="138"/>
      <c r="D35" s="144">
        <f>D34+D26+D17</f>
        <v>-881703407</v>
      </c>
      <c r="E35" s="144">
        <f>E34+E26+E17</f>
        <v>-2947674769</v>
      </c>
      <c r="F35" s="44"/>
      <c r="G35" s="166"/>
      <c r="I35" s="166"/>
    </row>
    <row r="36" spans="1:9" ht="18" customHeight="1">
      <c r="A36" s="140" t="s">
        <v>385</v>
      </c>
      <c r="B36" s="141" t="s">
        <v>262</v>
      </c>
      <c r="C36" s="142"/>
      <c r="D36" s="143">
        <f>150296330+1361858068+170057000</f>
        <v>1682211398</v>
      </c>
      <c r="E36" s="143">
        <v>3270748608</v>
      </c>
      <c r="F36" s="44"/>
      <c r="G36" s="166"/>
      <c r="I36" s="166"/>
    </row>
    <row r="37" spans="1:9" ht="30">
      <c r="A37" s="140" t="s">
        <v>386</v>
      </c>
      <c r="B37" s="141" t="s">
        <v>264</v>
      </c>
      <c r="C37" s="142"/>
      <c r="D37" s="143"/>
      <c r="E37" s="143"/>
      <c r="F37" s="44"/>
      <c r="G37" s="166"/>
      <c r="I37" s="166"/>
    </row>
    <row r="38" spans="1:9" ht="31.5">
      <c r="A38" s="136" t="s">
        <v>387</v>
      </c>
      <c r="B38" s="137" t="s">
        <v>268</v>
      </c>
      <c r="C38" s="138"/>
      <c r="D38" s="144">
        <f>D35+D36</f>
        <v>800507991</v>
      </c>
      <c r="E38" s="144">
        <f>E35+E36</f>
        <v>323073839</v>
      </c>
      <c r="F38" s="44"/>
      <c r="G38" s="166"/>
      <c r="I38" s="166"/>
    </row>
    <row r="39" spans="1:5" ht="15.75">
      <c r="A39" s="145"/>
      <c r="B39" s="61"/>
      <c r="C39" s="146"/>
      <c r="D39" s="40"/>
      <c r="E39" s="40"/>
    </row>
    <row r="40" spans="1:5" ht="15.75">
      <c r="A40" s="145"/>
      <c r="B40" s="61"/>
      <c r="C40" s="146"/>
      <c r="D40" s="40"/>
      <c r="E40" s="40"/>
    </row>
    <row r="41" spans="1:6" ht="15.75">
      <c r="A41" s="145"/>
      <c r="B41" s="61"/>
      <c r="C41" s="146"/>
      <c r="D41" s="334" t="s">
        <v>526</v>
      </c>
      <c r="E41" s="334"/>
      <c r="F41" s="166"/>
    </row>
    <row r="43" spans="1:8" s="146" customFormat="1" ht="21" customHeight="1">
      <c r="A43" s="146" t="s">
        <v>217</v>
      </c>
      <c r="B43" s="331" t="s">
        <v>218</v>
      </c>
      <c r="C43" s="331"/>
      <c r="D43" s="331"/>
      <c r="E43" s="40" t="s">
        <v>219</v>
      </c>
      <c r="H43" s="40"/>
    </row>
    <row r="44" spans="2:8" s="146" customFormat="1" ht="15.75">
      <c r="B44" s="61"/>
      <c r="C44" s="148"/>
      <c r="D44" s="40"/>
      <c r="E44" s="40"/>
      <c r="H44" s="40"/>
    </row>
    <row r="45" spans="2:8" s="146" customFormat="1" ht="15.75">
      <c r="B45" s="61"/>
      <c r="C45" s="148"/>
      <c r="D45" s="40"/>
      <c r="E45" s="40"/>
      <c r="H45" s="40"/>
    </row>
    <row r="46" spans="2:8" s="146" customFormat="1" ht="15.75">
      <c r="B46" s="61"/>
      <c r="C46" s="148"/>
      <c r="D46" s="40"/>
      <c r="E46" s="40"/>
      <c r="H46" s="40"/>
    </row>
    <row r="47" spans="2:8" s="146" customFormat="1" ht="15.75">
      <c r="B47" s="61"/>
      <c r="C47" s="148"/>
      <c r="D47" s="40"/>
      <c r="E47" s="40"/>
      <c r="H47" s="40"/>
    </row>
    <row r="48" spans="1:8" s="146" customFormat="1" ht="15.75">
      <c r="A48" s="155" t="s">
        <v>519</v>
      </c>
      <c r="B48" s="156"/>
      <c r="C48" s="157" t="s">
        <v>220</v>
      </c>
      <c r="D48" s="157"/>
      <c r="E48" s="159"/>
      <c r="F48" s="159"/>
      <c r="H48" s="40"/>
    </row>
  </sheetData>
  <sheetProtection/>
  <mergeCells count="9">
    <mergeCell ref="D1:E1"/>
    <mergeCell ref="D2:E2"/>
    <mergeCell ref="A1:B1"/>
    <mergeCell ref="A2:B2"/>
    <mergeCell ref="B43:D43"/>
    <mergeCell ref="A3:B3"/>
    <mergeCell ref="C4:D4"/>
    <mergeCell ref="A5:D5"/>
    <mergeCell ref="D41:E41"/>
  </mergeCells>
  <printOptions/>
  <pageMargins left="0.47" right="0.43" top="0.54" bottom="0.63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116 - Hung Yen - Nam Dinh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PDC</dc:creator>
  <cp:keywords/>
  <dc:description/>
  <cp:lastModifiedBy>PHIDUNG COMPUTER</cp:lastModifiedBy>
  <cp:lastPrinted>2015-11-16T01:50:30Z</cp:lastPrinted>
  <dcterms:created xsi:type="dcterms:W3CDTF">2011-10-22T09:11:38Z</dcterms:created>
  <dcterms:modified xsi:type="dcterms:W3CDTF">2015-11-17T08:22:43Z</dcterms:modified>
  <cp:category/>
  <cp:version/>
  <cp:contentType/>
  <cp:contentStatus/>
</cp:coreProperties>
</file>