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EO\QUAN HE CO DONG\Cong bo thong tin\2015\CBTT dinh ky\BCTC\"/>
    </mc:Choice>
  </mc:AlternateContent>
  <bookViews>
    <workbookView xWindow="0" yWindow="0" windowWidth="19170" windowHeight="10920" tabRatio="758"/>
  </bookViews>
  <sheets>
    <sheet name="Bia" sheetId="57" r:id="rId1"/>
    <sheet name="khong dung_thue hoan lai 2012" sheetId="59" state="veryHidden" r:id="rId2"/>
    <sheet name="khong dung_thue hoan lai 2011" sheetId="56" state="veryHidden" r:id="rId3"/>
    <sheet name="Ban CDKT" sheetId="4" r:id="rId4"/>
    <sheet name="aj" sheetId="35" state="veryHidden" r:id="rId5"/>
    <sheet name="cdts" sheetId="52" state="veryHidden" r:id="rId6"/>
    <sheet name="BC LCTT" sheetId="49" r:id="rId7"/>
    <sheet name="BC KQKD" sheetId="44" r:id="rId8"/>
    <sheet name="Thuyet minh BCTC 1" sheetId="32" r:id="rId9"/>
    <sheet name="Thuyet minh BCTC" sheetId="50" r:id="rId10"/>
    <sheet name="Sheet1" sheetId="53" state="veryHidden" r:id="rId11"/>
    <sheet name="Sheet2" sheetId="54" state="veryHidden" r:id="rId12"/>
  </sheets>
  <externalReferences>
    <externalReference r:id="rId13"/>
    <externalReference r:id="rId14"/>
  </externalReferences>
  <definedNames>
    <definedName name="__IntlFixup" hidden="1">TRUE</definedName>
    <definedName name="_a1" hidden="1">{"'Sheet1'!$L$16"}</definedName>
    <definedName name="_CT4" localSheetId="9" hidden="1">{"'Sheet1'!$L$16"}</definedName>
    <definedName name="_CT4" hidden="1">{"'Sheet1'!$L$16"}</definedName>
    <definedName name="_Fill" hidden="1">#REF!</definedName>
    <definedName name="_Goi8" hidden="1">{"'Sheet1'!$L$16"}</definedName>
    <definedName name="_huy2" localSheetId="9" hidden="1">{"'Sheet1'!$L$16"}</definedName>
    <definedName name="_huy2" hidden="1">{"'Sheet1'!$L$16"}</definedName>
    <definedName name="_Key1" hidden="1">#REF!</definedName>
    <definedName name="_Key2" hidden="1">#REF!</definedName>
    <definedName name="_Order1" hidden="1">255</definedName>
    <definedName name="_Order2" hidden="1">255</definedName>
    <definedName name="_Parse_Out" hidden="1">[1]Quantity!#REF!</definedName>
    <definedName name="_SCL4" hidden="1">{"'Sheet1'!$L$16"}</definedName>
    <definedName name="_Sort" hidden="1">#REF!</definedName>
    <definedName name="AccessDatabase" hidden="1">"C:\My Documents\LeBinh\Xls\VP Cong ty\FORM.mdb"</definedName>
    <definedName name="AS2DocOpenMode" hidden="1">"AS2DocumentEdit"</definedName>
    <definedName name="CPK" localSheetId="9" hidden="1">{"'Sheet1'!$L$16"}</definedName>
    <definedName name="CPK" hidden="1">{"'Sheet1'!$L$16"}</definedName>
    <definedName name="CTCT1" hidden="1">{"'Sheet1'!$L$16"}</definedName>
    <definedName name="DWPRICE" hidden="1">[2]Quantity!#REF!</definedName>
    <definedName name="h" localSheetId="9" hidden="1">{"'Sheet1'!$L$16"}</definedName>
    <definedName name="h" hidden="1">{"'Sheet1'!$L$16"}</definedName>
    <definedName name="HTML_CodePage" hidden="1">950</definedName>
    <definedName name="HTML_Control" localSheetId="9"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9" hidden="1">{"'Sheet1'!$L$16"}</definedName>
    <definedName name="huy" hidden="1">{"'Sheet1'!$L$16"}</definedName>
    <definedName name="l" localSheetId="9" hidden="1">{"'Sheet1'!$L$16"}</definedName>
    <definedName name="l" hidden="1">{"'Sheet1'!$L$16"}</definedName>
    <definedName name="_xlnm.Print_Area" localSheetId="3">'Ban CDKT'!$A$1:$I$128</definedName>
    <definedName name="_xlnm.Print_Area" localSheetId="7">'BC KQKD'!$A$1:$K$52</definedName>
    <definedName name="_xlnm.Print_Area" localSheetId="6">'BC LCTT'!$A$1:$K$53</definedName>
    <definedName name="_xlnm.Print_Area" localSheetId="8">'Thuyet minh BCTC 1'!$A$1:$K$672</definedName>
    <definedName name="_xlnm.Print_Titles" localSheetId="4">aj!$1:$4</definedName>
    <definedName name="_xlnm.Print_Titles" localSheetId="3">'Ban CDKT'!$1:$7</definedName>
    <definedName name="_xlnm.Print_Titles" localSheetId="7">'BC KQKD'!$1:$12</definedName>
    <definedName name="_xlnm.Print_Titles" localSheetId="8">'Thuyet minh BCTC 1'!$1:$7</definedName>
    <definedName name="SD" localSheetId="9" hidden="1">{"'Sheet1'!$L$16"}</definedName>
    <definedName name="SD" hidden="1">{"'Sheet1'!$L$16"}</definedName>
    <definedName name="T2.2006" localSheetId="9" hidden="1">{"'Sheet1'!$L$16"}</definedName>
    <definedName name="T2.2006" hidden="1">{"'Sheet1'!$L$16"}</definedName>
    <definedName name="th" hidden="1">{0}</definedName>
    <definedName name="thang" hidden="1">{"'Sheet1'!$L$16"}</definedName>
    <definedName name="THANH" hidden="1">{"'Sheet1'!$L$16"}</definedName>
    <definedName name="xcv" localSheetId="9" hidden="1">{"'Sheet1'!$L$16"}</definedName>
    <definedName name="xcv" hidden="1">{"'Sheet1'!$L$16"}</definedName>
    <definedName name="XN908nam2003" localSheetId="9" hidden="1">{"'Sheet1'!$L$16"}</definedName>
    <definedName name="XN908nam2003" hidden="1">{"'Sheet1'!$L$16"}</definedName>
  </definedNames>
  <calcPr calcId="152511"/>
</workbook>
</file>

<file path=xl/calcChain.xml><?xml version="1.0" encoding="utf-8"?>
<calcChain xmlns="http://schemas.openxmlformats.org/spreadsheetml/2006/main">
  <c r="I242" i="32" l="1"/>
  <c r="K121" i="4" l="1"/>
  <c r="G46" i="4"/>
  <c r="G52" i="4"/>
  <c r="G39" i="4"/>
  <c r="G19" i="4"/>
  <c r="I339" i="32"/>
  <c r="E168" i="32"/>
  <c r="I64" i="32"/>
  <c r="I14" i="32"/>
  <c r="I21" i="32" s="1"/>
  <c r="G20" i="44"/>
  <c r="G17" i="44"/>
  <c r="G14" i="44"/>
  <c r="J15" i="44"/>
  <c r="I581" i="32" l="1"/>
  <c r="I524" i="32"/>
  <c r="I400" i="32"/>
  <c r="G24" i="4" l="1"/>
  <c r="AS25" i="50"/>
  <c r="AS26" i="50"/>
  <c r="I191" i="32"/>
  <c r="I535" i="32" l="1"/>
  <c r="I525" i="32"/>
  <c r="I526" i="32"/>
  <c r="K524" i="32"/>
  <c r="I516" i="32"/>
  <c r="I514" i="32"/>
  <c r="I518" i="32" s="1"/>
  <c r="I447" i="32"/>
  <c r="I451" i="32" s="1"/>
  <c r="I438" i="32"/>
  <c r="I431" i="32"/>
  <c r="I430" i="32"/>
  <c r="I408" i="32"/>
  <c r="I421" i="32"/>
  <c r="I399" i="32"/>
  <c r="I420" i="32" s="1"/>
  <c r="I347" i="32"/>
  <c r="I345" i="32"/>
  <c r="I351" i="32" s="1"/>
  <c r="I325" i="32"/>
  <c r="I255" i="32"/>
  <c r="I213" i="32"/>
  <c r="E206" i="32"/>
  <c r="G13" i="44"/>
  <c r="G15" i="44" s="1"/>
  <c r="I527" i="32" l="1"/>
  <c r="I349" i="32"/>
  <c r="I355" i="32" s="1"/>
  <c r="I72" i="32" l="1"/>
  <c r="I37" i="32"/>
  <c r="I59" i="32"/>
  <c r="I67" i="32"/>
  <c r="I80" i="32" s="1"/>
  <c r="I88" i="32" s="1"/>
  <c r="I184" i="32" s="1"/>
  <c r="I40" i="32"/>
  <c r="I41" i="32"/>
  <c r="G33" i="44"/>
  <c r="G28" i="44"/>
  <c r="G36" i="44"/>
  <c r="G32" i="44"/>
  <c r="G30" i="44"/>
  <c r="G27" i="44"/>
  <c r="G29" i="44" s="1"/>
  <c r="G24" i="44"/>
  <c r="G23" i="44"/>
  <c r="G22" i="44"/>
  <c r="G21" i="44"/>
  <c r="J29" i="44"/>
  <c r="I39" i="32" l="1"/>
  <c r="J18" i="44"/>
  <c r="J25" i="44" s="1"/>
  <c r="J31" i="44" s="1"/>
  <c r="J34" i="44" s="1"/>
  <c r="J37" i="44" s="1"/>
  <c r="I232" i="32"/>
  <c r="I245" i="32" s="1"/>
  <c r="K195" i="32"/>
  <c r="I210" i="32"/>
  <c r="I252" i="32" l="1"/>
  <c r="I288" i="32"/>
  <c r="I304" i="32" l="1"/>
  <c r="I296" i="32"/>
  <c r="I317" i="32"/>
  <c r="I334" i="32" l="1"/>
  <c r="I323" i="32"/>
  <c r="I358" i="32"/>
  <c r="K365" i="32" s="1"/>
  <c r="I373" i="32" s="1"/>
  <c r="I396" i="32" l="1"/>
  <c r="I405" i="32" s="1"/>
  <c r="I51" i="49" l="1"/>
  <c r="I46" i="49" l="1"/>
  <c r="I44" i="44" s="1"/>
  <c r="AS2" i="50"/>
  <c r="P26" i="50"/>
  <c r="P32" i="50" s="1"/>
  <c r="V32" i="50"/>
  <c r="AL32" i="50"/>
  <c r="AM32" i="50"/>
  <c r="AN32" i="50"/>
  <c r="AO32" i="50"/>
  <c r="AP32" i="50"/>
  <c r="AQ32" i="50"/>
  <c r="AR32" i="50"/>
  <c r="AD32" i="50"/>
  <c r="AE32" i="50"/>
  <c r="AF32" i="50"/>
  <c r="AG32" i="50"/>
  <c r="AI32" i="50"/>
  <c r="W32" i="50"/>
  <c r="Z32" i="50"/>
  <c r="N32" i="50"/>
  <c r="O32" i="50"/>
  <c r="R32" i="50"/>
  <c r="S32" i="50"/>
  <c r="G32" i="50"/>
  <c r="I32" i="50"/>
  <c r="J32" i="50"/>
  <c r="K32" i="50"/>
  <c r="M31" i="50"/>
  <c r="M30" i="50"/>
  <c r="E35" i="50"/>
  <c r="E30" i="50"/>
  <c r="E27" i="50"/>
  <c r="E28" i="50"/>
  <c r="E29" i="50"/>
  <c r="E31" i="50"/>
  <c r="E21" i="50"/>
  <c r="E19" i="50"/>
  <c r="E20" i="50"/>
  <c r="E18" i="50"/>
  <c r="E16" i="50"/>
  <c r="E15" i="50"/>
  <c r="AI26" i="50"/>
  <c r="AA26" i="50"/>
  <c r="AA32" i="50" s="1"/>
  <c r="X26" i="50"/>
  <c r="X32" i="50" s="1"/>
  <c r="P15" i="50"/>
  <c r="H26" i="50"/>
  <c r="H32" i="50" s="1"/>
  <c r="AL26" i="50"/>
  <c r="AH26" i="50"/>
  <c r="AH32" i="50" s="1"/>
  <c r="Z26" i="50"/>
  <c r="Y26" i="50"/>
  <c r="Y32" i="50" s="1"/>
  <c r="Q26" i="50"/>
  <c r="Q32" i="50" s="1"/>
  <c r="F26" i="50"/>
  <c r="F32" i="50" s="1"/>
  <c r="G39" i="50" s="1"/>
  <c r="J606" i="32"/>
  <c r="J622" i="32" s="1"/>
  <c r="J642" i="32" s="1"/>
  <c r="K606" i="32"/>
  <c r="K622" i="32" s="1"/>
  <c r="K642" i="32" s="1"/>
  <c r="K580" i="32"/>
  <c r="K396" i="32"/>
  <c r="K405" i="32" s="1"/>
  <c r="I383" i="32"/>
  <c r="I511" i="32" s="1"/>
  <c r="I521" i="32" s="1"/>
  <c r="I530" i="32" s="1"/>
  <c r="I540" i="32" s="1"/>
  <c r="I547" i="32" s="1"/>
  <c r="I567" i="32" s="1"/>
  <c r="I574" i="32" s="1"/>
  <c r="I584" i="32" s="1"/>
  <c r="E369" i="32"/>
  <c r="K344" i="32"/>
  <c r="K75" i="32"/>
  <c r="J64" i="32"/>
  <c r="K64" i="32"/>
  <c r="K37" i="32"/>
  <c r="K59" i="32" s="1"/>
  <c r="K67" i="32" s="1"/>
  <c r="K80" i="32" s="1"/>
  <c r="K88" i="32" s="1"/>
  <c r="E32" i="50" l="1"/>
  <c r="I635" i="32"/>
  <c r="I636" i="32"/>
  <c r="I626" i="32"/>
  <c r="I596" i="32" l="1"/>
  <c r="I597" i="32"/>
  <c r="I598" i="32"/>
  <c r="I599" i="32"/>
  <c r="I601" i="32"/>
  <c r="I595" i="32"/>
  <c r="I579" i="32"/>
  <c r="G368" i="32"/>
  <c r="K348" i="32"/>
  <c r="K345" i="32"/>
  <c r="K346" i="32"/>
  <c r="K347" i="32"/>
  <c r="K350" i="32"/>
  <c r="K353" i="32"/>
  <c r="K354" i="32"/>
  <c r="K352" i="32"/>
  <c r="I256" i="32"/>
  <c r="I266" i="32"/>
  <c r="K212" i="32"/>
  <c r="E201" i="32"/>
  <c r="I600" i="32" l="1"/>
  <c r="I293" i="32"/>
  <c r="J55" i="32" l="1"/>
  <c r="G42" i="44" l="1"/>
  <c r="J32" i="49" l="1"/>
  <c r="K32" i="49"/>
  <c r="I38" i="49" l="1"/>
  <c r="I21" i="49"/>
  <c r="I30" i="49"/>
  <c r="I39" i="49" l="1"/>
  <c r="I42" i="49" s="1"/>
  <c r="I589" i="32" l="1"/>
  <c r="J586" i="32"/>
  <c r="J589" i="32" s="1"/>
  <c r="K586" i="32"/>
  <c r="K589" i="32" s="1"/>
  <c r="K578" i="32" l="1"/>
  <c r="I578" i="32"/>
  <c r="I580" i="32"/>
  <c r="I577" i="32"/>
  <c r="K577" i="32"/>
  <c r="J581" i="32" s="1"/>
  <c r="AS14" i="50" l="1"/>
  <c r="M20" i="50"/>
  <c r="I657" i="32"/>
  <c r="K657" i="32"/>
  <c r="K550" i="32"/>
  <c r="K535" i="32"/>
  <c r="K514" i="32"/>
  <c r="J473" i="32"/>
  <c r="J653" i="32" s="1"/>
  <c r="I464" i="32"/>
  <c r="K367" i="32"/>
  <c r="G369" i="32"/>
  <c r="K293" i="32"/>
  <c r="I272" i="32"/>
  <c r="J271" i="32"/>
  <c r="K271" i="32"/>
  <c r="J255" i="32"/>
  <c r="K255" i="32"/>
  <c r="K282" i="32" s="1"/>
  <c r="J282" i="32" l="1"/>
  <c r="K527" i="32"/>
  <c r="K85" i="32" l="1"/>
  <c r="I49" i="32" l="1"/>
  <c r="J21" i="32"/>
  <c r="J14" i="32"/>
  <c r="J34" i="32" l="1"/>
  <c r="H15" i="44" l="1"/>
  <c r="A2" i="32" l="1"/>
  <c r="K94" i="32" l="1"/>
  <c r="AS57" i="50" l="1"/>
  <c r="AC53" i="50"/>
  <c r="K458" i="32" l="1"/>
  <c r="A672" i="32" l="1"/>
  <c r="A666" i="32"/>
  <c r="A51" i="49"/>
  <c r="A46" i="49"/>
  <c r="I44" i="32" l="1"/>
  <c r="K366" i="32" l="1"/>
  <c r="K368" i="32" l="1"/>
  <c r="K369" i="32" s="1"/>
  <c r="K329" i="32" l="1"/>
  <c r="I329" i="32"/>
  <c r="I331" i="32" s="1"/>
  <c r="I279" i="32"/>
  <c r="I278" i="32" s="1"/>
  <c r="AK21" i="50" l="1"/>
  <c r="AC31" i="50"/>
  <c r="AC21" i="50"/>
  <c r="AC15" i="50"/>
  <c r="M29" i="50"/>
  <c r="M27" i="50"/>
  <c r="M21" i="50"/>
  <c r="E17" i="50"/>
  <c r="E22" i="50" s="1"/>
  <c r="E36" i="50" s="1"/>
  <c r="AK31" i="50"/>
  <c r="I369" i="32" l="1"/>
  <c r="K222" i="32" l="1"/>
  <c r="K221" i="32"/>
  <c r="K249" i="32" l="1"/>
  <c r="I222" i="32" l="1"/>
  <c r="I221" i="32"/>
  <c r="K2" i="49" l="1"/>
  <c r="K555" i="32" l="1"/>
  <c r="I555" i="32"/>
  <c r="K217" i="32"/>
  <c r="I217" i="32"/>
  <c r="K10" i="59" l="1"/>
  <c r="J10" i="59"/>
  <c r="I10" i="59"/>
  <c r="H10" i="59"/>
  <c r="G10" i="59"/>
  <c r="F10" i="59"/>
  <c r="E10" i="59"/>
  <c r="D10" i="59"/>
  <c r="C10" i="59"/>
  <c r="L9" i="59"/>
  <c r="L8" i="59"/>
  <c r="L7" i="59"/>
  <c r="L10" i="59" l="1"/>
  <c r="I630" i="32"/>
  <c r="I629" i="32"/>
  <c r="I627" i="32"/>
  <c r="I613" i="32"/>
  <c r="I320" i="32"/>
  <c r="K320" i="32"/>
  <c r="I94" i="32" l="1"/>
  <c r="K47" i="32"/>
  <c r="I628" i="32"/>
  <c r="K552" i="32" l="1"/>
  <c r="I552" i="32"/>
  <c r="I537" i="32"/>
  <c r="K537" i="32"/>
  <c r="J537" i="32"/>
  <c r="I85" i="32"/>
  <c r="I634" i="32"/>
  <c r="I633" i="32"/>
  <c r="I632" i="32"/>
  <c r="I631" i="32"/>
  <c r="I625" i="32"/>
  <c r="I616" i="32"/>
  <c r="I615" i="32"/>
  <c r="I614" i="32"/>
  <c r="I612" i="32"/>
  <c r="I611" i="32"/>
  <c r="I610" i="32"/>
  <c r="I609" i="32"/>
  <c r="I562" i="32"/>
  <c r="I558" i="32"/>
  <c r="AS31" i="50" l="1"/>
  <c r="K314" i="32"/>
  <c r="K220" i="32" l="1"/>
  <c r="K53" i="32"/>
  <c r="I270" i="32" l="1"/>
  <c r="K225" i="32"/>
  <c r="K229" i="32" s="1"/>
  <c r="I271" i="32" l="1"/>
  <c r="I282" i="32" s="1"/>
  <c r="K242" i="32"/>
  <c r="K40" i="32" l="1"/>
  <c r="K39" i="32" s="1"/>
  <c r="K325" i="32" l="1"/>
  <c r="K331" i="32" s="1"/>
  <c r="I10" i="56" l="1"/>
  <c r="F14" i="56"/>
  <c r="E14" i="56"/>
  <c r="D14" i="56"/>
  <c r="C14" i="56"/>
  <c r="G13" i="56"/>
  <c r="H13" i="56" s="1"/>
  <c r="I13" i="56" s="1"/>
  <c r="G12" i="56"/>
  <c r="G11" i="56"/>
  <c r="H11" i="56" s="1"/>
  <c r="I11" i="56" s="1"/>
  <c r="F10" i="56"/>
  <c r="E10" i="56"/>
  <c r="D10" i="56"/>
  <c r="C10" i="56"/>
  <c r="G9" i="56"/>
  <c r="H9" i="56" s="1"/>
  <c r="G8" i="56"/>
  <c r="G7" i="56"/>
  <c r="H7" i="56" s="1"/>
  <c r="G14" i="56" l="1"/>
  <c r="H12" i="56"/>
  <c r="I12" i="56" s="1"/>
  <c r="I14" i="56" s="1"/>
  <c r="G10" i="56"/>
  <c r="H8" i="56"/>
  <c r="H10" i="56" s="1"/>
  <c r="I179" i="32"/>
  <c r="G179" i="32"/>
  <c r="E179" i="32"/>
  <c r="I176" i="32"/>
  <c r="G176" i="32"/>
  <c r="E176" i="32"/>
  <c r="K175" i="32"/>
  <c r="K174" i="32"/>
  <c r="K173" i="32"/>
  <c r="K172" i="32"/>
  <c r="K171" i="32"/>
  <c r="I168" i="32"/>
  <c r="I180" i="32" s="1"/>
  <c r="G168" i="32"/>
  <c r="E180" i="32"/>
  <c r="K167" i="32"/>
  <c r="K166" i="32"/>
  <c r="K165" i="32"/>
  <c r="K164" i="32"/>
  <c r="K163" i="32"/>
  <c r="K162" i="32"/>
  <c r="U21" i="50"/>
  <c r="H14" i="56" l="1"/>
  <c r="G180" i="32"/>
  <c r="K180" i="32" s="1"/>
  <c r="K179" i="32"/>
  <c r="K176" i="32"/>
  <c r="K168" i="32"/>
  <c r="K619" i="32" l="1"/>
  <c r="I561" i="32" l="1"/>
  <c r="I559" i="32" l="1"/>
  <c r="K639" i="32"/>
  <c r="I617" i="32" l="1"/>
  <c r="I249" i="32"/>
  <c r="I314" i="32"/>
  <c r="I220" i="32"/>
  <c r="I229" i="32" s="1"/>
  <c r="I560" i="32"/>
  <c r="K603" i="32"/>
  <c r="K518" i="32"/>
  <c r="K442" i="32"/>
  <c r="K451" i="32"/>
  <c r="K433" i="32"/>
  <c r="I442" i="32" l="1"/>
  <c r="K203" i="32"/>
  <c r="K202" i="32"/>
  <c r="K199" i="32"/>
  <c r="K198" i="32"/>
  <c r="K52" i="32"/>
  <c r="K55" i="32" s="1"/>
  <c r="K29" i="32" l="1"/>
  <c r="K28" i="32" s="1"/>
  <c r="K34" i="32" s="1"/>
  <c r="I19" i="4" l="1"/>
  <c r="G33" i="35" l="1"/>
  <c r="G37" i="35" s="1"/>
  <c r="G38" i="35" s="1"/>
  <c r="I377" i="32"/>
  <c r="AC20" i="50"/>
  <c r="E201" i="52"/>
  <c r="AC30" i="50"/>
  <c r="H198" i="52"/>
  <c r="A3" i="44"/>
  <c r="A3" i="49" s="1"/>
  <c r="K45" i="49"/>
  <c r="K44" i="49"/>
  <c r="G664" i="32" s="1"/>
  <c r="G52" i="52"/>
  <c r="E20" i="53"/>
  <c r="E34" i="53"/>
  <c r="E35" i="53"/>
  <c r="E33" i="53"/>
  <c r="E32" i="53"/>
  <c r="E31" i="53"/>
  <c r="G30" i="53"/>
  <c r="F30" i="53"/>
  <c r="E30" i="53"/>
  <c r="D30" i="53"/>
  <c r="C30" i="53"/>
  <c r="G21" i="53"/>
  <c r="F21" i="53"/>
  <c r="E21" i="53"/>
  <c r="D21" i="53"/>
  <c r="G20" i="53"/>
  <c r="F20" i="53"/>
  <c r="D20" i="53"/>
  <c r="G19" i="53"/>
  <c r="F19" i="53"/>
  <c r="E19" i="53"/>
  <c r="D19" i="53"/>
  <c r="C21" i="53"/>
  <c r="C20" i="53"/>
  <c r="C19" i="53"/>
  <c r="G18" i="53"/>
  <c r="F18" i="53"/>
  <c r="E18" i="53"/>
  <c r="D18" i="53"/>
  <c r="C18" i="53"/>
  <c r="G17" i="53"/>
  <c r="F17" i="53"/>
  <c r="E17" i="53"/>
  <c r="D17" i="53"/>
  <c r="C17" i="53"/>
  <c r="G15" i="53"/>
  <c r="F15" i="53"/>
  <c r="E15" i="53"/>
  <c r="D15" i="53"/>
  <c r="C15" i="53"/>
  <c r="C7" i="53"/>
  <c r="D7" i="53" s="1"/>
  <c r="I412" i="32"/>
  <c r="K412" i="32"/>
  <c r="K301" i="32"/>
  <c r="I301" i="32"/>
  <c r="K191" i="32"/>
  <c r="M35" i="50"/>
  <c r="G123" i="52"/>
  <c r="F125" i="52" s="1"/>
  <c r="G126" i="52" s="1"/>
  <c r="F132" i="52"/>
  <c r="F135" i="52" s="1"/>
  <c r="F134" i="52"/>
  <c r="G161" i="52"/>
  <c r="F165" i="52" s="1"/>
  <c r="G166" i="52" s="1"/>
  <c r="G168" i="52" s="1"/>
  <c r="F205" i="52"/>
  <c r="E208" i="52"/>
  <c r="E211" i="52" s="1"/>
  <c r="E214" i="52" s="1"/>
  <c r="F215" i="52" s="1"/>
  <c r="F265" i="52"/>
  <c r="E263" i="52"/>
  <c r="E264" i="52" s="1"/>
  <c r="E255" i="52"/>
  <c r="F255" i="52" s="1"/>
  <c r="F259" i="52"/>
  <c r="G40" i="52"/>
  <c r="F44" i="52" s="1"/>
  <c r="G109" i="52"/>
  <c r="G33" i="52"/>
  <c r="D10" i="52"/>
  <c r="D12" i="52" s="1"/>
  <c r="G85" i="52"/>
  <c r="G87" i="52" s="1"/>
  <c r="D95" i="52" s="1"/>
  <c r="E97" i="52" s="1"/>
  <c r="D222" i="52"/>
  <c r="D224" i="52" s="1"/>
  <c r="F228" i="52" s="1"/>
  <c r="G222" i="52"/>
  <c r="E21" i="52"/>
  <c r="G48" i="52"/>
  <c r="G60" i="52"/>
  <c r="E185" i="52"/>
  <c r="E271" i="52"/>
  <c r="G64" i="52"/>
  <c r="F73" i="52"/>
  <c r="G47" i="52"/>
  <c r="F243" i="52"/>
  <c r="I64" i="4"/>
  <c r="I77" i="4"/>
  <c r="I89" i="4"/>
  <c r="I111" i="4"/>
  <c r="I39" i="4"/>
  <c r="I46" i="4"/>
  <c r="I52" i="4"/>
  <c r="I56" i="4"/>
  <c r="I59" i="4"/>
  <c r="I16" i="4"/>
  <c r="I22" i="4"/>
  <c r="I29" i="4"/>
  <c r="I32" i="4"/>
  <c r="G71" i="52"/>
  <c r="G67" i="52"/>
  <c r="G62" i="52"/>
  <c r="E192" i="52"/>
  <c r="F171" i="52"/>
  <c r="F170" i="52"/>
  <c r="G152" i="52"/>
  <c r="F155" i="52" s="1"/>
  <c r="G156" i="52" s="1"/>
  <c r="H222" i="52"/>
  <c r="H223" i="52" s="1"/>
  <c r="F222" i="52"/>
  <c r="F223" i="52" s="1"/>
  <c r="E222" i="52"/>
  <c r="E223" i="52" s="1"/>
  <c r="H85" i="52"/>
  <c r="H87" i="52" s="1"/>
  <c r="F85" i="52"/>
  <c r="F87" i="52" s="1"/>
  <c r="E85" i="52"/>
  <c r="E87" i="52" s="1"/>
  <c r="D85" i="52"/>
  <c r="D86" i="52" s="1"/>
  <c r="G10" i="52"/>
  <c r="G12" i="52" s="1"/>
  <c r="F10" i="52"/>
  <c r="F12" i="52" s="1"/>
  <c r="E10" i="52"/>
  <c r="A3" i="50"/>
  <c r="A2" i="50"/>
  <c r="K214" i="32"/>
  <c r="I212" i="32"/>
  <c r="I214" i="32" s="1"/>
  <c r="E207" i="32"/>
  <c r="K339" i="32"/>
  <c r="AR35" i="50"/>
  <c r="AQ35" i="50"/>
  <c r="AO35" i="50"/>
  <c r="AN35" i="50"/>
  <c r="AM35" i="50"/>
  <c r="AL35" i="50"/>
  <c r="AJ35" i="50"/>
  <c r="AI35" i="50"/>
  <c r="AG35" i="50"/>
  <c r="AF35" i="50"/>
  <c r="AE35" i="50"/>
  <c r="AD35" i="50"/>
  <c r="AB35" i="50"/>
  <c r="AA35" i="50"/>
  <c r="Y35" i="50"/>
  <c r="X35" i="50"/>
  <c r="W35" i="50"/>
  <c r="V35" i="50"/>
  <c r="T35" i="50"/>
  <c r="S35" i="50"/>
  <c r="Q35" i="50"/>
  <c r="P35" i="50"/>
  <c r="O35" i="50"/>
  <c r="N35" i="50"/>
  <c r="L35" i="50"/>
  <c r="K35" i="50"/>
  <c r="I35" i="50"/>
  <c r="H35" i="50"/>
  <c r="G35" i="50"/>
  <c r="F35" i="50"/>
  <c r="AK30" i="50"/>
  <c r="AK29" i="50"/>
  <c r="AK28" i="50"/>
  <c r="AK27" i="50"/>
  <c r="AC29" i="50"/>
  <c r="AC28" i="50"/>
  <c r="AC27" i="50"/>
  <c r="U30" i="50"/>
  <c r="U29" i="50"/>
  <c r="U28" i="50"/>
  <c r="U27" i="50"/>
  <c r="M28" i="50"/>
  <c r="M32" i="50" s="1"/>
  <c r="AR36" i="50"/>
  <c r="AJ32" i="50"/>
  <c r="AJ36" i="50" s="1"/>
  <c r="AB36" i="50"/>
  <c r="T32" i="50"/>
  <c r="T36" i="50" s="1"/>
  <c r="L32" i="50"/>
  <c r="L36" i="50" s="1"/>
  <c r="AK20" i="50"/>
  <c r="AK19" i="50"/>
  <c r="AK18" i="50"/>
  <c r="AK17" i="50"/>
  <c r="AK16" i="50"/>
  <c r="AK15" i="50"/>
  <c r="AK35" i="50"/>
  <c r="AC19" i="50"/>
  <c r="AC18" i="50"/>
  <c r="AC17" i="50"/>
  <c r="AC16" i="50"/>
  <c r="U20" i="50"/>
  <c r="U19" i="50"/>
  <c r="U17" i="50"/>
  <c r="U16" i="50"/>
  <c r="U35" i="50"/>
  <c r="M19" i="50"/>
  <c r="M18" i="50"/>
  <c r="M17" i="50"/>
  <c r="M16" i="50"/>
  <c r="K36" i="50"/>
  <c r="I36" i="50"/>
  <c r="H36" i="50"/>
  <c r="G36" i="50"/>
  <c r="K402" i="32"/>
  <c r="I648" i="32"/>
  <c r="K564" i="32"/>
  <c r="I427" i="32"/>
  <c r="I436" i="32" s="1"/>
  <c r="I445" i="32" s="1"/>
  <c r="I454" i="32" s="1"/>
  <c r="I461" i="32" s="1"/>
  <c r="E197" i="32"/>
  <c r="K2" i="32"/>
  <c r="J2" i="44"/>
  <c r="K648" i="32"/>
  <c r="K206" i="32"/>
  <c r="K207" i="32"/>
  <c r="I197" i="32"/>
  <c r="G197" i="32"/>
  <c r="I201" i="32"/>
  <c r="G201" i="32"/>
  <c r="A2" i="44"/>
  <c r="A2" i="49" s="1"/>
  <c r="G45" i="4"/>
  <c r="K361" i="32"/>
  <c r="K384" i="32" s="1"/>
  <c r="K386" i="32" s="1"/>
  <c r="K390" i="32" s="1"/>
  <c r="K389" i="32" s="1"/>
  <c r="I361" i="32"/>
  <c r="I384" i="32" s="1"/>
  <c r="I386" i="32" s="1"/>
  <c r="G74" i="4"/>
  <c r="I74" i="4"/>
  <c r="A1" i="44"/>
  <c r="A1" i="49" s="1"/>
  <c r="A1" i="32"/>
  <c r="A3" i="32"/>
  <c r="F36" i="50"/>
  <c r="E276" i="52"/>
  <c r="I29" i="32"/>
  <c r="G167" i="52"/>
  <c r="G45" i="52"/>
  <c r="M22" i="50" l="1"/>
  <c r="AS30" i="50"/>
  <c r="E22" i="53"/>
  <c r="U22" i="50"/>
  <c r="AK32" i="50"/>
  <c r="G22" i="53"/>
  <c r="G23" i="53" s="1"/>
  <c r="AK22" i="50"/>
  <c r="U32" i="50"/>
  <c r="K205" i="32"/>
  <c r="I385" i="32"/>
  <c r="I390" i="32"/>
  <c r="I389" i="32" s="1"/>
  <c r="K454" i="32"/>
  <c r="K461" i="32" s="1"/>
  <c r="K473" i="32" s="1"/>
  <c r="K653" i="32" s="1"/>
  <c r="K445" i="32"/>
  <c r="K436" i="32" s="1"/>
  <c r="K427" i="32" s="1"/>
  <c r="I473" i="32"/>
  <c r="I653" i="32" s="1"/>
  <c r="I592" i="32"/>
  <c r="I606" i="32" s="1"/>
  <c r="I622" i="32" s="1"/>
  <c r="I642" i="32" s="1"/>
  <c r="AS18" i="50"/>
  <c r="AC22" i="50"/>
  <c r="E355" i="32"/>
  <c r="I376" i="32"/>
  <c r="I379" i="32" s="1"/>
  <c r="G162" i="52"/>
  <c r="E202" i="52"/>
  <c r="E36" i="53"/>
  <c r="I99" i="4"/>
  <c r="F268" i="52"/>
  <c r="E267" i="52" s="1"/>
  <c r="K385" i="32"/>
  <c r="H86" i="52"/>
  <c r="I28" i="32"/>
  <c r="I34" i="32" s="1"/>
  <c r="E86" i="52"/>
  <c r="F11" i="52"/>
  <c r="E226" i="52"/>
  <c r="E224" i="52"/>
  <c r="F224" i="52" s="1"/>
  <c r="G11" i="52"/>
  <c r="D11" i="52"/>
  <c r="K379" i="32"/>
  <c r="AS17" i="50"/>
  <c r="D22" i="53"/>
  <c r="D23" i="53" s="1"/>
  <c r="G86" i="52"/>
  <c r="AS15" i="50"/>
  <c r="AC32" i="50"/>
  <c r="AC35" i="50"/>
  <c r="AS19" i="50"/>
  <c r="AS16" i="50"/>
  <c r="AS20" i="50"/>
  <c r="N36" i="50"/>
  <c r="P36" i="50"/>
  <c r="S36" i="50"/>
  <c r="W36" i="50"/>
  <c r="Y36" i="50"/>
  <c r="AD36" i="50"/>
  <c r="AF36" i="50"/>
  <c r="AI36" i="50"/>
  <c r="AS27" i="50"/>
  <c r="AS29" i="50"/>
  <c r="AM36" i="50"/>
  <c r="AO36" i="50"/>
  <c r="D87" i="52"/>
  <c r="I87" i="52" s="1"/>
  <c r="D223" i="52"/>
  <c r="F227" i="52" s="1"/>
  <c r="I222" i="52"/>
  <c r="K201" i="32"/>
  <c r="K197" i="32"/>
  <c r="G223" i="52"/>
  <c r="E230" i="52" s="1"/>
  <c r="F231" i="52" s="1"/>
  <c r="G224" i="52"/>
  <c r="H224" i="52" s="1"/>
  <c r="F86" i="52"/>
  <c r="K21" i="49"/>
  <c r="I76" i="4"/>
  <c r="I45" i="4"/>
  <c r="I37" i="4" s="1"/>
  <c r="I14" i="4"/>
  <c r="K424" i="32"/>
  <c r="K30" i="49"/>
  <c r="X36" i="50"/>
  <c r="AA36" i="50"/>
  <c r="AE36" i="50"/>
  <c r="F136" i="52"/>
  <c r="F22" i="53"/>
  <c r="F23" i="53" s="1"/>
  <c r="K38" i="49"/>
  <c r="O36" i="50"/>
  <c r="Q36" i="50"/>
  <c r="V36" i="50"/>
  <c r="AG36" i="50"/>
  <c r="AS28" i="50"/>
  <c r="AL36" i="50"/>
  <c r="AN36" i="50"/>
  <c r="AQ36" i="50"/>
  <c r="G56" i="4"/>
  <c r="E11" i="52"/>
  <c r="E12" i="52"/>
  <c r="I12" i="52" s="1"/>
  <c r="I85" i="52"/>
  <c r="F248" i="52"/>
  <c r="F249" i="52"/>
  <c r="E246" i="52"/>
  <c r="F247" i="52" s="1"/>
  <c r="G117" i="52"/>
  <c r="G118" i="52"/>
  <c r="G163" i="52"/>
  <c r="E205" i="32"/>
  <c r="I10" i="52"/>
  <c r="C22" i="53"/>
  <c r="C23" i="53" s="1"/>
  <c r="G127" i="52"/>
  <c r="G128" i="52"/>
  <c r="F114" i="52"/>
  <c r="AS32" i="50" l="1"/>
  <c r="AS22" i="50"/>
  <c r="I224" i="52"/>
  <c r="I98" i="4"/>
  <c r="I116" i="4" s="1"/>
  <c r="E203" i="52"/>
  <c r="E204" i="52"/>
  <c r="AK36" i="50"/>
  <c r="G32" i="4"/>
  <c r="K39" i="49"/>
  <c r="K42" i="49" s="1"/>
  <c r="I11" i="52"/>
  <c r="I86" i="52"/>
  <c r="AC36" i="50"/>
  <c r="M36" i="50"/>
  <c r="I223" i="52"/>
  <c r="G16" i="4"/>
  <c r="I69" i="4"/>
  <c r="F137" i="52"/>
  <c r="G25" i="35"/>
  <c r="G26" i="35" s="1"/>
  <c r="D233" i="52"/>
  <c r="D25" i="52"/>
  <c r="E25" i="35"/>
  <c r="E26" i="35" s="1"/>
  <c r="AS21" i="50"/>
  <c r="AS35" i="50"/>
  <c r="I564" i="32"/>
  <c r="G115" i="52"/>
  <c r="AS36" i="50" l="1"/>
  <c r="H25" i="35"/>
  <c r="G138" i="52"/>
  <c r="F144" i="52"/>
  <c r="D27" i="52"/>
  <c r="D28" i="52"/>
  <c r="D236" i="52"/>
  <c r="F237" i="52" s="1"/>
  <c r="D235" i="52"/>
  <c r="G22" i="4"/>
  <c r="G59" i="4"/>
  <c r="F25" i="35" l="1"/>
  <c r="F26" i="35" s="1"/>
  <c r="I26" i="35" s="1"/>
  <c r="D100" i="52"/>
  <c r="G141" i="52"/>
  <c r="G140" i="52"/>
  <c r="G145" i="52"/>
  <c r="K349" i="32" l="1"/>
  <c r="D102" i="52"/>
  <c r="D103" i="52"/>
  <c r="E23" i="53"/>
  <c r="G146" i="52"/>
  <c r="G147" i="52"/>
  <c r="U36" i="50"/>
  <c r="I53" i="32" l="1"/>
  <c r="I52" i="32" s="1"/>
  <c r="I55" i="32" s="1"/>
  <c r="I117" i="4" l="1"/>
  <c r="I135" i="4"/>
  <c r="I433" i="32" l="1"/>
  <c r="I75" i="32"/>
  <c r="I402" i="32" l="1"/>
  <c r="I424" i="32"/>
  <c r="I457" i="32" l="1"/>
  <c r="G29" i="4"/>
  <c r="G14" i="4" s="1"/>
  <c r="G64" i="4"/>
  <c r="G37" i="4" s="1"/>
  <c r="G69" i="4" l="1"/>
  <c r="I458" i="32"/>
  <c r="K467" i="32" l="1"/>
  <c r="G116" i="4" l="1"/>
  <c r="J121" i="4" s="1"/>
  <c r="G135" i="4" l="1"/>
  <c r="G117" i="4"/>
  <c r="G18" i="44" l="1"/>
  <c r="G25" i="44" s="1"/>
  <c r="G31" i="44" s="1"/>
  <c r="G34" i="44" s="1"/>
  <c r="I463" i="32" s="1"/>
  <c r="I467" i="32" s="1"/>
  <c r="I469" i="32" l="1"/>
  <c r="G39" i="44" s="1"/>
  <c r="G37" i="44"/>
  <c r="K351" i="32" l="1"/>
  <c r="K355" i="32"/>
</calcChain>
</file>

<file path=xl/sharedStrings.xml><?xml version="1.0" encoding="utf-8"?>
<sst xmlns="http://schemas.openxmlformats.org/spreadsheetml/2006/main" count="1315" uniqueCount="870">
  <si>
    <t>NGUỒN VỐN</t>
  </si>
  <si>
    <t>TÀI SẢN</t>
  </si>
  <si>
    <t>A. TÀI SẢN NGẮN HẠN</t>
  </si>
  <si>
    <t>B. TÀI SẢN DÀI HẠN</t>
  </si>
  <si>
    <t>A. NỢ PHẢI TRẢ (300 = 310 + 330)</t>
  </si>
  <si>
    <t>CHỈ TIÊU</t>
  </si>
  <si>
    <t>Chi phí nhân viên quản lý</t>
  </si>
  <si>
    <t>Chi phí dịch vụ mua ngoài</t>
  </si>
  <si>
    <t>Tổng Giám đốc</t>
  </si>
  <si>
    <t>Lãi cơ bản trên cổ phiếu</t>
  </si>
  <si>
    <t>Lợi nhuận kế toán sau thuế thu nhập doanh nghiệp</t>
  </si>
  <si>
    <t>Các khoản điều chỉnh tăng</t>
  </si>
  <si>
    <t>Các khoản điều chỉnh giảm</t>
  </si>
  <si>
    <t>Lợi nhuận hoặc lỗ phân bổ cho cổ đông sở hữu cổ phiếu phổ thông</t>
  </si>
  <si>
    <t>Cổ phiếu phổ thông đang lưu hành bình quân trong kỳ</t>
  </si>
  <si>
    <t>BẢNG TỔNG HỢP CÁC BÚT TOÁN ĐIỀU CHỈNH</t>
  </si>
  <si>
    <t>20.</t>
  </si>
  <si>
    <t>Ảnh hưởng của thay đổi tỷ giá hối đoái quy đổi ngoại tệ</t>
  </si>
  <si>
    <t>Thông tin so sánh</t>
  </si>
  <si>
    <t>1.1</t>
  </si>
  <si>
    <t xml:space="preserve">Các khoản điều chỉnh tăng hoặc giảm lợi nhuận kế toán để xác định lợi nhuận hoặc lỗ phân bổ cho các cổ đông sở hữu cổ phiếu phổ thông </t>
  </si>
  <si>
    <t>B. VỐN CHỦ SỞ HỮU (400 = 410 + 430)</t>
  </si>
  <si>
    <t>Công cụ dụng cụ</t>
  </si>
  <si>
    <t>V.14</t>
  </si>
  <si>
    <t>Các khoản đầu tư tài chính ngắn hạn</t>
  </si>
  <si>
    <t>VII.</t>
  </si>
  <si>
    <t>Vốn góp của các cổ đông</t>
  </si>
  <si>
    <t>Thông tin bổ sung cho các khoản mục trình bày trong Báo cáo kết quả hoạt động kinh doanh</t>
  </si>
  <si>
    <t xml:space="preserve">Tiền và tương đương tiền đầu kỳ </t>
  </si>
  <si>
    <t>Doanh thu hoạt động xây lắp</t>
  </si>
  <si>
    <t>Doanh thu hoạt động kinh doanh bất động sản</t>
  </si>
  <si>
    <t>Doanh thu thuần hoạt động xây lắp</t>
  </si>
  <si>
    <t>Doanh thu thuần hoạt động kinh doanh bất động sản</t>
  </si>
  <si>
    <t>Giá vốn hoạt động xây lắp</t>
  </si>
  <si>
    <t>Giá vốn hoạt động kinh doanh bất động sản</t>
  </si>
  <si>
    <t>Lãi cổ tức, trái phiếu</t>
  </si>
  <si>
    <t>Chi phí Nguyên vật liệu, bao bì</t>
  </si>
  <si>
    <t>Chi phí dụng cụ đồ dùng</t>
  </si>
  <si>
    <t>Chi phí Khấu hao Tài sản cố định</t>
  </si>
  <si>
    <t>Thuế, phí, lệ phí</t>
  </si>
  <si>
    <t>Chi phí bằng tiền khác</t>
  </si>
  <si>
    <t>11. Quỹ khen thưởng phúc lợi</t>
  </si>
  <si>
    <t>Các khoản tương đương tiền</t>
  </si>
  <si>
    <t>V.15</t>
  </si>
  <si>
    <t>VI.23</t>
  </si>
  <si>
    <t>24.</t>
  </si>
  <si>
    <t>Tiền thu khác từ hoạt động kinh doanh</t>
  </si>
  <si>
    <t>CÔNG TY CỔ PHẦN ĐẦU TƯ C.E.O</t>
  </si>
  <si>
    <t>CEO Đầu tư</t>
  </si>
  <si>
    <t>CEO Quốc tế</t>
  </si>
  <si>
    <t>CEO Xây dựng</t>
  </si>
  <si>
    <t>CEO Dịch vụ</t>
  </si>
  <si>
    <t>Đại Việt</t>
  </si>
  <si>
    <t>Doanh thu chưa thực hiện</t>
  </si>
  <si>
    <t>Công ty Cổ phần Đầu tư C.E.O</t>
  </si>
  <si>
    <t>Công ty Cổ phần C.E.O Quốc tế</t>
  </si>
  <si>
    <t>Công ty Cổ phần Xây dựng C.E.O</t>
  </si>
  <si>
    <t>Công ty Cổ phần Phát triển dịch vụ C.E.O</t>
  </si>
  <si>
    <t>Trường Cao đẳng Đại Việt</t>
  </si>
  <si>
    <t>Hàng mua đang đi đường</t>
  </si>
  <si>
    <t>Nguyên vật liệu</t>
  </si>
  <si>
    <t>Hàng hóa</t>
  </si>
  <si>
    <t>Thành phẩm</t>
  </si>
  <si>
    <t>Doanh thu cung câp dịch vụ</t>
  </si>
  <si>
    <t>Doanh thu thuần cung cấp dịch vụ</t>
  </si>
  <si>
    <t>VI. Lợi thế thương mại</t>
  </si>
  <si>
    <t>TỔNG CỘNG NGUỒN VỐN (440=300+400+439)</t>
  </si>
  <si>
    <t>Chi phí bán hàng</t>
  </si>
  <si>
    <t>BÁO CÁO TÀI CHÍNH HỢP NHẤT</t>
  </si>
  <si>
    <t>Tăng giảm tài sản cố định hữu hình</t>
  </si>
  <si>
    <t>Máy móc, thiết bị</t>
  </si>
  <si>
    <t>- Đầu tư XDCB hoàn thành</t>
  </si>
  <si>
    <t>- Tăng do chuyển từ TSCĐ thuê tài chính</t>
  </si>
  <si>
    <t>- Chuyển sang BĐS đầu tư</t>
  </si>
  <si>
    <t>CĐ Đại Việt</t>
  </si>
  <si>
    <t>Ngân hàng TMCP Quân đội(2)</t>
  </si>
  <si>
    <t>Ngân hàng TMCP PGBank (3)</t>
  </si>
  <si>
    <t>Doanh thu bán hàng</t>
  </si>
  <si>
    <t>Chênh lệch tỷ giá hối đoái</t>
  </si>
  <si>
    <t>5.</t>
  </si>
  <si>
    <t xml:space="preserve">Chi phí nhân viên </t>
  </si>
  <si>
    <t>V.17</t>
  </si>
  <si>
    <t>VI.24</t>
  </si>
  <si>
    <t>Tỷ lệ góp vốn</t>
  </si>
  <si>
    <t>Thuế thu nhập doanh nghiệp</t>
  </si>
  <si>
    <t>Công ty liên kết: BMC Ceo</t>
  </si>
  <si>
    <t>Lợi nhuận sau thuế thu nhập doanh nghiệp</t>
  </si>
  <si>
    <t>Tỷ lệ lợi ích của Công ty CP Đầu tư CEO</t>
  </si>
  <si>
    <t>Lãi (lỗ) trong công ty liên doanh, liên kết</t>
  </si>
  <si>
    <t>Bút oán điều chỉnh:</t>
  </si>
  <si>
    <t>Giảm khoản mục Lãi (lỗ) trong Công ty liên doanh liên kết</t>
  </si>
  <si>
    <t>Giảm khoản mục Đầu tư vào Công ty liên doanh liên kết</t>
  </si>
  <si>
    <t>11.</t>
  </si>
  <si>
    <t>12.</t>
  </si>
  <si>
    <t>13.</t>
  </si>
  <si>
    <t>15.</t>
  </si>
  <si>
    <t>16.</t>
  </si>
  <si>
    <t>Phí chuyển nhượng cổ phần</t>
  </si>
  <si>
    <t>Chi phí hoạt động của nhà hàng</t>
  </si>
  <si>
    <t>Công trình Trường Cao đẳng Đại Việt</t>
  </si>
  <si>
    <t>Công trình Dự án khu phần mềm CEO Láng - Hòa Lạc</t>
  </si>
  <si>
    <t>Nhà cửa vật kiến trúc</t>
  </si>
  <si>
    <t>Vay ngắn hạn</t>
  </si>
  <si>
    <t>Đoàn Văn Bình</t>
  </si>
  <si>
    <t>Nợ dài hạn đến hạn trả</t>
  </si>
  <si>
    <t>Doanh thu chuyển nhượng bất động sản</t>
  </si>
  <si>
    <t>Hàng bán bị trả lại</t>
  </si>
  <si>
    <t>Chi phí lãi vay</t>
  </si>
  <si>
    <t>Lỗ từ hoạt động đầu tư chứng khoán</t>
  </si>
  <si>
    <t>CEO Đại Việt</t>
  </si>
  <si>
    <t>Quỹ Đầu tư phát triển</t>
  </si>
  <si>
    <t>Quỹ khác</t>
  </si>
  <si>
    <t>Lợi ích của CEO Đầu tư trong các đơn vị như sau</t>
  </si>
  <si>
    <t>Lãi trong năm</t>
  </si>
  <si>
    <t>Khử trùng giao dịch tiền điện nước với CEO Đầu tư</t>
  </si>
  <si>
    <t>Điều chỉnh giảm doanh thu dịch vụ</t>
  </si>
  <si>
    <t>8. Doanh thu chưa thực hiện</t>
  </si>
  <si>
    <t>BẢNG CÂN ĐỐI KẾ TOÁN HỢP NHẤT</t>
  </si>
  <si>
    <t>3. Cổ phiếu quỹ</t>
  </si>
  <si>
    <t>20. Lợi nhuận sau thuế của cổ đông của Công ty mẹ</t>
  </si>
  <si>
    <t>16. Chi phí thuế TNDN hiện hành</t>
  </si>
  <si>
    <t>17. Chi phí thuế TNDN hoãn lại</t>
  </si>
  <si>
    <t>18. Lợi nhuận sau thuế thu nhập doanh nghiệp</t>
  </si>
  <si>
    <t>21. Lãi cơ bản trên cổ phiếu</t>
  </si>
  <si>
    <t>Thông tin bổ sung cho các khoản mục trình bày trong Bảng cân đối kế toán hợp nhất</t>
  </si>
  <si>
    <t>Phương tiện 
vận tải</t>
  </si>
  <si>
    <t>Tài sản 
cố định khác</t>
  </si>
  <si>
    <t>Nhà cửa, 
vật kiến trúc</t>
  </si>
  <si>
    <t>Phần mềm 
kế toán</t>
  </si>
  <si>
    <t>Công ty Cổ phần  Xây dựng C.E.O</t>
  </si>
  <si>
    <t>Công ty Cổ phần Đầu tư và Phát triển Phú Quốc</t>
  </si>
  <si>
    <t>Đầu tư vào Công ty liên doanh, liên kết</t>
  </si>
  <si>
    <t>Đầu tư vào Công ty liên kết</t>
  </si>
  <si>
    <t>Công ty CP BMC - C.E.O</t>
  </si>
  <si>
    <t>Thu tiền chuyển nhượng cổ phần</t>
  </si>
  <si>
    <t>Thu phạt đi muộn</t>
  </si>
  <si>
    <t>Thu khác</t>
  </si>
  <si>
    <t>Tăng, giảm tài sản cố định vô hình</t>
  </si>
  <si>
    <t>Thương hiệu 
Công ty</t>
  </si>
  <si>
    <t>Nguyên giá TSCĐ vô hình</t>
  </si>
  <si>
    <t xml:space="preserve">                  BÁO CÁO TÀI CHÍNH HỢP NHẤT</t>
  </si>
  <si>
    <t>CÔNG TY CỔ PHẨN ĐẦU TƯ C.E.O</t>
  </si>
  <si>
    <t>B1.</t>
  </si>
  <si>
    <t>Cộng hợp</t>
  </si>
  <si>
    <t>B2</t>
  </si>
  <si>
    <t>Loại trừ khoản đầu tư vào công ty con và ghi nhận lợi thế thương mại (nếu co)</t>
  </si>
  <si>
    <t>B3</t>
  </si>
  <si>
    <t>Phân bổ lợi thế thương mại</t>
  </si>
  <si>
    <t>B4.</t>
  </si>
  <si>
    <t>Tách lợi ích của cổ đông thiểu số</t>
  </si>
  <si>
    <t>B5.</t>
  </si>
  <si>
    <t>Loại trừ các giao dịch nội bộ và ghi nhận thuế thu nhập doanh nghiệp hoãn lại</t>
  </si>
  <si>
    <t>B6.</t>
  </si>
  <si>
    <t>Lập bảng các bút toán điều chỉnh và bảng tổng hợp chỉ tiêu hợp nhất</t>
  </si>
  <si>
    <t>B7.</t>
  </si>
  <si>
    <t>Lập báo cáo hợp nhất</t>
  </si>
  <si>
    <t>OK</t>
  </si>
  <si>
    <t>[B2]</t>
  </si>
  <si>
    <t>[B3]</t>
  </si>
  <si>
    <t>Không phân bổ lợi thế thương mại vì không xuất hiện lợi thế thương mại</t>
  </si>
  <si>
    <t>[B4]</t>
  </si>
  <si>
    <t>62</t>
  </si>
  <si>
    <t>14. Lãi hoặc lỗ trong công ty liên doanh, liên kết</t>
  </si>
  <si>
    <t>45</t>
  </si>
  <si>
    <t>19. Lợi nhuận sau thuế của cổ đông thiểu số</t>
  </si>
  <si>
    <t>61</t>
  </si>
  <si>
    <t>Nợ Vốn chủ sở hữu</t>
  </si>
  <si>
    <t>Nợ các quỹ</t>
  </si>
  <si>
    <t>Nợ Lợi thế thương mại</t>
  </si>
  <si>
    <t>Có đầu tư vào công ty con</t>
  </si>
  <si>
    <t>1. Xác định lợi của cổ đông thiểu số của Công ty Cổ phần CEO Quốc tế</t>
  </si>
  <si>
    <t>Tại ngày 31/12/2010</t>
  </si>
  <si>
    <t>Lợi ích của Công ty mẹ</t>
  </si>
  <si>
    <t>Lợi ích của Cổ đông thiểu số</t>
  </si>
  <si>
    <t>Lợi nhuận sau thuế chưa phân phối</t>
  </si>
  <si>
    <t>Lợi nhuận sau thuế của năm 2010</t>
  </si>
  <si>
    <t xml:space="preserve">Phân phối </t>
  </si>
  <si>
    <t>Cho lợi nhuận của Công ty mẹ</t>
  </si>
  <si>
    <t>Cho lợi ích của Cổ đông thiểu số</t>
  </si>
  <si>
    <t>Khử trùng giao dịch nội bộ giữa CEO Quốc tế với các công ty khac</t>
  </si>
  <si>
    <t>1.- Lãi khoản Công ty CEO Quốc tế cho CEO Đầu tư vay</t>
  </si>
  <si>
    <t>Điều chỉnh giảm khoản doanh thu hoạt động tài chính</t>
  </si>
  <si>
    <t>Điều chỉnh khoản chi phí hoạt động tài chính</t>
  </si>
  <si>
    <t>2 - Điều chỉnh khoản thuê và cho thuê văn phòng giữa CEO Quốc tế với CEO Đầu tư</t>
  </si>
  <si>
    <t>Điều chỉnh giảm khoản doanh thu cho thuê bất động sản</t>
  </si>
  <si>
    <t>Điều chỉnh giảm khoản giá vốn hoạt động cho thuê bất động sản</t>
  </si>
  <si>
    <t>Ghi nhận thuế thu nhập doanh nghiệp hoãn lại phải trả tương ứng với giao dịch trên</t>
  </si>
  <si>
    <t>3 - Khử trung số dư phải thu phải trả</t>
  </si>
  <si>
    <t>Điều chỉnh giảm khoản vay dài hạn</t>
  </si>
  <si>
    <t>Điều chỉnh giảm khoản đầu tư dài hạn</t>
  </si>
  <si>
    <t>Chi phí phải trả</t>
  </si>
  <si>
    <t>Giảm giá hàng bán</t>
  </si>
  <si>
    <t>Công ty CP Đầu tư C.E.O</t>
  </si>
  <si>
    <t>Không phải thực hiện hoãn lại</t>
  </si>
  <si>
    <t>[Giả sử đã bán hết ra bên ngoài]</t>
  </si>
  <si>
    <t xml:space="preserve">Lợi ích của cổ đông thiểu số </t>
  </si>
  <si>
    <t>Đại Viẹt</t>
  </si>
  <si>
    <t>Phú Quốc</t>
  </si>
  <si>
    <t>Có TK 221 - Phú Quốc</t>
  </si>
  <si>
    <t>Chiết khấu thương mại</t>
  </si>
  <si>
    <t>Quỹ khen thưởng phúc lợi</t>
  </si>
  <si>
    <t>1. Xác định lợi của cổ đông thiểu số của Công ty Cổ phần CEO Xây dựng</t>
  </si>
  <si>
    <t>Khử trùng giao dịch nội bộ giữa CEO Xây dựng với các công ty khac</t>
  </si>
  <si>
    <t>1.- Xây dựng cho CEO Đầu tư</t>
  </si>
  <si>
    <t>Điều chỉnh giảm khoản doanh thu bán hàng và cung câp dịch vụ</t>
  </si>
  <si>
    <t>Điều chỉnh giảm khoản giá vốn bán hàng và cung cấp dich vụ</t>
  </si>
  <si>
    <t>Điều chỉnh giảm khoản hàng tồn kho</t>
  </si>
  <si>
    <t>Ghi nhận thuế thu nhập hoãn lại đối với giao dịch trên</t>
  </si>
  <si>
    <t>1.- Xây dựng cho CEO Dịch vụ</t>
  </si>
  <si>
    <t>Quỹ khác thuộc chủ sở hữu</t>
  </si>
  <si>
    <t>1. Xác định lợi của cổ đông thiểu số của Trường Đại Việt</t>
  </si>
  <si>
    <t>Tỷ lệ sở hữu:</t>
  </si>
  <si>
    <t>Điều chỉnh giảm khoản đầu tư dài hạn khác</t>
  </si>
  <si>
    <t>Điều chỉnh giảm khoản vay dài hạn khác</t>
  </si>
  <si>
    <t xml:space="preserve">Điều chỉnh giảm khoản phải thu khác </t>
  </si>
  <si>
    <t>Điều chỉnh giảm khoản đầu tư ngắn hạn khác</t>
  </si>
  <si>
    <t>Điều chỉnh giảm khoản vay ngắn hạn</t>
  </si>
  <si>
    <t>Điều chỉnh giảm khoản phải thu</t>
  </si>
  <si>
    <t>Điều chỉnh giảm khoản phải thu khác ( CEO Đầu tư thu của CEO Quốc tế)</t>
  </si>
  <si>
    <t>Điều chỉnh giảm nguyên giá tài sản cố định)</t>
  </si>
  <si>
    <t>Nợ TK 214 - Khấu hao tài sản cố định</t>
  </si>
  <si>
    <t>Thời gian phân bổ chi phí là 47,5 năm</t>
  </si>
  <si>
    <t>Khấu hao lũy kế của ô tô mang góp vốn là</t>
  </si>
  <si>
    <t>CEO Đầu tư góp vốn bằng tài sản là ô tô</t>
  </si>
  <si>
    <t>Nguyên giá tài sản mang đi góp vốn là</t>
  </si>
  <si>
    <t>Khấu hao lũy kế</t>
  </si>
  <si>
    <t>Thời gian trích là 9 năm</t>
  </si>
  <si>
    <t>Mức trích một năm</t>
  </si>
  <si>
    <t>Thời điểm đem góp vốn 1/1/2010 (tròn 1 năm)</t>
  </si>
  <si>
    <t>Nguyên giá mới tại CEO Dịch vụ</t>
  </si>
  <si>
    <t>Thời gian trích là</t>
  </si>
  <si>
    <t>Bút toán điều chỉnh:</t>
  </si>
  <si>
    <t>Khôi phục nguyên giá cũ</t>
  </si>
  <si>
    <t>Nợ TK 211 - nguyên giá tài sản cố định</t>
  </si>
  <si>
    <t xml:space="preserve">Nợ TK 711 - Thu nhập khác </t>
  </si>
  <si>
    <t>Có TK 214 - Khấu hao lũy kế TS mang đi góp vốn</t>
  </si>
  <si>
    <t>Điều chỉnh mức trích khấu hao mới về mức cũ</t>
  </si>
  <si>
    <t>Điều chỉnh giảm lợi ích của cổ đông thiểu số tương ứng với phần hàng tồn kho</t>
  </si>
  <si>
    <t>Điều chỉnh giảm lợi nhuận sau thuế chưa phân phối</t>
  </si>
  <si>
    <t>(7 năm: 8.986.176, 16/10/2010)</t>
  </si>
  <si>
    <t>Nợ TK 211</t>
  </si>
  <si>
    <t>Có TK 214</t>
  </si>
  <si>
    <t>Nợ TK 711</t>
  </si>
  <si>
    <t>7 năm</t>
  </si>
  <si>
    <t>Khấu hao theo nguyên giá cũ</t>
  </si>
  <si>
    <t>Khấu hao theo nguyên giá mới</t>
  </si>
  <si>
    <t>Điều chỉnh khấu hao về mức cũ</t>
  </si>
  <si>
    <t>Nợ TK 642</t>
  </si>
  <si>
    <t>Tách lợi ích cổ đông thiểu số do việc hoãn lại hàng tồn kho</t>
  </si>
  <si>
    <t>Điều chỉnh giảm lợi ích của cổ đông thiểu số</t>
  </si>
  <si>
    <t>Điều chỉnh lợi ích cổ đông thiểu số do hoãn lại hàng tồn kho</t>
  </si>
  <si>
    <t>8 năm</t>
  </si>
  <si>
    <t xml:space="preserve">Mức trích trong năm </t>
  </si>
  <si>
    <t>Chưa trích khấu hao</t>
  </si>
  <si>
    <t>[Giả sử được bán hết ra bên ngoài]</t>
  </si>
  <si>
    <t>Cổ đông thiểu số</t>
  </si>
  <si>
    <t>Công ty mẹ</t>
  </si>
  <si>
    <t>Lợi nhuận sau thuế</t>
  </si>
  <si>
    <t>Lợi ích cổ đông thiểu só</t>
  </si>
  <si>
    <t>[Giả sử đã bán ra ngoài hết]</t>
  </si>
  <si>
    <t>Lợi ích của cổ đông thiểu số</t>
  </si>
  <si>
    <t>Ok</t>
  </si>
  <si>
    <t>Lợi ích của cổ đông thiểu sô</t>
  </si>
  <si>
    <t>====&gt; Không có cổ đông thiểu số</t>
  </si>
  <si>
    <t>Nợ TK 411</t>
  </si>
  <si>
    <t>Có TK 221</t>
  </si>
  <si>
    <t>1. Xác định lợi của cổ đông thiểu số của CEO Dịch vụ</t>
  </si>
  <si>
    <t>Khử giao dịch các bên liên quan</t>
  </si>
  <si>
    <t>1. - Bán cho CEO Đầu tư</t>
  </si>
  <si>
    <t>Điều chỉnh giảm doanh thu bán hàng và cung cấp dịch vụ</t>
  </si>
  <si>
    <t>Điều chỉnh giảm giá vốn</t>
  </si>
  <si>
    <t>Điều chỉnh giảm hàng tồn kho</t>
  </si>
  <si>
    <t>Nợ TK 415</t>
  </si>
  <si>
    <t>Nợ TK 414</t>
  </si>
  <si>
    <t>Nợ TK 421</t>
  </si>
  <si>
    <t>Có Lợi ích của cổ đông thiểu số</t>
  </si>
  <si>
    <t>Có lợi ích của cổ đông thiểu số</t>
  </si>
  <si>
    <t>Điều chỉnh khoản doanh thu bán thép cho CEO Xây dựng</t>
  </si>
  <si>
    <t>2- CEO xay dung thi cong hang muc san vuon cho CEO Quoc te</t>
  </si>
  <si>
    <t>Chuyển hàng thành tài sản</t>
  </si>
  <si>
    <t>Điều chỉnh khấu hao hoặc chi phí trích trước</t>
  </si>
  <si>
    <t>Xét trên phương diện tập đoàn giá trị chi phí dùng để trích trước chỉ là</t>
  </si>
  <si>
    <t>Nhưng trên CEO Quốc tế đang trích với giá trị là</t>
  </si>
  <si>
    <t>Thời gian phân bổ chi phí là 5 năm</t>
  </si>
  <si>
    <t>Như vậy, giá trị phân bổ xét trên phương diện toàn tập đoàn là</t>
  </si>
  <si>
    <t>CEO Quốc tế đã phân bổ là</t>
  </si>
  <si>
    <t>Chênh lệch:</t>
  </si>
  <si>
    <t xml:space="preserve">Tạo lên tài sản thuế hoãn lại </t>
  </si>
  <si>
    <t>Nợ TK 242 - Chi phí trả trước dài hạn</t>
  </si>
  <si>
    <t>Có TK 642 - Chi phí quản lý doanh nghiêp</t>
  </si>
  <si>
    <t>Hoặc</t>
  </si>
  <si>
    <t>Có TK 632 - Giá vốn bán hàng và cung cấp dịch vụ</t>
  </si>
  <si>
    <t>Nợ Tk 243 - tài sản thuế thu nhập doanh nghiệp hoãn lại</t>
  </si>
  <si>
    <t>Có TK 8212 - chi phí thuế thu nhập doanh nghiệp hoãn lại</t>
  </si>
  <si>
    <t>Điều chỉnh giảm khoản doanh thu bán hàng và cung câp dịch vụ - vườn ươm</t>
  </si>
  <si>
    <t>1.- Xây dựng cho Trường Đại Việt</t>
  </si>
  <si>
    <t>Điều chỉnh giảm khoản chi phí trả trước dài hạn</t>
  </si>
  <si>
    <t>Giao dịch với CEO Xây dựng đã khử trùng ở CEO Xây dựng</t>
  </si>
  <si>
    <t>Nhưng trên Trường Đại Việt đang trích với giá trị là</t>
  </si>
  <si>
    <t>Trường Đại Việt đã phân bổ là</t>
  </si>
  <si>
    <t>Nợ TK 411- Vốn đầu tư chủ sở hữu</t>
  </si>
  <si>
    <t>Có TK 221 - Đầu tư vào công ty con</t>
  </si>
  <si>
    <t>Nợ TK 421 - Lợi nhuận sau thuế chưa phân phối</t>
  </si>
  <si>
    <t>Điều chỉnh tăng chỉ tiêu Lợi nhuận sau thuế của cổ đông thiểu số</t>
  </si>
  <si>
    <t>Ghi nhận thuế thu nhập doanh nghiệp hoãn lại đối với nghiệp vụ trên</t>
  </si>
  <si>
    <t>Nợ TK 243</t>
  </si>
  <si>
    <t>Có TK 8212</t>
  </si>
  <si>
    <t>Điều chỉnh giảm khoản phải trả người bán - CEO Đầu tư</t>
  </si>
  <si>
    <t>Điều chỉnh giảm khoản phải thu khách hàng - CEO Quốc tế</t>
  </si>
  <si>
    <t>Điều chỉnh tăng khoản thu khách hàng - CEO Đầu tư</t>
  </si>
  <si>
    <t>Điều chỉnh giảm khoản người mua trả tiển trước - CEO Đầu tư</t>
  </si>
  <si>
    <t>Điều chỉnh giảm khoản phải thu của CEO Xây dựng</t>
  </si>
  <si>
    <t>Điều chỉnh giảm khoản phải trả của CEO Quốc tế</t>
  </si>
  <si>
    <t>Điều chỉnh giảm khoản phải thu CEO Đầu tư</t>
  </si>
  <si>
    <t>Điều chỉnh giảm khoản phải trả</t>
  </si>
  <si>
    <t>Khử giao dịch góp vốn bằng tài sản</t>
  </si>
  <si>
    <t>Nguyên giá cũ của ô tô tại CEO Đầu tư là</t>
  </si>
  <si>
    <t>Nguyên giá mới của ô tô tại Đại Việt là</t>
  </si>
  <si>
    <t>Chênh lệch</t>
  </si>
  <si>
    <t>Điều chỉnh nguyên giá mới về nguyên giá cũ</t>
  </si>
  <si>
    <t>Ghi nhận thuế thu nhập doanh nghiệp hoãn lại</t>
  </si>
  <si>
    <t>Thời gian khấu hao cũ là</t>
  </si>
  <si>
    <t>Thơi gian khấu hao mới là</t>
  </si>
  <si>
    <t>Chênh lệch khấu hao trong năm là</t>
  </si>
  <si>
    <t>Điều chỉnh chi phí khấu hao</t>
  </si>
  <si>
    <t>Bút toán</t>
  </si>
  <si>
    <t>Điều chỉnh giảm khoản giá vốn bán thép cho CEO Xây dựng</t>
  </si>
  <si>
    <t>Nợ TK 243 - tài sản thuế thu nhập doanh nghiệp hoãn lại</t>
  </si>
  <si>
    <t>Có TK 8212 - Chi phí thuế thu nhập doanh nghiệp hoãn lại</t>
  </si>
  <si>
    <t>ok</t>
  </si>
  <si>
    <t>Nọ TK 414</t>
  </si>
  <si>
    <t>Nợ TK 418</t>
  </si>
  <si>
    <t>Tiền chi để mua sắm, xây dựng TSCĐ &amp; các TS dài hạn khác</t>
  </si>
  <si>
    <t>Tiền chi đầu tư góp vốn vào các đơn vị khác</t>
  </si>
  <si>
    <t>Tiền thu hồi đầu tư góp vốn vào các đơn vị khác</t>
  </si>
  <si>
    <t>Tiền thu từ phát hành cổ phiếu, nhận vốn góp của chủ sở hữu</t>
  </si>
  <si>
    <t>Tiền chi trả vốn góp, mua lại cổ phiếu của DN đã phát hành</t>
  </si>
  <si>
    <t>Tiền chi cho vay, mua các công cụ nợ của đơn vị khác</t>
  </si>
  <si>
    <t>Tiền thu hồi cho vay, bán lại các công cụ nợ của đơn vị khác</t>
  </si>
  <si>
    <t>Tiền thu từ thanh lý, nhượng bán TSCĐ&amp; các TS dài hạn khác</t>
  </si>
  <si>
    <t>Lưu chuyển tiền từ hoạt động tài chính</t>
  </si>
  <si>
    <t>Tiền chi trả nợ thuê tài chính</t>
  </si>
  <si>
    <t>Lưu chuyển tiền thuần từ hoạt động tài chính</t>
  </si>
  <si>
    <t>Tiền và tương đương tiền cuôí kỳ ( 70 = 50 + 60 + 61)</t>
  </si>
  <si>
    <t>- Mua trong năm</t>
  </si>
  <si>
    <t>- Khấu hao trong năm</t>
  </si>
  <si>
    <t xml:space="preserve">Tổng cộng </t>
  </si>
  <si>
    <t>- Tăng khác</t>
  </si>
  <si>
    <t>- Giảm khác</t>
  </si>
  <si>
    <t xml:space="preserve">Giá trị còn lại </t>
  </si>
  <si>
    <t>Thiết bị dụng cụ quản lý</t>
  </si>
  <si>
    <t>- Thanh lý, nhượng bán</t>
  </si>
  <si>
    <t>Nguyên giá TSCĐ hữu hình</t>
  </si>
  <si>
    <t>Mã số</t>
  </si>
  <si>
    <t>2. Tài sản thuế thu nhập hoãn lại</t>
  </si>
  <si>
    <t>5. Thuế thu nhập hoãn lại phải trả</t>
  </si>
  <si>
    <t>I. Tiền và các khoản tương đương tiền</t>
  </si>
  <si>
    <t>2. Các khoản tương đương tiền</t>
  </si>
  <si>
    <t>III. Các khoản phải thu ngắn hạn</t>
  </si>
  <si>
    <t>1. Phải thu của khách hàng</t>
  </si>
  <si>
    <t xml:space="preserve">2. Trả trước cho người bán </t>
  </si>
  <si>
    <t xml:space="preserve">5. Các khoản phải thu khác </t>
  </si>
  <si>
    <t>V. Tài sản ngắn hạn khác</t>
  </si>
  <si>
    <t>3. Thuế và các khoản phải thu Nhà nước</t>
  </si>
  <si>
    <t>4. Tài sản ngắn hạn khác</t>
  </si>
  <si>
    <t>I. Các khoản phải thu dài hạn</t>
  </si>
  <si>
    <t>1. Phải thu dài hạn của khách hàng</t>
  </si>
  <si>
    <t>2. Vốn kinh doanh ở các đơn vị trực thuộc</t>
  </si>
  <si>
    <t>4. Phải thu dài hạn khác</t>
  </si>
  <si>
    <t>3. Đầu tư dài hạn khác</t>
  </si>
  <si>
    <t>V. Tài sản dài hạn khác</t>
  </si>
  <si>
    <t>3. Tài sản dài hạn khác</t>
  </si>
  <si>
    <t>2. Phải trả người bán</t>
  </si>
  <si>
    <t>9. Các khoản phải trả phải nộp ngắn hạn khác</t>
  </si>
  <si>
    <t>1. Phải trả dài hạn người bán</t>
  </si>
  <si>
    <t>3. Phải trả dài hạn khác</t>
  </si>
  <si>
    <t>3. Vốn khác của chủ sở hữu</t>
  </si>
  <si>
    <t>7. Quỹ đầu tư phát triển</t>
  </si>
  <si>
    <t>9. Quỹ khác thuộc vốn chủ sở hữu</t>
  </si>
  <si>
    <t>10. Lợi nhuận sau thuế chưa phân phối</t>
  </si>
  <si>
    <t xml:space="preserve">- Nguyên giá </t>
  </si>
  <si>
    <t>4. Chênh lệch đánh giá lại tài sản</t>
  </si>
  <si>
    <t>5. Chênh lệch tỷ giá hối đoái</t>
  </si>
  <si>
    <t>2. Dự phòng giảm giá chứng khoán đầu tư ngắn hạn</t>
  </si>
  <si>
    <t>2. Dự phòng giảm giá hàng tồn kho</t>
  </si>
  <si>
    <t xml:space="preserve">- Giá trị hao mòn luỹ kế </t>
  </si>
  <si>
    <t>4. Dự phòng giảm giá chứng khoán ĐT dài hạn</t>
  </si>
  <si>
    <t>10. Dự phòng phải trả ngắn hạn</t>
  </si>
  <si>
    <t>6. Dự phòng trợ cấp mất việc làm</t>
  </si>
  <si>
    <t>7. Dự phòng phải trả dài hạn</t>
  </si>
  <si>
    <t xml:space="preserve">6. Dự phòng các khoản phải thu khó đòi </t>
  </si>
  <si>
    <t>5. Dự phòng phải thu dài hạn khó đòi</t>
  </si>
  <si>
    <t>1. Đầu tư vào Công ty con</t>
  </si>
  <si>
    <t>2. Đầu tư vào Công ty liên kết, liên doanh</t>
  </si>
  <si>
    <t>1. Quỹ khen thưởng, phúc lợi</t>
  </si>
  <si>
    <t>1. TSCĐ hữu hình</t>
  </si>
  <si>
    <t>3. TSCĐ vô hình</t>
  </si>
  <si>
    <t>Đơn vị tính: VND</t>
  </si>
  <si>
    <t>II. Các khoản đầu tư tài chính ngắn hạn</t>
  </si>
  <si>
    <t>1. Chi phí trả trước ngắn hạn</t>
  </si>
  <si>
    <t>2. TSCĐ thuê tài chính</t>
  </si>
  <si>
    <t>4. Chi phí xây dựng cơ bản dở dang</t>
  </si>
  <si>
    <t>IV. Các khoản đầu tư tài chính dài hạn</t>
  </si>
  <si>
    <t>1. Chi phí trả trước dài hạn</t>
  </si>
  <si>
    <t>6. Chi phí phải trả</t>
  </si>
  <si>
    <t>8. Quỹ dự phòng tài chính</t>
  </si>
  <si>
    <t>II. Nguồn kinh phí và quỹ khác</t>
  </si>
  <si>
    <t>2. Nguồn kinh phí</t>
  </si>
  <si>
    <t>3. Nguồn kinh phí đã hình thành TSCĐ</t>
  </si>
  <si>
    <t>10. Lợi nhuận thuần từ hoạt động kinh doanh</t>
  </si>
  <si>
    <t>1. Doanh thu bán hàng và cung cấp dịch vụ</t>
  </si>
  <si>
    <t xml:space="preserve">2. Các khoản giảm trừ doanh thu </t>
  </si>
  <si>
    <t>3. Doanh thu thuần bán hàng và cung cấp dịch vụ</t>
  </si>
  <si>
    <t xml:space="preserve">4. Giá vốn hàng bán </t>
  </si>
  <si>
    <t>5. Lợi nhuận gộp bán hàng và cung cấp dịch vụ</t>
  </si>
  <si>
    <t>11. Thu nhập khác</t>
  </si>
  <si>
    <t>13. Lợi nhuận khác ( 40 = 31 - 32)</t>
  </si>
  <si>
    <t xml:space="preserve">      Đơn vị tính: VND</t>
  </si>
  <si>
    <t>6. Doanh thu hoạt động tài chính</t>
  </si>
  <si>
    <t>7. Chi phí tài chính</t>
  </si>
  <si>
    <t xml:space="preserve">    Trong đó: Chi phí lãi vay </t>
  </si>
  <si>
    <t>8. Chi phí bán hàng</t>
  </si>
  <si>
    <t>9. Chi phí quản lý doanh nghiệp</t>
  </si>
  <si>
    <t>12. Chi phí khác</t>
  </si>
  <si>
    <t>Tiền chi nộp thuế thu nhập doanh nghiệp</t>
  </si>
  <si>
    <t>Tiền chi trả nợ gốc vay</t>
  </si>
  <si>
    <t>Lưu chuyển tiền từ hoạt động kinh doanh</t>
  </si>
  <si>
    <t>Tiền chi trả cho người lao động</t>
  </si>
  <si>
    <t>Lưu chuyển tiền thuần từ hoạt động kinh doanh</t>
  </si>
  <si>
    <t>Lưu chuyển tiền từ hoạt động đầu tư</t>
  </si>
  <si>
    <t>Lưu chuyển tiền thuần từ hoạt động đầu tư</t>
  </si>
  <si>
    <t>Lưu chuyển tiền thuần trong kỳ (50 = 20 + 30 + 40)</t>
  </si>
  <si>
    <t>Tiền chi trả lãi vay</t>
  </si>
  <si>
    <t xml:space="preserve"> Tiền thu lãi cho vay, cổ tức và lợi nhuận được chia</t>
  </si>
  <si>
    <t>Tiền vay ngắn hạn, dài hạn đã nhận được</t>
  </si>
  <si>
    <t>Cổ tức, lợi nhuận đã trả cho chủ sở hữu</t>
  </si>
  <si>
    <t>Tiền thu từ bán hàng, cung cấp dịch vụ &amp; doanh thu khác</t>
  </si>
  <si>
    <t>Tiền chi trả cho người cung cấp hàng hoá &amp; dịch vụ</t>
  </si>
  <si>
    <t>Tiền chi khác cho hoạt động kinh doanh</t>
  </si>
  <si>
    <t>Vay và nợ ngắn hạn</t>
  </si>
  <si>
    <t>Vay và nợ dài hạn</t>
  </si>
  <si>
    <t>Số lượng cổ phiếu đang lưu hành:</t>
  </si>
  <si>
    <t>Lãi trong năm nay</t>
  </si>
  <si>
    <t>Cổ phiếu ưu đãi:</t>
  </si>
  <si>
    <t>Các khoản phải thu ngắn hạn khác</t>
  </si>
  <si>
    <t>Đầu tư dài hạn khác</t>
  </si>
  <si>
    <t>Thuế GTGT hàng bán nội địa</t>
  </si>
  <si>
    <t>Các khoản phải trả, phải nộp ngắn hạn khác</t>
  </si>
  <si>
    <t>Tăng khác</t>
  </si>
  <si>
    <t>Giảm khác</t>
  </si>
  <si>
    <t>Các quỹ của doanh nghiệp</t>
  </si>
  <si>
    <t>Quỹ đầu tư phát triển</t>
  </si>
  <si>
    <t>Mệnh giá cổ phiếu đang lưu hành: 10.000 đồng/cổ phiếu</t>
  </si>
  <si>
    <t>Tổng doanh thu bán hàng và cung cấp dịch vụ</t>
  </si>
  <si>
    <t>Các khoản giảm trừ doanh thu</t>
  </si>
  <si>
    <t>Doanh thu thuần về bán hàng và cung cấp dịch vụ</t>
  </si>
  <si>
    <t>Giá vốn hàng bán</t>
  </si>
  <si>
    <t>Phải thu khách hàng</t>
  </si>
  <si>
    <t>Trả trước cho người bán</t>
  </si>
  <si>
    <t>Tài sản ngắn hạn khác</t>
  </si>
  <si>
    <t>Phải trả người bán</t>
  </si>
  <si>
    <t>Thu nhập khác</t>
  </si>
  <si>
    <t>Tiền gửi ngân hàng</t>
  </si>
  <si>
    <t>Thuế thu nhập cá nhân</t>
  </si>
  <si>
    <t>Lợi nhuận chưa phân phối</t>
  </si>
  <si>
    <t>Các giao dịch về vốn với các chủ sở hữu và phân phối cổ tức lợi nhuận, được chia:</t>
  </si>
  <si>
    <t>Nguyên giá BĐS đầu tư</t>
  </si>
  <si>
    <t>Giá trị hao mòn luỹ kế</t>
  </si>
  <si>
    <t>Vốn góp đầu năm</t>
  </si>
  <si>
    <t>Vốn góp tăng trong kỳ</t>
  </si>
  <si>
    <t>Vốn góp giảm trong kỳ</t>
  </si>
  <si>
    <t>Vốn góp cuối kỳ</t>
  </si>
  <si>
    <t>Cổ phiếu phổ thông:</t>
  </si>
  <si>
    <t>Những thông tin khác</t>
  </si>
  <si>
    <t>Đầu tư vào Công ty con</t>
  </si>
  <si>
    <t>Số lượng cổ phiếu bán ra công chúng:</t>
  </si>
  <si>
    <t>Số lượng cổ phiếu đăng ký phát hành:</t>
  </si>
  <si>
    <t>Chi phí xây dựng cơ bản dở dang</t>
  </si>
  <si>
    <t>Chi phí trả trước dài hạn</t>
  </si>
  <si>
    <t>Quỹ dự phòng tài chính</t>
  </si>
  <si>
    <t>Doanh thu hoạt động tài chính</t>
  </si>
  <si>
    <t>Chi phí tài chính</t>
  </si>
  <si>
    <t>Chi phí quản lý doanh nghiệp</t>
  </si>
  <si>
    <t>Chi phí khác</t>
  </si>
  <si>
    <t>1. Tiền</t>
  </si>
  <si>
    <t>3. Phải thu nội bộ ngắn hạn</t>
  </si>
  <si>
    <t>7. Phải trả nội bộ</t>
  </si>
  <si>
    <t>I. Nợ ngắn hạn</t>
  </si>
  <si>
    <t>I. Vốn chủ sở hữu</t>
  </si>
  <si>
    <t>8. Phải trả theo tiến độ hợp đồng</t>
  </si>
  <si>
    <t>2. Thuế GTGT được khấu trừ</t>
  </si>
  <si>
    <t>III. Bất động sản đầu tư</t>
  </si>
  <si>
    <t>3. Người mua trả tiền trước</t>
  </si>
  <si>
    <t>5. Phải trả người lao động</t>
  </si>
  <si>
    <t>1. Vốn đầu tư của chủ sở hữu</t>
  </si>
  <si>
    <t>2. Thặng dư vốn cổ phần</t>
  </si>
  <si>
    <t>11. Nguồn vốn đầu tư XDCB</t>
  </si>
  <si>
    <t>1. Đầu tư ngắn hạn</t>
  </si>
  <si>
    <t>4. Phải thu theo tiến độ kế hoạch HĐXD</t>
  </si>
  <si>
    <t>IV. Hàng tồn kho</t>
  </si>
  <si>
    <t>1. Hàng tồn kho</t>
  </si>
  <si>
    <t>3. Phải thu dài hạn nội bộ</t>
  </si>
  <si>
    <t xml:space="preserve">II. Tài sản cố định </t>
  </si>
  <si>
    <t>1. Vay và nợ ngắn hạn</t>
  </si>
  <si>
    <t xml:space="preserve">II. Nợ dài hạn </t>
  </si>
  <si>
    <t>2. Phải trả dài hạn nội bộ</t>
  </si>
  <si>
    <t>4. Vay và nợ dài hạn</t>
  </si>
  <si>
    <t>Cổ phiếu:</t>
  </si>
  <si>
    <t>Tổng cộng</t>
  </si>
  <si>
    <t>Khoản mục</t>
  </si>
  <si>
    <t>Vốn chủ sở hữu</t>
  </si>
  <si>
    <t>Tiền mặt tại quỹ</t>
  </si>
  <si>
    <t>Quyền sử dụng đất</t>
  </si>
  <si>
    <t>Bảng đối chiếu biến động của vốn chủ sở hữu</t>
  </si>
  <si>
    <t>Tăng, giảm bất động sản đầu tư</t>
  </si>
  <si>
    <t>Vốn đầu tư của chủ sở hữu</t>
  </si>
  <si>
    <t>Chi tiết vốn đầu tư của chủ sở hữu</t>
  </si>
  <si>
    <t>Số lượng cổ phiếu được mua lại:</t>
  </si>
  <si>
    <t>Người mua trả tiền trước</t>
  </si>
  <si>
    <t>Hàng tồn kho</t>
  </si>
  <si>
    <t>VI.</t>
  </si>
  <si>
    <t>10</t>
  </si>
  <si>
    <t>01</t>
  </si>
  <si>
    <t>03</t>
  </si>
  <si>
    <t>11</t>
  </si>
  <si>
    <t>20</t>
  </si>
  <si>
    <t>21</t>
  </si>
  <si>
    <t>22</t>
  </si>
  <si>
    <t>30</t>
  </si>
  <si>
    <t>31</t>
  </si>
  <si>
    <t>32</t>
  </si>
  <si>
    <t>40</t>
  </si>
  <si>
    <t>50</t>
  </si>
  <si>
    <t>05</t>
  </si>
  <si>
    <t>23</t>
  </si>
  <si>
    <t>24</t>
  </si>
  <si>
    <t>25</t>
  </si>
  <si>
    <t>06</t>
  </si>
  <si>
    <t>I</t>
  </si>
  <si>
    <t>II</t>
  </si>
  <si>
    <t>III</t>
  </si>
  <si>
    <t>60</t>
  </si>
  <si>
    <t>3.</t>
  </si>
  <si>
    <t>VND</t>
  </si>
  <si>
    <t>6.</t>
  </si>
  <si>
    <t>14.</t>
  </si>
  <si>
    <t>8.</t>
  </si>
  <si>
    <t>07</t>
  </si>
  <si>
    <t>51</t>
  </si>
  <si>
    <t>2.</t>
  </si>
  <si>
    <t>9.</t>
  </si>
  <si>
    <t>10.</t>
  </si>
  <si>
    <t>4.</t>
  </si>
  <si>
    <t xml:space="preserve">    (100 = 110 + 120 + 130 + 140 + 150)</t>
  </si>
  <si>
    <t>V.10</t>
  </si>
  <si>
    <t>V.11</t>
  </si>
  <si>
    <t>V.12</t>
  </si>
  <si>
    <t>V.13</t>
  </si>
  <si>
    <t xml:space="preserve">    (10 = 01 - 02)</t>
  </si>
  <si>
    <t xml:space="preserve">    (20 = 10 - 11)</t>
  </si>
  <si>
    <t xml:space="preserve">      (30 = 20 + (21 - 22) - (24 + 25))</t>
  </si>
  <si>
    <t>52</t>
  </si>
  <si>
    <t xml:space="preserve">      (60 = 50 - 51 - 52)</t>
  </si>
  <si>
    <t>V.</t>
  </si>
  <si>
    <t>1.</t>
  </si>
  <si>
    <t/>
  </si>
  <si>
    <t>02</t>
  </si>
  <si>
    <t>04</t>
  </si>
  <si>
    <t>70</t>
  </si>
  <si>
    <t>TM</t>
  </si>
  <si>
    <t>Tăng trong năm</t>
  </si>
  <si>
    <t>Giảm trong năm</t>
  </si>
  <si>
    <t>STT</t>
  </si>
  <si>
    <t>Quốc tế</t>
  </si>
  <si>
    <t>Dịch vụ</t>
  </si>
  <si>
    <t>Xây dụng</t>
  </si>
  <si>
    <t>bs</t>
  </si>
  <si>
    <t>pl</t>
  </si>
  <si>
    <t>cf</t>
  </si>
  <si>
    <t>n</t>
  </si>
  <si>
    <t>Tại ngày 31/12/2011</t>
  </si>
  <si>
    <t>Đầu tư ngắn hạn</t>
  </si>
  <si>
    <t>Dự phòng giảm giá đầu tư ngắn hạn</t>
  </si>
  <si>
    <t>Trích trước chi phí khác</t>
  </si>
  <si>
    <t>Quỹ khác thuộc vốn chủ sở hữu</t>
  </si>
  <si>
    <t>Tổng cộng giá gốc hàng tồn kho</t>
  </si>
  <si>
    <t>Giá vốn bán hàng</t>
  </si>
  <si>
    <t>Lãi tiền gửi Ngân hàng, cho vay</t>
  </si>
  <si>
    <t>Phí ủy thác quản lý vốn</t>
  </si>
  <si>
    <t>Thuế bị truy thu, phạt chậm nộp</t>
  </si>
  <si>
    <t>Lợi nhuận sau thuế của năm 2011</t>
  </si>
  <si>
    <t>7.</t>
  </si>
  <si>
    <t>Cho Công ty Cổ phần Đầu tư C.E.O vay</t>
  </si>
  <si>
    <t>Công ty Cổ phần Dịch vụ C.E.O</t>
  </si>
  <si>
    <t>Học phí thu trước của Trường Cao đẳng Đại Việt</t>
  </si>
  <si>
    <t>Lợi thế thương mại</t>
  </si>
  <si>
    <t>Phú quốc</t>
  </si>
  <si>
    <t>Nhãn hiệu hàng hóa quốc tế</t>
  </si>
  <si>
    <t>BẢNG CHI TIẾT CHI PHÍ CỦA CÔNG TY MẸ, DT CỦA CÁC CÔNG TY CON</t>
  </si>
  <si>
    <t>Stt</t>
  </si>
  <si>
    <t>Đơn vị</t>
  </si>
  <si>
    <t>Để trên giá vốn</t>
  </si>
  <si>
    <t>Để trên 154</t>
  </si>
  <si>
    <t>Để trên 241</t>
  </si>
  <si>
    <t>Trên 642</t>
  </si>
  <si>
    <t xml:space="preserve">Tổng </t>
  </si>
  <si>
    <t>CEO XDựng</t>
  </si>
  <si>
    <t>CEO QTế</t>
  </si>
  <si>
    <t>CEO DVụ</t>
  </si>
  <si>
    <t>Tổng 2010</t>
  </si>
  <si>
    <t>Tổng 2011</t>
  </si>
  <si>
    <t>Phần tính thuế hoãn lại</t>
  </si>
  <si>
    <t>-</t>
  </si>
  <si>
    <t>BÁO CÁO TÀI CHÍNH HỢP NHẤT
ĐÃ ĐƯỢC KIỂM TOÁN</t>
  </si>
  <si>
    <t>Tài sản thuế hoãn lại</t>
  </si>
  <si>
    <t>Tiền và các khoản tương đương tiền</t>
  </si>
  <si>
    <t>18.</t>
  </si>
  <si>
    <t>19.</t>
  </si>
  <si>
    <t>21.</t>
  </si>
  <si>
    <t>V.1</t>
  </si>
  <si>
    <t>V.2</t>
  </si>
  <si>
    <t>V.3</t>
  </si>
  <si>
    <t>V.4</t>
  </si>
  <si>
    <t>V.5</t>
  </si>
  <si>
    <t>V.6</t>
  </si>
  <si>
    <t>V.7</t>
  </si>
  <si>
    <t>V.8</t>
  </si>
  <si>
    <t>V.9</t>
  </si>
  <si>
    <t>1.2</t>
  </si>
  <si>
    <t>1.3</t>
  </si>
  <si>
    <t>1.4</t>
  </si>
  <si>
    <t>Tăng vốn năm nay</t>
  </si>
  <si>
    <t>Lãi suất
(%/tháng)</t>
  </si>
  <si>
    <t>Thời hạn vay (tháng)</t>
  </si>
  <si>
    <t>Mẫu số B 01 - DN/HN</t>
  </si>
  <si>
    <t>Mẫu số B 02 - DN/HN</t>
  </si>
  <si>
    <t>Mẫu số B 03 - DN/HN</t>
  </si>
  <si>
    <t>Ủy thác tại Công ty CP Chứng khoán Thăng Long</t>
  </si>
  <si>
    <t>Tiền gửi có kỳ hạn tại Ngân hàng TMCP Quân đội</t>
  </si>
  <si>
    <t>Mẫu số B09 - DN/HN</t>
  </si>
  <si>
    <t>Mẫu số B 09 - DN/HN</t>
  </si>
  <si>
    <t>Góp vốn vào Dự án Khu đô thị mới N1+N3 Quốc Oai</t>
  </si>
  <si>
    <t>Góp vốn vào Dự án Đầu tư Trường Cao đẳng Đại Việt</t>
  </si>
  <si>
    <t>Trích trước chi phí hoàn thiện hạ tầng khu A KĐT Chi Đông</t>
  </si>
  <si>
    <t>Dự phòng giảm giá chứng khoán đầu tư ngắn hạn</t>
  </si>
  <si>
    <t>Chi phí sản xuất kinh doanh dở dang (*)</t>
  </si>
  <si>
    <t>Ủy thác đầu tư vào Công ty TNHH MTV Tài chính Bưu điện</t>
  </si>
  <si>
    <t>Công cụ dụng cụ và chi phí khác phân bổ dần</t>
  </si>
  <si>
    <t>Đăng ký nhãn hiệu quốc tế</t>
  </si>
  <si>
    <t>Phần mềm diệt virus</t>
  </si>
  <si>
    <t>Chi phí thuê nhà</t>
  </si>
  <si>
    <t>Chi phí hoa hồng</t>
  </si>
  <si>
    <t>Cải tạo, sửa chữa, nâng cấp cơ sở mới</t>
  </si>
  <si>
    <t xml:space="preserve">Ngân hàng Thương mại Cổ phần Quân đội </t>
  </si>
  <si>
    <t>Ngân hàng Thương mại Cổ phần Quân đội - CN Mỹ Đình</t>
  </si>
  <si>
    <t>Hợp đồng hợp tác kinh doanh</t>
  </si>
  <si>
    <t>Kinh phí công đoàn</t>
  </si>
  <si>
    <t>Phải trả khác</t>
  </si>
  <si>
    <t>Bảo hiểm xã hội</t>
  </si>
  <si>
    <t>Thông tin bổ sung cho các khoản mục trình bày trong Báo cáo lưu chuyển tiền tệ</t>
  </si>
  <si>
    <t>Các giao dịch không bằng tiền ảnh hưởng đến Báo cáo lưu chuyển tiền tệ và các khoản tiền do doanh nghiệp nắm giữ nhưng không được sử dụng</t>
  </si>
  <si>
    <t>VIII.</t>
  </si>
  <si>
    <t>Phải trả khác đầu tư ceo</t>
  </si>
  <si>
    <t>Thanh lý Công cụ dụng cụ</t>
  </si>
  <si>
    <t>Thanh lý TSCĐ</t>
  </si>
  <si>
    <t>Thuế và các khoản phải thu Nhà nước</t>
  </si>
  <si>
    <t>Chi phí trả trước ngắn hạn</t>
  </si>
  <si>
    <t>Chi phí thuê văn phòng</t>
  </si>
  <si>
    <t>Tài sản dài hạn khác</t>
  </si>
  <si>
    <t>Ký cược, ký quỹ dài hạn</t>
  </si>
  <si>
    <t>Hoa hồng bảo hiểm</t>
  </si>
  <si>
    <t>Phải thu dài hạn khác</t>
  </si>
  <si>
    <t>Công ty Tư vấn thiết kế công trình Xây dựng Việt Nam</t>
  </si>
  <si>
    <t>Viện nhiệt đới - Trường ĐH kiến trúc Hà Nội</t>
  </si>
  <si>
    <t>Công ty Cổ phần Phát triển dịch vụ C.E.O cho CEO đầu tư vay</t>
  </si>
  <si>
    <t>Ngân hàng TMCP Quân Đội (a)</t>
  </si>
  <si>
    <t>Trích trước chi phí lãi vay</t>
  </si>
  <si>
    <t>Dự phòng phải trả ngắn hạn</t>
  </si>
  <si>
    <t>Chi phí bảo hành</t>
  </si>
  <si>
    <t>Phí đo đạc, thẩm định, trích lục lập sổ đỏ, chuyển quyền sử dụng đất</t>
  </si>
  <si>
    <t>Hoàn nhập chi phí dự phòng trợ cấp mất việc làm</t>
  </si>
  <si>
    <t>Bồi thường do vi phạm hợp đồng và làm hỏng thiết bị</t>
  </si>
  <si>
    <t>Hoa hồng cước viễn thông thu hộ</t>
  </si>
  <si>
    <t>BẢNG CHI TIẾT CHI PHÍ CỦA CÔNG TY MẸ VỚI CÁC CÔNG TY CON NĂM 2013</t>
  </si>
  <si>
    <t>Tổng CP</t>
  </si>
  <si>
    <t>Để trên 635</t>
  </si>
  <si>
    <t>Để trên 3387</t>
  </si>
  <si>
    <t>Để trên 242</t>
  </si>
  <si>
    <t>Để trên 211</t>
  </si>
  <si>
    <t>Để trên 153</t>
  </si>
  <si>
    <t>Để trên 642</t>
  </si>
  <si>
    <t>Tổng</t>
  </si>
  <si>
    <t>Tổng 2012</t>
  </si>
  <si>
    <t>17.</t>
  </si>
  <si>
    <t>25.</t>
  </si>
  <si>
    <t>1.5</t>
  </si>
  <si>
    <t>1.6</t>
  </si>
  <si>
    <t>1.8</t>
  </si>
  <si>
    <t>1.9</t>
  </si>
  <si>
    <t>1.11</t>
  </si>
  <si>
    <t>1.12</t>
  </si>
  <si>
    <t>1.13</t>
  </si>
  <si>
    <t>1.14</t>
  </si>
  <si>
    <t>(*) Chi phí sản xuất kinh doanh dở dang của Công ty là chi phí xây dựng Khu đô thị Quốc Oai, Dự án Hà Nam ...</t>
  </si>
  <si>
    <t>Công ty Palafox Associates</t>
  </si>
  <si>
    <t>Góp vốn bằng cổ tức</t>
  </si>
  <si>
    <t>Góp vốn bằng khoản vay dài hạn</t>
  </si>
  <si>
    <t>Giảm giá trị khoản đầu tư do hạch toán sai nguyên giá tài sản đem đầu tư - xe INNOVA</t>
  </si>
  <si>
    <t>Điều chỉnh vay ngắn hạn sang phải trả khác</t>
  </si>
  <si>
    <t>Điều chỉnh vay dài hạn sang phải trả khác</t>
  </si>
  <si>
    <t>Ảnh hưởng của chênh lệch tỷ giá tới các khoản vay nhận được</t>
  </si>
  <si>
    <t>Bù trừ vay dài hạn với các khoản phải trả khác</t>
  </si>
  <si>
    <t>Bù trừ vay dài hạn với doanh thu chuyển nhượng bất động sản</t>
  </si>
  <si>
    <t>Bù trừ vay dài hạn và cổ tức phải trả</t>
  </si>
  <si>
    <t>Bù trừ vay dài hạn và nợ phải thu</t>
  </si>
  <si>
    <t>BẮT ĐẦU ẨN ĐI  KHI PHÁT HÀNH</t>
  </si>
  <si>
    <t>KẾT THÚC ẨN ĐI  KHI PHÁT HÀNH</t>
  </si>
  <si>
    <t xml:space="preserve">Trường Cao đẳng Đại Việt </t>
  </si>
  <si>
    <t>Đối tượng khác</t>
  </si>
  <si>
    <t>22.</t>
  </si>
  <si>
    <t>23.</t>
  </si>
  <si>
    <t>V.16</t>
  </si>
  <si>
    <t>V.18</t>
  </si>
  <si>
    <t>V.19</t>
  </si>
  <si>
    <t>V.20</t>
  </si>
  <si>
    <t>VI.25</t>
  </si>
  <si>
    <t>C. LỢI ÍCH CỦA CỔ ĐÔNG THIỂU SỐ</t>
  </si>
  <si>
    <t>Lợi thế thương mại khoản đầu tư vào Công ty Cổ phần Đầu tư và Phát triển Phú Quốc</t>
  </si>
  <si>
    <t>Công trình Khu du lịch Bãi Trường - Phú Quốc</t>
  </si>
  <si>
    <t>26.</t>
  </si>
  <si>
    <t>Thuê diện tích tầng 19 Lạc Việt</t>
  </si>
  <si>
    <t>Công ty Cổ phần Phát triển dịch vụ CEO</t>
  </si>
  <si>
    <t>Công ty CP Đầu tư và Phát triển Phú Quốc</t>
  </si>
  <si>
    <t>Giá vốn cung cấp dịch vụ</t>
  </si>
  <si>
    <t>Lãi hợp tác kinh doanh</t>
  </si>
  <si>
    <t xml:space="preserve">     (62 = 60 - 61)</t>
  </si>
  <si>
    <t>V.21</t>
  </si>
  <si>
    <t>VI.26</t>
  </si>
  <si>
    <t>Tel: (84-4) 37 875 136          Fax: (84-4) 37 875 137</t>
  </si>
  <si>
    <t>Tại Công ty Cổ phần C.E.O Quốc tế</t>
  </si>
  <si>
    <t>Thu nhập Ban Giám đốc được hưởng trong năm</t>
  </si>
  <si>
    <t>Lương</t>
  </si>
  <si>
    <t>Thưởng</t>
  </si>
  <si>
    <t xml:space="preserve">    (200 = 210 + 220 + 240 + 250 + 260 + 269)</t>
  </si>
  <si>
    <t>21.1</t>
  </si>
  <si>
    <t>21.2</t>
  </si>
  <si>
    <t>21.3</t>
  </si>
  <si>
    <t>21.4</t>
  </si>
  <si>
    <t>21.5</t>
  </si>
  <si>
    <t>VI.22</t>
  </si>
  <si>
    <t>Thuế Thu nhập doanh nghiệp</t>
  </si>
  <si>
    <t>Công ty Cổ phần Xây dựng C.E.O cho CEO Đầu tư vay</t>
  </si>
  <si>
    <t>Bảo hiểm y tế</t>
  </si>
  <si>
    <t>Bảo hiểm thất nghiệp</t>
  </si>
  <si>
    <t>Cho CEO ĐT vay</t>
  </si>
  <si>
    <t>Công ty Cổ phần C.E.O Quốc tế cho CEO đầu tư vay</t>
  </si>
  <si>
    <t>Ban đền bù GPMB Quốc Oai</t>
  </si>
  <si>
    <t>Xí nghiệp Phát triển công nghệ Trắc địa bản đồ</t>
  </si>
  <si>
    <t>Công ty CP Xây dựng CEO</t>
  </si>
  <si>
    <t>Công ty CP CEO Quốc tế</t>
  </si>
  <si>
    <t xml:space="preserve">USD (i) </t>
  </si>
  <si>
    <t>Hợp đồng số 106241-01/2008/HĐTD/MB-CEO</t>
  </si>
  <si>
    <t>Hợp đồng số 106241-01/2008/HĐTD/MB-CEO (i)</t>
  </si>
  <si>
    <t>18-48</t>
  </si>
  <si>
    <t>Vay dài hạn cá nhân</t>
  </si>
  <si>
    <t>Vay cá nhân (b)</t>
  </si>
  <si>
    <t>XD</t>
  </si>
  <si>
    <t>Ngân hàng TMCP Quân đội - Chi nhánh Mỹ Đình (*)</t>
  </si>
  <si>
    <t>USD (i)</t>
  </si>
  <si>
    <t>4. Thuế và các khoản phải nộp Nhà nước</t>
  </si>
  <si>
    <t>Thuế và các khoản phải nộp Nhà nước</t>
  </si>
  <si>
    <t>Cổ tức, lợi nhuận đã chia</t>
  </si>
  <si>
    <t>dv</t>
  </si>
  <si>
    <t>- Nguyên giá TSCĐ cuối năm đã khấu hao hết nhưng vẫn còn sử dụng: 1.627.540.984 VND</t>
  </si>
  <si>
    <t>- Giá trị tài sản cầm cố, thế chấp các khoản vay: 8.158.132.883 VND</t>
  </si>
  <si>
    <t>(*) Giảm khác là những TSCĐ có nguyên giá dưới 30.000.000 VND được phân loại lại theo quy định tại Thông tư số 45/2013/TT-BTC ngày 25/4/2013 của Bộ Tài chính hướng dẫn chế độ quản lý, sử dụng và trích khấu hao TSCĐ. Trong đó:</t>
  </si>
  <si>
    <t>- Những TSCĐ có nguyên giá dưới 30.000.000 VND nhưng đã hết khấu hao nhưng vẫn còn sử dụng là: 232.399.090 VND</t>
  </si>
  <si>
    <t>- Những TSCĐ có nguyên giá dưới 30.000.000 VND nhưng vẫn còn GTCL là: 228.030.694 VND</t>
  </si>
  <si>
    <t>Nguyên giá TSCĐ cuối năm đã hết khấu hao nhưng vẫn còn sử dụng: 0 VND</t>
  </si>
  <si>
    <t>- Những TSCĐ có nguyên giá dưới 30.000.000 VND đã hết khấu hao nhưng vẫn còn sử dụng là: 93.378.517 VND</t>
  </si>
  <si>
    <t>- Những TSCĐ có nguyên giá dưới 30.000.000 VND nhưng vẫn còn GTCL là: 118.203.030 VND</t>
  </si>
  <si>
    <t>- Nguyên giá tài sản cố định đã khấu hao hết nhưng vẫn còn sử dụng: 1.014.929.095 VND.</t>
  </si>
  <si>
    <t>- Giá trị còn lại cuối năm của TSCĐ hữu hình đã dùng để thế chấp, cầm cố đảm bảo các khoản vay: 176.201.722 VND</t>
  </si>
  <si>
    <t>(*) Giảm khác là những TSCĐ có nguyên giá dưới 30.000.000 VND được phân loại lại theo quy định tại Thông tư số 45/2013/TT-BTC ngày 25/4/2013 của Bộ Tài Chính hướng dẫn chế độ quản lý, sử dụng và trích khấu hao TSCĐ. Trong đó:</t>
  </si>
  <si>
    <t>Những TSCĐ có nguyên giá dưới 30.000.000 VND đã hết khấu hao nhưng vẫn còn sử dụng là: 500.327.187 VND</t>
  </si>
  <si>
    <t>Những TSCĐ có nguyên giá dưới 30.000.000 VND nhưng vẫn còn GTCL là: 388.630.118 VND</t>
  </si>
  <si>
    <t>đt</t>
  </si>
  <si>
    <t>Chênh lệch tỷ giá chưa thực hiện</t>
  </si>
  <si>
    <t>27.</t>
  </si>
  <si>
    <t>VI.27</t>
  </si>
  <si>
    <t>Chi phí thuế thu nhập doanh nghiệp hoãn lại phát sinh từ các khoản chênh lệch tạm thời phải tính thuế</t>
  </si>
  <si>
    <t>Chi phí thuế thu nhập doanh nghiệp hoãn lại</t>
  </si>
  <si>
    <t>- Giảm khác (*)</t>
  </si>
  <si>
    <t>CPTTR</t>
  </si>
  <si>
    <t>Giá trị còn lại của bất động sản đầu tư</t>
  </si>
  <si>
    <t>TỔNG CỘNG TÀI SẢN (270=100+200)</t>
  </si>
  <si>
    <t>15. Tổng lợi nhuận kế toán trước thuế
      ( 50=30+40+45)</t>
  </si>
  <si>
    <t>Chi phí tài chính khác</t>
  </si>
  <si>
    <t>Lợi thế thương mại khoản đầu tư vào Công ty TNHH CEO Quốc Tế</t>
  </si>
  <si>
    <t>Tầng 5 tháp C.E.O, Mễ Trì, Nam Từ Liêm, Hà Nội</t>
  </si>
  <si>
    <t>Thuế GTGT</t>
  </si>
  <si>
    <t>Thu diện tích tầng 4-PVC</t>
  </si>
  <si>
    <t>Tống Thị Minh Tâm</t>
  </si>
  <si>
    <t>- Số dư ngày 01/01/2014</t>
  </si>
  <si>
    <t>- Tại ngày 01/01/2014</t>
  </si>
  <si>
    <t>Công ty TNHH C.E.O Quốc tế</t>
  </si>
  <si>
    <t>Công ty CP đầu tư và phát triển Phú Quốc</t>
  </si>
  <si>
    <t>Công ty CP đầu tư C.E.O</t>
  </si>
  <si>
    <t>1.10</t>
  </si>
  <si>
    <t>Phải trả dài hạn khác</t>
  </si>
  <si>
    <t>Nhận đặt cọc tiền thuê văn phòng</t>
  </si>
  <si>
    <t>CN Công ty TNHH DKSH Việt Nam tại Hà Nội</t>
  </si>
  <si>
    <t>- Số dư ngày 30/09/2014</t>
  </si>
  <si>
    <t>Nhận ký quỹ ký cược ngắn hạn</t>
  </si>
  <si>
    <t xml:space="preserve">Doanh thu chưa thực hiện cho thuê văn phòng </t>
  </si>
  <si>
    <t>Số dư ngày 30/09/2014</t>
  </si>
  <si>
    <t>Phân phối các quỹ</t>
  </si>
  <si>
    <t>Hợp nhất các công ty con</t>
  </si>
  <si>
    <t>CP dự án chờ phân bổ</t>
  </si>
  <si>
    <t>Công cụ, dụng cụ</t>
  </si>
  <si>
    <t>SỐ ĐẦU NĂM</t>
  </si>
  <si>
    <t>SỐ CUỐI KỲ</t>
  </si>
  <si>
    <t>Số lũy kế từ đầu năm đến cuối quý này (Năm nay)</t>
  </si>
  <si>
    <t>Số lũy kế từ đầu năm đến cuối quý này (Năm trước)</t>
  </si>
  <si>
    <t>Lũy kế đầu năm đến cuối quý này (Năm nay)</t>
  </si>
  <si>
    <t>Lũy kế đầu năm đến cuối quý này (Năm trước)</t>
  </si>
  <si>
    <t>N¨m 2008</t>
  </si>
  <si>
    <t>Thuế GTGT đề nghị hoàn</t>
  </si>
  <si>
    <t>- Phân loại lại</t>
  </si>
  <si>
    <t>01/01/2014</t>
  </si>
  <si>
    <t>Số dư ngày 01/01/2014</t>
  </si>
  <si>
    <t xml:space="preserve">Là số liệu được lấy từ Báo cáo tài chính hợp nhất năm 2013 của Công ty Cổ phần Đầu tư C.E.O đã được kiểm toán bởi Công ty TNHH kiểm toán và định giá Việt Nam </t>
  </si>
  <si>
    <t>ceo đầu tư</t>
  </si>
  <si>
    <t>Chủ tịch HĐQT</t>
  </si>
  <si>
    <t>Quý này 
năm trước</t>
  </si>
  <si>
    <t>Quý này
năm nay</t>
  </si>
  <si>
    <t>Kế toán trưởng</t>
  </si>
  <si>
    <t>Đỗ Thị Thơm</t>
  </si>
  <si>
    <t>Người lập</t>
  </si>
  <si>
    <t>Nguyễn Thu Phương</t>
  </si>
  <si>
    <t xml:space="preserve">Ngân hàng TMCP Quân Đội </t>
  </si>
  <si>
    <t xml:space="preserve">Ngân hàng Đầu tư và Phát triển Việt Nam </t>
  </si>
  <si>
    <t>Phí đo đạc, thẩm định trích lục, tư vấn làm sổ đỏ, thẩm định cấp Giấy CNQSĐ, phí trước bạ, phí bảo trì, phí quản lý của các ô đất tại Dự án Chi Đông</t>
  </si>
  <si>
    <t>Quý này năm nay</t>
  </si>
  <si>
    <t>Quý này năm trước</t>
  </si>
  <si>
    <t xml:space="preserve">         Người lập                                               Kế toán trưởng</t>
  </si>
  <si>
    <t>Nguyễn Thu Phương                                       Đỗ Thị Thơm</t>
  </si>
  <si>
    <t>(Theo phương pháp trực tiếp)</t>
  </si>
  <si>
    <t>Quý 4 năm 2014</t>
  </si>
  <si>
    <t>Tại ngày 31 tháng 12 năm 2014</t>
  </si>
  <si>
    <t>Quý 4 năm tài chính 2014</t>
  </si>
  <si>
    <t>DN - BÁO CÁO LƯU CHUYỂN TIỀN TỆ HỢP NHẤT - PPTT- QUÝ 4/2014</t>
  </si>
  <si>
    <t>DN - BÁO CÁO KẾT QUẢ HOẠT ĐỘNG KINH DOANH HỢP NHẤT - QUÝ 4/2014</t>
  </si>
  <si>
    <t>BẢN THUYẾT MINH BÁO CÁO TÀI CHÍNH HỢP NHẤT - QUÝ 4/2014</t>
  </si>
  <si>
    <t>Công ty CP xây dựng CEO</t>
  </si>
  <si>
    <t>- Số dư ngày 31/12/2014</t>
  </si>
  <si>
    <t>- Tại ngày 31/12/2014</t>
  </si>
  <si>
    <t>Vay cá nhân</t>
  </si>
  <si>
    <t>Ngân hàng BIDV-
Thanh Xuân</t>
  </si>
  <si>
    <t>Trả cổ tức</t>
  </si>
  <si>
    <t>Lãi 9 tháng năm 2014</t>
  </si>
  <si>
    <t>Số dư ngày 31/12/2014</t>
  </si>
  <si>
    <t>Phải thu hoạt động kinh doanh BĐS</t>
  </si>
  <si>
    <t>Phải thu hoạt động cung cấp dịch vụ</t>
  </si>
  <si>
    <t>Phải thu hoạt động xây lắp</t>
  </si>
  <si>
    <t>Trả trước hoạt động kinh doanh BĐS</t>
  </si>
  <si>
    <t>Trả trước hoạt động xây lắp</t>
  </si>
  <si>
    <t>Trả trước hoạt động dịch vụ</t>
  </si>
  <si>
    <t>Hà Nội, ngày 14 tháng 02 năm 2015</t>
  </si>
  <si>
    <t>HÀ NỘI, THÁNG 02 NĂM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</si>
</sst>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4">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 #,##0_)_đ_ ;_ * \(#,##0\)_đ_ ;_ * &quot;-&quot;_)_đ_ ;_ @_ "/>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mm/&quot;d&quot;&quot;d&quot;/yy"/>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quot;VND&quot;#,##0_);[Red]\(&quot;VND&quot;#,##0\)"/>
    <numFmt numFmtId="182" formatCode="#,##0\ &quot;F&quot;;[Red]\-#,##0\ &quot;F&quot;"/>
    <numFmt numFmtId="183" formatCode="#,##0.00\ &quot;F&quot;;\-#,##0.00\ &quot;F&quot;"/>
    <numFmt numFmtId="184" formatCode="#,##0.00\ &quot;F&quot;;[Red]\-#,##0.00\ &quot;F&quot;"/>
    <numFmt numFmtId="185" formatCode="_-* #,##0\ &quot;F&quot;_-;\-* #,##0\ &quot;F&quot;_-;_-* &quot;-&quot;\ &quot;F&quot;_-;_-@_-"/>
    <numFmt numFmtId="186" formatCode="#."/>
    <numFmt numFmtId="187" formatCode="#,##0.0"/>
    <numFmt numFmtId="188" formatCode="_-&quot;ñ&quot;* #,##0_-;\-&quot;ñ&quot;* #,##0_-;_-&quot;ñ&quot;* &quot;-&quot;_-;_-@_-"/>
    <numFmt numFmtId="189" formatCode="&quot;?&quot;#,##0;&quot;?&quot;\-#,##0"/>
    <numFmt numFmtId="190" formatCode=".\ ###\ ;############################################################################################"/>
    <numFmt numFmtId="191" formatCode="_-* #,##0\ &quot;$&quot;_-;\-* #,##0\ &quot;$&quot;_-;_-* &quot;-&quot;\ &quot;$&quot;_-;_-@_-"/>
    <numFmt numFmtId="192" formatCode="_-* #,##0.00\ _V_N_D_-;\-* #,##0.00\ _V_N_D_-;_-* &quot;-&quot;??\ _V_N_D_-;_-@_-"/>
    <numFmt numFmtId="193" formatCode="_ * #,##0.00_ ;_ * \-#,##0.00_ ;_ * &quot;-&quot;??_ ;_ @_ "/>
    <numFmt numFmtId="194" formatCode="_-* #,##0.00\ _F_-;\-* #,##0.00\ _F_-;_-* &quot;-&quot;??\ _F_-;_-@_-"/>
    <numFmt numFmtId="195" formatCode="_-* #,##0.00\ _ñ_-;\-* #,##0.00\ _ñ_-;_-* &quot;-&quot;??\ _ñ_-;_-@_-"/>
    <numFmt numFmtId="196" formatCode="_(&quot;$&quot;\ * #,##0_);_(&quot;$&quot;\ * \(#,##0\);_(&quot;$&quot;\ * &quot;-&quot;_);_(@_)"/>
    <numFmt numFmtId="197" formatCode="_-* #,##0\ &quot;ñ&quot;_-;\-* #,##0\ &quot;ñ&quot;_-;_-* &quot;-&quot;\ &quot;ñ&quot;_-;_-@_-"/>
    <numFmt numFmtId="198" formatCode="_-* #,##0\ _V_N_D_-;\-* #,##0\ _V_N_D_-;_-* &quot;-&quot;\ _V_N_D_-;_-@_-"/>
    <numFmt numFmtId="199" formatCode="_ * #,##0_ ;_ * \-#,##0_ ;_ * &quot;-&quot;_ ;_ @_ "/>
    <numFmt numFmtId="200" formatCode="_-* #,##0\ _F_-;\-* #,##0\ _F_-;_-* &quot;-&quot;\ _F_-;_-@_-"/>
    <numFmt numFmtId="201" formatCode="_-* #,##0\ _$_-;\-* #,##0\ _$_-;_-* &quot;-&quot;\ _$_-;_-@_-"/>
    <numFmt numFmtId="202" formatCode="_-* #,##0\ _ñ_-;\-* #,##0\ _ñ_-;_-* &quot;-&quot;\ _ñ_-;_-@_-"/>
    <numFmt numFmtId="203" formatCode="_ &quot;\&quot;* #,##0_ ;_ &quot;\&quot;* \-#,##0_ ;_ &quot;\&quot;* &quot;-&quot;_ ;_ @_ "/>
    <numFmt numFmtId="204" formatCode="&quot;SFr.&quot;\ #,##0.00;&quot;SFr.&quot;\ \-#,##0.00"/>
    <numFmt numFmtId="205" formatCode="_ &quot;\&quot;* #,##0.00_ ;_ &quot;\&quot;* \-#,##0.00_ ;_ &quot;\&quot;* &quot;-&quot;??_ ;_ @_ "/>
    <numFmt numFmtId="206" formatCode="&quot;SFr.&quot;\ #,##0.00;[Red]&quot;SFr.&quot;\ \-#,##0.00"/>
    <numFmt numFmtId="207" formatCode="#,##0.0_);\(#,##0.0\)"/>
    <numFmt numFmtId="208" formatCode="_(* #,##0.0000_);_(* \(#,##0.0000\);_(* &quot;-&quot;??_);_(@_)"/>
    <numFmt numFmtId="209" formatCode="###\ ###\ ###\ ###\ .00"/>
    <numFmt numFmtId="210" formatCode="###\ ###\ ###.000"/>
    <numFmt numFmtId="211" formatCode="&quot;£&quot;#,##0.00;\-&quot;£&quot;#,##0.00"/>
    <numFmt numFmtId="212" formatCode="dd\-mm\-yy"/>
    <numFmt numFmtId="213" formatCode="_-* #,##0.00\ &quot;F&quot;_-;\-* #,##0.00\ &quot;F&quot;_-;_-* &quot;-&quot;??\ &quot;F&quot;_-;_-@_-"/>
    <numFmt numFmtId="214" formatCode="0.000_)"/>
    <numFmt numFmtId="215" formatCode="#\ ###\ ###"/>
    <numFmt numFmtId="216" formatCode="#\ ###\ ##0.0"/>
    <numFmt numFmtId="217" formatCode="#\ ###\ ###\ .00"/>
    <numFmt numFmtId="218" formatCode="0.0000000000"/>
    <numFmt numFmtId="219" formatCode="&quot;$&quot;#,##0;[Red]\-&quot;$&quot;#,##0"/>
    <numFmt numFmtId="220" formatCode="&quot;$&quot;#,##0.00;[Red]\-&quot;$&quot;#,##0.00"/>
    <numFmt numFmtId="221" formatCode="#,##0.000_);\(#,##0.000\)"/>
    <numFmt numFmtId="222" formatCode="_-* #,##0.0\ _F_-;\-* #,##0.0\ _F_-;_-* &quot;-&quot;??\ _F_-;_-@_-"/>
    <numFmt numFmtId="223" formatCode="#,##0\ &quot;F&quot;;\-#,##0\ &quot;F&quot;"/>
    <numFmt numFmtId="224" formatCode="_ * #,##0_ ;_ * \-#,##0_ ;_ * &quot;-&quot;??_ ;_ @_ "/>
    <numFmt numFmtId="225" formatCode="_(* #,##0.0_);_(* \(#,##0.0\);_(* &quot;-&quot;??_);_(@_)"/>
  </numFmts>
  <fonts count="142">
    <font>
      <sz val="12"/>
      <name val=".VnTime"/>
    </font>
    <font>
      <sz val="12"/>
      <name val=".VnTime"/>
      <family val="2"/>
    </font>
    <font>
      <sz val="10"/>
      <name val="Arial"/>
      <family val="2"/>
    </font>
    <font>
      <b/>
      <sz val="12"/>
      <name val="Arial"/>
      <family val="2"/>
    </font>
    <font>
      <sz val="10"/>
      <name val="Arial"/>
      <family val="2"/>
    </font>
    <font>
      <b/>
      <sz val="18"/>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2"/>
      <name val=".VnTime"/>
      <family val="2"/>
    </font>
    <font>
      <b/>
      <sz val="10"/>
      <name val="Times New Roman"/>
      <family val="1"/>
    </font>
    <font>
      <sz val="12"/>
      <name val="Times New Roman"/>
      <family val="1"/>
    </font>
    <font>
      <sz val="11"/>
      <name val="Times New Roman"/>
      <family val="1"/>
    </font>
    <font>
      <sz val="10"/>
      <name val="Times New Roman"/>
      <family val="1"/>
    </font>
    <font>
      <i/>
      <sz val="10"/>
      <name val="Times New Roman"/>
      <family val="1"/>
    </font>
    <font>
      <b/>
      <sz val="11"/>
      <name val="Times New Roman"/>
      <family val="1"/>
    </font>
    <font>
      <b/>
      <sz val="12"/>
      <name val="Times New Roman"/>
      <family val="1"/>
    </font>
    <font>
      <i/>
      <sz val="11"/>
      <name val="Times New Roman"/>
      <family val="1"/>
    </font>
    <font>
      <b/>
      <i/>
      <sz val="11"/>
      <name val="Times New Roman"/>
      <family val="1"/>
    </font>
    <font>
      <sz val="11"/>
      <color indexed="8"/>
      <name val="Times New Roman"/>
      <family val="1"/>
    </font>
    <font>
      <sz val="11"/>
      <color indexed="10"/>
      <name val="Times New Roman"/>
      <family val="1"/>
    </font>
    <font>
      <i/>
      <sz val="10.5"/>
      <name val="Times New Roman"/>
      <family val="1"/>
    </font>
    <font>
      <b/>
      <sz val="10.5"/>
      <name val="Times New Roman"/>
      <family val="1"/>
    </font>
    <font>
      <i/>
      <sz val="12"/>
      <name val="Times New Roman"/>
      <family val="1"/>
    </font>
    <font>
      <b/>
      <i/>
      <sz val="12"/>
      <name val="Times New Roman"/>
      <family val="1"/>
    </font>
    <font>
      <sz val="10.5"/>
      <name val="Times New Roman"/>
      <family val="1"/>
    </font>
    <font>
      <b/>
      <i/>
      <sz val="10.5"/>
      <name val="Times New Roman"/>
      <family val="1"/>
    </font>
    <font>
      <b/>
      <sz val="9.5"/>
      <name val="Times New Roman"/>
      <family val="1"/>
    </font>
    <font>
      <sz val="10"/>
      <name val=".VnTime"/>
      <family val="2"/>
    </font>
    <font>
      <sz val="12"/>
      <name val="????"/>
      <charset val="136"/>
    </font>
    <font>
      <sz val="11"/>
      <name val="??"/>
      <family val="3"/>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4"/>
      <name val=".VnTimeH"/>
      <family val="2"/>
    </font>
    <font>
      <sz val="12"/>
      <name val="¹UAAA¼"/>
      <family val="3"/>
      <charset val="129"/>
    </font>
    <font>
      <sz val="10"/>
      <name val="Arial"/>
      <family val="2"/>
    </font>
    <font>
      <sz val="11"/>
      <name val=".VnTime"/>
      <family val="2"/>
    </font>
    <font>
      <sz val="12"/>
      <name val="Arial"/>
      <family val="2"/>
    </font>
    <font>
      <sz val="10"/>
      <name val="VNtimes new roman"/>
      <family val="2"/>
    </font>
    <font>
      <sz val="11"/>
      <name val="–¾’©"/>
      <family val="1"/>
      <charset val="128"/>
    </font>
    <font>
      <sz val="13"/>
      <name val=".VnTime"/>
      <family val="2"/>
    </font>
    <font>
      <sz val="12"/>
      <name val="바탕체"/>
      <family val="3"/>
    </font>
    <font>
      <sz val="9"/>
      <name val="ARIAL"/>
      <family val="2"/>
    </font>
    <font>
      <sz val="12"/>
      <name val="Courier"/>
      <family val="3"/>
    </font>
    <font>
      <sz val="10"/>
      <name val=" "/>
      <family val="1"/>
      <charset val="136"/>
    </font>
    <font>
      <sz val="8"/>
      <name val=".VnTime"/>
      <family val="2"/>
    </font>
    <font>
      <b/>
      <i/>
      <sz val="10"/>
      <name val="Times New Roman"/>
      <family val="1"/>
    </font>
    <font>
      <sz val="10"/>
      <name val="Courier New"/>
      <family val="3"/>
    </font>
    <font>
      <b/>
      <sz val="12"/>
      <name val=".VnBook-AntiquaH"/>
      <family val="2"/>
    </font>
    <font>
      <b/>
      <sz val="1"/>
      <color indexed="8"/>
      <name val="Courier"/>
      <family val="3"/>
    </font>
    <font>
      <sz val="8"/>
      <name val="Arial"/>
      <family val="2"/>
    </font>
    <font>
      <sz val="10"/>
      <name val="MS Sans Serif"/>
      <family val="2"/>
    </font>
    <font>
      <b/>
      <sz val="10"/>
      <name val="MS Sans Serif"/>
      <family val="2"/>
    </font>
    <font>
      <b/>
      <sz val="12"/>
      <color indexed="10"/>
      <name val="Times New Roman"/>
      <family val="1"/>
    </font>
    <font>
      <sz val="8"/>
      <name val=".VnTime"/>
      <family val="2"/>
    </font>
    <font>
      <b/>
      <sz val="14"/>
      <name val="Times New Roman"/>
      <family val="1"/>
    </font>
    <font>
      <sz val="11"/>
      <name val="Times New Roman"/>
      <family val="1"/>
      <charset val="163"/>
    </font>
    <font>
      <b/>
      <sz val="11"/>
      <name val="Times New Roman"/>
      <family val="1"/>
      <charset val="163"/>
    </font>
    <font>
      <b/>
      <sz val="17"/>
      <name val="Times New Roman"/>
      <family val="1"/>
    </font>
    <font>
      <b/>
      <sz val="13"/>
      <name val="Times New Roman"/>
      <family val="1"/>
    </font>
    <font>
      <sz val="12"/>
      <name val="VNI-Times"/>
    </font>
    <font>
      <sz val="10"/>
      <name val="?? ??"/>
      <family val="1"/>
      <charset val="136"/>
    </font>
    <font>
      <sz val="12"/>
      <name val=".VnArial"/>
      <family val="2"/>
    </font>
    <font>
      <sz val="11"/>
      <name val="??"/>
      <family val="3"/>
      <charset val="129"/>
    </font>
    <font>
      <sz val="10"/>
      <name val="AngsanaUPC"/>
      <family val="1"/>
    </font>
    <font>
      <sz val="10"/>
      <name val="Helv"/>
      <family val="2"/>
    </font>
    <font>
      <sz val="10"/>
      <name val="VNI-Times"/>
    </font>
    <font>
      <sz val="12"/>
      <name val="¹ÙÅÁÃ¼"/>
      <charset val="129"/>
    </font>
    <font>
      <sz val="12"/>
      <name val="±¼¸²Ã¼"/>
      <family val="3"/>
      <charset val="129"/>
    </font>
    <font>
      <sz val="8"/>
      <name val="Times New Roman"/>
      <family val="1"/>
    </font>
    <font>
      <sz val="12"/>
      <name val="Tms Rmn"/>
    </font>
    <font>
      <sz val="11"/>
      <name val="µ¸¿ò"/>
      <charset val="129"/>
    </font>
    <font>
      <sz val="10"/>
      <name val="Helv"/>
    </font>
    <font>
      <b/>
      <sz val="10"/>
      <name val="Helv"/>
    </font>
    <font>
      <sz val="11"/>
      <name val="Tms Rmn"/>
    </font>
    <font>
      <sz val="12"/>
      <name val="VNI-Aptima"/>
    </font>
    <font>
      <sz val="10"/>
      <name val="MS Serif"/>
      <family val="1"/>
    </font>
    <font>
      <sz val="10"/>
      <name val="VNI-Aptima"/>
    </font>
    <font>
      <sz val="10"/>
      <color indexed="8"/>
      <name val="Arial"/>
      <family val="2"/>
    </font>
    <font>
      <sz val="10"/>
      <name val="Arial CE"/>
      <charset val="238"/>
    </font>
    <font>
      <b/>
      <sz val="10"/>
      <color indexed="8"/>
      <name val="Arial"/>
      <family val="2"/>
    </font>
    <font>
      <sz val="10"/>
      <color indexed="16"/>
      <name val="MS Serif"/>
      <family val="1"/>
    </font>
    <font>
      <b/>
      <sz val="12"/>
      <color indexed="9"/>
      <name val="Tms Rmn"/>
    </font>
    <font>
      <b/>
      <sz val="12"/>
      <name val="Helv"/>
    </font>
    <font>
      <b/>
      <sz val="8"/>
      <name val="MS Sans Serif"/>
      <family val="2"/>
    </font>
    <font>
      <b/>
      <sz val="14"/>
      <name val=".VnTimeH"/>
      <family val="2"/>
    </font>
    <font>
      <sz val="10"/>
      <name val="VNI-Helve-Condense"/>
    </font>
    <font>
      <b/>
      <sz val="11"/>
      <color indexed="56"/>
      <name val="VNI-Helve-Condense"/>
    </font>
    <font>
      <sz val="11"/>
      <name val="VNI-Helve-Condense"/>
    </font>
    <font>
      <b/>
      <sz val="11"/>
      <name val="Helv"/>
    </font>
    <font>
      <sz val="10"/>
      <name val=".VnArial"/>
      <family val="2"/>
    </font>
    <font>
      <sz val="9"/>
      <name val="VNI-Helve-Condense"/>
    </font>
    <font>
      <sz val="7"/>
      <name val="Small Fonts"/>
      <family val="2"/>
    </font>
    <font>
      <b/>
      <sz val="12"/>
      <name val="VN-NTime"/>
    </font>
    <font>
      <b/>
      <sz val="11"/>
      <name val="Arial"/>
      <family val="2"/>
    </font>
    <font>
      <sz val="12"/>
      <name val="Helv"/>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8"/>
      <name val="Cambria"/>
      <family val="1"/>
    </font>
    <font>
      <sz val="8"/>
      <name val="MS Sans Serif"/>
      <family val="2"/>
    </font>
    <font>
      <b/>
      <sz val="8"/>
      <color indexed="8"/>
      <name val="Helv"/>
    </font>
    <font>
      <sz val="12"/>
      <name val="VNTime"/>
    </font>
    <font>
      <sz val="9"/>
      <name val=".VnTime"/>
      <family val="2"/>
    </font>
    <font>
      <b/>
      <sz val="12"/>
      <name val=".VnTime"/>
      <family val="2"/>
    </font>
    <font>
      <b/>
      <sz val="10"/>
      <name val=".VnTime"/>
      <family val="2"/>
    </font>
    <font>
      <sz val="14"/>
      <name val=".VnArial"/>
      <family val="2"/>
    </font>
    <font>
      <sz val="12"/>
      <name val="돋움체"/>
      <family val="3"/>
      <charset val="129"/>
    </font>
    <font>
      <sz val="11"/>
      <name val="ＭＳ Ｐゴシック"/>
      <charset val="128"/>
    </font>
    <font>
      <i/>
      <sz val="11"/>
      <name val="Times New Roman"/>
      <family val="1"/>
      <charset val="163"/>
    </font>
    <font>
      <i/>
      <sz val="11"/>
      <color indexed="10"/>
      <name val="Times New Roman"/>
      <family val="1"/>
    </font>
    <font>
      <b/>
      <i/>
      <sz val="11"/>
      <name val="Times New Roman"/>
      <family val="1"/>
      <charset val="163"/>
    </font>
    <font>
      <b/>
      <sz val="12"/>
      <name val="Times New Roman"/>
      <family val="1"/>
      <charset val="163"/>
    </font>
    <font>
      <sz val="10"/>
      <name val="Times New Roman"/>
      <family val="1"/>
      <charset val="163"/>
    </font>
    <font>
      <sz val="10"/>
      <name val="Arial"/>
      <family val="2"/>
      <charset val="163"/>
    </font>
    <font>
      <i/>
      <sz val="12"/>
      <name val="Times New Roman"/>
      <family val="1"/>
      <charset val="163"/>
    </font>
    <font>
      <b/>
      <i/>
      <sz val="10.5"/>
      <name val="Times New Roman"/>
      <family val="1"/>
      <charset val="163"/>
    </font>
    <font>
      <sz val="12"/>
      <name val="Times New Roman"/>
      <family val="1"/>
      <charset val="163"/>
      <scheme val="major"/>
    </font>
    <font>
      <b/>
      <sz val="12"/>
      <name val="Times New Roman"/>
      <family val="1"/>
      <charset val="163"/>
      <scheme val="major"/>
    </font>
    <font>
      <i/>
      <sz val="11"/>
      <color rgb="FF222222"/>
      <name val="Times New Roman"/>
      <family val="1"/>
    </font>
    <font>
      <i/>
      <sz val="11"/>
      <color theme="1"/>
      <name val="Times New Roman"/>
      <family val="1"/>
      <charset val="163"/>
    </font>
    <font>
      <i/>
      <sz val="12"/>
      <name val=".VnTime"/>
      <family val="2"/>
    </font>
    <font>
      <b/>
      <sz val="11"/>
      <color rgb="FFFF0000"/>
      <name val="Times New Roman"/>
      <family val="1"/>
    </font>
    <font>
      <sz val="11"/>
      <color rgb="FFFF0000"/>
      <name val="Times New Roman"/>
      <family val="1"/>
    </font>
    <font>
      <i/>
      <sz val="11"/>
      <color rgb="FFFF0000"/>
      <name val="Times New Roman"/>
      <family val="1"/>
    </font>
    <font>
      <sz val="10"/>
      <color rgb="FFFF0000"/>
      <name val="Times New Roman"/>
      <family val="1"/>
    </font>
    <font>
      <sz val="10"/>
      <name val="Times New Roman"/>
      <family val="1"/>
      <charset val="163"/>
      <scheme val="major"/>
    </font>
    <font>
      <b/>
      <sz val="10"/>
      <name val="Times New Roman"/>
      <family val="1"/>
      <charset val="163"/>
      <scheme val="major"/>
    </font>
    <font>
      <b/>
      <sz val="10"/>
      <color rgb="FFFF0000"/>
      <name val="Times New Roman"/>
      <family val="1"/>
    </font>
    <font>
      <i/>
      <sz val="10"/>
      <color rgb="FFFF0000"/>
      <name val="Times New Roman"/>
      <family val="1"/>
    </font>
    <font>
      <sz val="12"/>
      <color rgb="FFFF0000"/>
      <name val="Times New Roman"/>
      <family val="1"/>
    </font>
    <font>
      <i/>
      <sz val="11"/>
      <color rgb="FFFF0000"/>
      <name val="Times New Roman"/>
      <family val="1"/>
      <charset val="163"/>
    </font>
    <font>
      <sz val="11"/>
      <color rgb="FFFF0000"/>
      <name val="Times New Roman"/>
      <family val="1"/>
      <charset val="163"/>
    </font>
    <font>
      <sz val="12"/>
      <color rgb="FFFF0000"/>
      <name val=".VnTime"/>
      <family val="2"/>
    </font>
  </fonts>
  <fills count="30">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indexed="58"/>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rgb="FF00B050"/>
        <bgColor indexed="64"/>
      </patternFill>
    </fill>
    <fill>
      <patternFill patternType="solid">
        <fgColor indexed="65"/>
        <bgColor indexed="64"/>
      </patternFill>
    </fill>
    <fill>
      <patternFill patternType="lightUp">
        <fgColor indexed="9"/>
        <bgColor indexed="27"/>
      </patternFill>
    </fill>
    <fill>
      <patternFill patternType="lightUp">
        <fgColor indexed="9"/>
        <bgColor indexed="26"/>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gray125">
        <fgColor indexed="35"/>
      </patternFill>
    </fill>
    <fill>
      <patternFill patternType="solid">
        <fgColor rgb="FF92D050"/>
        <bgColor indexed="64"/>
      </patternFill>
    </fill>
  </fills>
  <borders count="2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medium">
        <color indexed="0"/>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99">
    <xf numFmtId="0" fontId="0" fillId="0" borderId="0"/>
    <xf numFmtId="180" fontId="30" fillId="0" borderId="0" applyFont="0" applyFill="0" applyBorder="0" applyAlignment="0" applyProtection="0"/>
    <xf numFmtId="0" fontId="32" fillId="2" borderId="0"/>
    <xf numFmtId="0" fontId="33" fillId="2" borderId="0"/>
    <xf numFmtId="0" fontId="34" fillId="2" borderId="0"/>
    <xf numFmtId="0" fontId="35" fillId="0" borderId="0">
      <alignment wrapText="1"/>
    </xf>
    <xf numFmtId="175" fontId="36" fillId="0" borderId="1" applyNumberFormat="0" applyFont="0" applyBorder="0" applyAlignment="0">
      <alignment horizontal="center" vertical="center"/>
    </xf>
    <xf numFmtId="0" fontId="37" fillId="0" borderId="0" applyFont="0" applyFill="0" applyBorder="0" applyAlignment="0" applyProtection="0"/>
    <xf numFmtId="0" fontId="37" fillId="0" borderId="0" applyFont="0" applyFill="0" applyBorder="0" applyAlignment="0" applyProtection="0"/>
    <xf numFmtId="0" fontId="37" fillId="0" borderId="0"/>
    <xf numFmtId="0" fontId="37" fillId="0" borderId="0"/>
    <xf numFmtId="169" fontId="1" fillId="0" borderId="0" applyFont="0" applyFill="0" applyBorder="0" applyAlignment="0" applyProtection="0"/>
    <xf numFmtId="167" fontId="1" fillId="0" borderId="0" applyFont="0" applyFill="0" applyBorder="0" applyAlignment="0" applyProtection="0"/>
    <xf numFmtId="169" fontId="10" fillId="0" borderId="0" applyFont="0" applyFill="0" applyBorder="0" applyAlignment="0" applyProtection="0"/>
    <xf numFmtId="179" fontId="10" fillId="0" borderId="0" applyFont="0" applyFill="0" applyBorder="0" applyAlignment="0" applyProtection="0"/>
    <xf numFmtId="169" fontId="1" fillId="0" borderId="0" applyFont="0" applyFill="0" applyBorder="0" applyAlignment="0" applyProtection="0"/>
    <xf numFmtId="3" fontId="2" fillId="0" borderId="0" applyFont="0" applyFill="0" applyBorder="0" applyAlignment="0" applyProtection="0"/>
    <xf numFmtId="40" fontId="2" fillId="0" borderId="0"/>
    <xf numFmtId="0" fontId="50" fillId="0" borderId="0" applyNumberFormat="0" applyFill="0" applyBorder="0" applyAlignment="0" applyProtection="0"/>
    <xf numFmtId="174" fontId="4" fillId="0" borderId="0" applyFont="0" applyFill="0" applyBorder="0" applyAlignment="0" applyProtection="0"/>
    <xf numFmtId="0" fontId="2" fillId="0" borderId="0" applyFont="0" applyFill="0" applyBorder="0" applyAlignment="0" applyProtection="0"/>
    <xf numFmtId="172" fontId="38" fillId="0" borderId="0" applyFont="0" applyFill="0" applyBorder="0" applyAlignment="0" applyProtection="0"/>
    <xf numFmtId="174" fontId="38" fillId="0" borderId="0" applyFont="0" applyFill="0" applyBorder="0" applyAlignment="0" applyProtection="0"/>
    <xf numFmtId="3" fontId="10" fillId="0" borderId="0" applyFont="0" applyBorder="0" applyAlignment="0"/>
    <xf numFmtId="3" fontId="10" fillId="0" borderId="0" applyFont="0" applyBorder="0" applyAlignment="0"/>
    <xf numFmtId="2" fontId="2" fillId="0" borderId="0" applyFont="0" applyFill="0" applyBorder="0" applyAlignment="0" applyProtection="0"/>
    <xf numFmtId="0" fontId="51" fillId="0" borderId="0" applyNumberFormat="0" applyFont="0" applyBorder="0" applyAlignment="0">
      <alignment horizontal="left" vertical="center"/>
    </xf>
    <xf numFmtId="0" fontId="3" fillId="0" borderId="2" applyNumberFormat="0" applyAlignment="0" applyProtection="0">
      <alignment horizontal="left" vertical="center"/>
    </xf>
    <xf numFmtId="0" fontId="3" fillId="0" borderId="3">
      <alignment horizontal="left" vertical="center"/>
    </xf>
    <xf numFmtId="0" fontId="5" fillId="0" borderId="0" applyNumberFormat="0" applyFill="0" applyBorder="0" applyAlignment="0" applyProtection="0"/>
    <xf numFmtId="0" fontId="3" fillId="0" borderId="0" applyNumberFormat="0" applyFill="0" applyBorder="0" applyAlignment="0" applyProtection="0"/>
    <xf numFmtId="186" fontId="52" fillId="0" borderId="0">
      <protection locked="0"/>
    </xf>
    <xf numFmtId="186" fontId="52" fillId="0" borderId="0">
      <protection locked="0"/>
    </xf>
    <xf numFmtId="38" fontId="53" fillId="0" borderId="0"/>
    <xf numFmtId="0" fontId="53" fillId="2" borderId="0"/>
    <xf numFmtId="172" fontId="39" fillId="0" borderId="4"/>
    <xf numFmtId="0" fontId="40" fillId="0" borderId="0" applyNumberFormat="0" applyFont="0" applyFill="0" applyAlignment="0"/>
    <xf numFmtId="38" fontId="2" fillId="0" borderId="0" applyNumberFormat="0" applyFont="0" applyFill="0" applyProtection="0"/>
    <xf numFmtId="181" fontId="41" fillId="0" borderId="0"/>
    <xf numFmtId="0" fontId="10" fillId="0" borderId="0"/>
    <xf numFmtId="0" fontId="2" fillId="0" borderId="0"/>
    <xf numFmtId="174" fontId="42" fillId="0" borderId="0" applyFont="0" applyFill="0" applyBorder="0" applyAlignment="0" applyProtection="0"/>
    <xf numFmtId="172" fontId="42" fillId="0" borderId="0" applyFont="0" applyFill="0" applyBorder="0" applyAlignment="0" applyProtection="0"/>
    <xf numFmtId="9" fontId="1" fillId="0" borderId="0" applyFont="0" applyFill="0" applyBorder="0" applyAlignment="0" applyProtection="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0" borderId="5">
      <alignment horizontal="center"/>
    </xf>
    <xf numFmtId="3" fontId="54" fillId="0" borderId="0" applyFont="0" applyFill="0" applyBorder="0" applyAlignment="0" applyProtection="0"/>
    <xf numFmtId="0" fontId="54" fillId="3" borderId="0" applyNumberFormat="0" applyFont="0" applyBorder="0" applyAlignment="0" applyProtection="0"/>
    <xf numFmtId="0" fontId="38" fillId="4" borderId="0"/>
    <xf numFmtId="0" fontId="29" fillId="0" borderId="0" applyNumberFormat="0" applyFill="0" applyBorder="0" applyAlignment="0" applyProtection="0"/>
    <xf numFmtId="184" fontId="43" fillId="0" borderId="6">
      <alignment horizontal="right" vertical="center"/>
    </xf>
    <xf numFmtId="185" fontId="43" fillId="0" borderId="6">
      <alignment horizontal="center"/>
    </xf>
    <xf numFmtId="0" fontId="2" fillId="0" borderId="7" applyNumberFormat="0" applyFont="0" applyFill="0" applyAlignment="0" applyProtection="0"/>
    <xf numFmtId="38" fontId="2" fillId="0" borderId="3" applyNumberFormat="0" applyFont="0" applyFill="0" applyAlignment="0" applyProtection="0"/>
    <xf numFmtId="38" fontId="2" fillId="0" borderId="8" applyNumberFormat="0" applyFont="0" applyFill="0" applyAlignment="0" applyProtection="0"/>
    <xf numFmtId="38" fontId="2" fillId="0" borderId="9" applyNumberFormat="0" applyFont="0" applyFill="0" applyAlignment="0" applyProtection="0"/>
    <xf numFmtId="40" fontId="2" fillId="0" borderId="0"/>
    <xf numFmtId="182" fontId="43" fillId="0" borderId="0"/>
    <xf numFmtId="183" fontId="43" fillId="0" borderId="10"/>
    <xf numFmtId="171" fontId="38" fillId="0" borderId="0" applyFont="0" applyFill="0" applyBorder="0" applyAlignment="0" applyProtection="0"/>
    <xf numFmtId="173" fontId="38" fillId="0" borderId="0" applyFon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44" fillId="0" borderId="0" applyFont="0" applyFill="0" applyBorder="0" applyAlignment="0" applyProtection="0"/>
    <xf numFmtId="0" fontId="7" fillId="0" borderId="0"/>
    <xf numFmtId="0" fontId="40" fillId="0" borderId="0"/>
    <xf numFmtId="172" fontId="45" fillId="0" borderId="0" applyFont="0" applyFill="0" applyBorder="0" applyAlignment="0" applyProtection="0"/>
    <xf numFmtId="174" fontId="45"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0" fontId="9" fillId="0" borderId="0"/>
    <xf numFmtId="179" fontId="45" fillId="0" borderId="0" applyFont="0" applyFill="0" applyBorder="0" applyAlignment="0" applyProtection="0"/>
    <xf numFmtId="165" fontId="46" fillId="0" borderId="0" applyFont="0" applyFill="0" applyBorder="0" applyAlignment="0" applyProtection="0"/>
    <xf numFmtId="180" fontId="45"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12" fillId="0" borderId="0">
      <alignment vertical="center"/>
    </xf>
    <xf numFmtId="0" fontId="2" fillId="0" borderId="0"/>
    <xf numFmtId="168" fontId="2" fillId="0" borderId="0" applyFont="0" applyFill="0" applyBorder="0" applyAlignment="0" applyProtection="0"/>
    <xf numFmtId="188" fontId="63" fillId="0" borderId="0" applyFont="0" applyFill="0" applyBorder="0" applyAlignment="0" applyProtection="0"/>
    <xf numFmtId="0" fontId="64" fillId="0" borderId="0" applyFont="0" applyFill="0" applyBorder="0" applyAlignment="0" applyProtection="0"/>
    <xf numFmtId="189" fontId="31" fillId="0" borderId="0" applyFont="0" applyFill="0" applyBorder="0" applyAlignment="0" applyProtection="0"/>
    <xf numFmtId="0" fontId="65" fillId="0" borderId="0" applyFont="0" applyFill="0" applyBorder="0" applyAlignment="0" applyProtection="0"/>
    <xf numFmtId="190" fontId="1" fillId="0" borderId="0" applyFont="0" applyFill="0" applyBorder="0" applyAlignment="0" applyProtection="0"/>
    <xf numFmtId="172" fontId="45" fillId="0" borderId="0" applyFont="0" applyFill="0" applyBorder="0" applyAlignment="0" applyProtection="0"/>
    <xf numFmtId="9" fontId="66" fillId="0" borderId="0" applyFont="0" applyFill="0" applyBorder="0" applyAlignment="0" applyProtection="0"/>
    <xf numFmtId="165" fontId="46" fillId="0" borderId="0" applyFont="0" applyFill="0" applyBorder="0" applyAlignment="0" applyProtection="0"/>
    <xf numFmtId="0" fontId="67" fillId="0" borderId="0" applyFont="0" applyFill="0" applyBorder="0" applyAlignment="0" applyProtection="0"/>
    <xf numFmtId="0" fontId="68" fillId="0" borderId="0"/>
    <xf numFmtId="185" fontId="63" fillId="0" borderId="0" applyFont="0" applyFill="0" applyBorder="0" applyAlignment="0" applyProtection="0"/>
    <xf numFmtId="0" fontId="29" fillId="0" borderId="0" applyNumberFormat="0" applyFill="0" applyBorder="0" applyAlignment="0" applyProtection="0"/>
    <xf numFmtId="166" fontId="69" fillId="0" borderId="0" applyFont="0" applyFill="0" applyBorder="0" applyAlignment="0" applyProtection="0"/>
    <xf numFmtId="191" fontId="69" fillId="0" borderId="0" applyFont="0" applyFill="0" applyBorder="0" applyAlignment="0" applyProtection="0"/>
    <xf numFmtId="185" fontId="63" fillId="0" borderId="0" applyFont="0" applyFill="0" applyBorder="0" applyAlignment="0" applyProtection="0"/>
    <xf numFmtId="0" fontId="68" fillId="0" borderId="0"/>
    <xf numFmtId="0" fontId="68" fillId="0" borderId="0"/>
    <xf numFmtId="0" fontId="68" fillId="0" borderId="0"/>
    <xf numFmtId="0" fontId="54" fillId="0" borderId="0"/>
    <xf numFmtId="0" fontId="68" fillId="0" borderId="0"/>
    <xf numFmtId="166" fontId="69" fillId="0" borderId="0" applyFont="0" applyFill="0" applyBorder="0" applyAlignment="0" applyProtection="0"/>
    <xf numFmtId="179" fontId="63" fillId="0" borderId="0" applyFont="0" applyFill="0" applyBorder="0" applyAlignment="0" applyProtection="0"/>
    <xf numFmtId="179" fontId="63" fillId="0" borderId="0" applyFont="0" applyFill="0" applyBorder="0" applyAlignment="0" applyProtection="0"/>
    <xf numFmtId="188" fontId="63" fillId="0" borderId="0" applyFont="0" applyFill="0" applyBorder="0" applyAlignment="0" applyProtection="0"/>
    <xf numFmtId="174" fontId="63" fillId="0" borderId="0" applyFont="0" applyFill="0" applyBorder="0" applyAlignment="0" applyProtection="0"/>
    <xf numFmtId="169" fontId="69" fillId="0" borderId="0" applyFon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3" fontId="69" fillId="0" borderId="0" applyFont="0" applyFill="0" applyBorder="0" applyAlignment="0" applyProtection="0"/>
    <xf numFmtId="0" fontId="69" fillId="0" borderId="0" applyFont="0" applyFill="0" applyBorder="0" applyAlignment="0" applyProtection="0"/>
    <xf numFmtId="169" fontId="69" fillId="0" borderId="0" applyFont="0" applyFill="0" applyBorder="0" applyAlignment="0" applyProtection="0"/>
    <xf numFmtId="17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72" fontId="63" fillId="0" borderId="0" applyFont="0" applyFill="0" applyBorder="0" applyAlignment="0" applyProtection="0"/>
    <xf numFmtId="166" fontId="69" fillId="0" borderId="0" applyFont="0" applyFill="0" applyBorder="0" applyAlignment="0" applyProtection="0"/>
    <xf numFmtId="185" fontId="63" fillId="0" borderId="0" applyFont="0" applyFill="0" applyBorder="0" applyAlignment="0" applyProtection="0"/>
    <xf numFmtId="191" fontId="69" fillId="0" borderId="0" applyFont="0" applyFill="0" applyBorder="0" applyAlignment="0" applyProtection="0"/>
    <xf numFmtId="16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3"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97" fontId="69" fillId="0" borderId="0" applyFont="0" applyFill="0" applyBorder="0" applyAlignment="0" applyProtection="0"/>
    <xf numFmtId="169" fontId="69" fillId="0" borderId="0" applyFon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3" fontId="69" fillId="0" borderId="0" applyFont="0" applyFill="0" applyBorder="0" applyAlignment="0" applyProtection="0"/>
    <xf numFmtId="0" fontId="69" fillId="0" borderId="0" applyFont="0" applyFill="0" applyBorder="0" applyAlignment="0" applyProtection="0"/>
    <xf numFmtId="169" fontId="69" fillId="0" borderId="0" applyFont="0" applyFill="0" applyBorder="0" applyAlignment="0" applyProtection="0"/>
    <xf numFmtId="17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74" fontId="63" fillId="0" borderId="0" applyFont="0" applyFill="0" applyBorder="0" applyAlignment="0" applyProtection="0"/>
    <xf numFmtId="167" fontId="69" fillId="0" borderId="0" applyFont="0" applyFill="0" applyBorder="0" applyAlignment="0" applyProtection="0"/>
    <xf numFmtId="198" fontId="69" fillId="0" borderId="0" applyFont="0" applyFill="0" applyBorder="0" applyAlignment="0" applyProtection="0"/>
    <xf numFmtId="199"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9" fontId="69" fillId="0" borderId="0" applyFont="0" applyFill="0" applyBorder="0" applyAlignment="0" applyProtection="0"/>
    <xf numFmtId="200" fontId="63" fillId="0" borderId="0" applyFont="0" applyFill="0" applyBorder="0" applyAlignment="0" applyProtection="0"/>
    <xf numFmtId="167" fontId="69" fillId="0" borderId="0" applyFont="0" applyFill="0" applyBorder="0" applyAlignment="0" applyProtection="0"/>
    <xf numFmtId="172" fontId="69" fillId="0" borderId="0" applyFont="0" applyFill="0" applyBorder="0" applyAlignment="0" applyProtection="0"/>
    <xf numFmtId="198" fontId="69" fillId="0" borderId="0" applyFont="0" applyFill="0" applyBorder="0" applyAlignment="0" applyProtection="0"/>
    <xf numFmtId="201"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2" fontId="69" fillId="0" borderId="0" applyFont="0" applyFill="0" applyBorder="0" applyAlignment="0" applyProtection="0"/>
    <xf numFmtId="185" fontId="63" fillId="0" borderId="0" applyFont="0" applyFill="0" applyBorder="0" applyAlignment="0" applyProtection="0"/>
    <xf numFmtId="191" fontId="69" fillId="0" borderId="0" applyFont="0" applyFill="0" applyBorder="0" applyAlignment="0" applyProtection="0"/>
    <xf numFmtId="16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3"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97" fontId="69" fillId="0" borderId="0" applyFont="0" applyFill="0" applyBorder="0" applyAlignment="0" applyProtection="0"/>
    <xf numFmtId="172" fontId="63" fillId="0" borderId="0" applyFont="0" applyFill="0" applyBorder="0" applyAlignment="0" applyProtection="0"/>
    <xf numFmtId="174" fontId="63" fillId="0" borderId="0" applyFont="0" applyFill="0" applyBorder="0" applyAlignment="0" applyProtection="0"/>
    <xf numFmtId="167" fontId="69" fillId="0" borderId="0" applyFont="0" applyFill="0" applyBorder="0" applyAlignment="0" applyProtection="0"/>
    <xf numFmtId="198" fontId="69" fillId="0" borderId="0" applyFont="0" applyFill="0" applyBorder="0" applyAlignment="0" applyProtection="0"/>
    <xf numFmtId="199"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9" fontId="69" fillId="0" borderId="0" applyFont="0" applyFill="0" applyBorder="0" applyAlignment="0" applyProtection="0"/>
    <xf numFmtId="200" fontId="63" fillId="0" borderId="0" applyFont="0" applyFill="0" applyBorder="0" applyAlignment="0" applyProtection="0"/>
    <xf numFmtId="167" fontId="69" fillId="0" borderId="0" applyFont="0" applyFill="0" applyBorder="0" applyAlignment="0" applyProtection="0"/>
    <xf numFmtId="172" fontId="69" fillId="0" borderId="0" applyFont="0" applyFill="0" applyBorder="0" applyAlignment="0" applyProtection="0"/>
    <xf numFmtId="198" fontId="69" fillId="0" borderId="0" applyFont="0" applyFill="0" applyBorder="0" applyAlignment="0" applyProtection="0"/>
    <xf numFmtId="201"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2" fontId="69" fillId="0" borderId="0" applyFont="0" applyFill="0" applyBorder="0" applyAlignment="0" applyProtection="0"/>
    <xf numFmtId="169" fontId="69" fillId="0" borderId="0" applyFon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3" fontId="69" fillId="0" borderId="0" applyFont="0" applyFill="0" applyBorder="0" applyAlignment="0" applyProtection="0"/>
    <xf numFmtId="0" fontId="69" fillId="0" borderId="0" applyFont="0" applyFill="0" applyBorder="0" applyAlignment="0" applyProtection="0"/>
    <xf numFmtId="169" fontId="69" fillId="0" borderId="0" applyFont="0" applyFill="0" applyBorder="0" applyAlignment="0" applyProtection="0"/>
    <xf numFmtId="17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72" fontId="63" fillId="0" borderId="0" applyFont="0" applyFill="0" applyBorder="0" applyAlignment="0" applyProtection="0"/>
    <xf numFmtId="179" fontId="63" fillId="0" borderId="0" applyFont="0" applyFill="0" applyBorder="0" applyAlignment="0" applyProtection="0"/>
    <xf numFmtId="179" fontId="63" fillId="0" borderId="0" applyFont="0" applyFill="0" applyBorder="0" applyAlignment="0" applyProtection="0"/>
    <xf numFmtId="188" fontId="63" fillId="0" borderId="0" applyFont="0" applyFill="0" applyBorder="0" applyAlignment="0" applyProtection="0"/>
    <xf numFmtId="16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3"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97" fontId="69" fillId="0" borderId="0" applyFont="0" applyFill="0" applyBorder="0" applyAlignment="0" applyProtection="0"/>
    <xf numFmtId="172" fontId="63" fillId="0" borderId="0" applyFont="0" applyFill="0" applyBorder="0" applyAlignment="0" applyProtection="0"/>
    <xf numFmtId="167" fontId="69" fillId="0" borderId="0" applyFont="0" applyFill="0" applyBorder="0" applyAlignment="0" applyProtection="0"/>
    <xf numFmtId="198" fontId="69" fillId="0" borderId="0" applyFont="0" applyFill="0" applyBorder="0" applyAlignment="0" applyProtection="0"/>
    <xf numFmtId="199"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9" fontId="69" fillId="0" borderId="0" applyFont="0" applyFill="0" applyBorder="0" applyAlignment="0" applyProtection="0"/>
    <xf numFmtId="200" fontId="63" fillId="0" borderId="0" applyFont="0" applyFill="0" applyBorder="0" applyAlignment="0" applyProtection="0"/>
    <xf numFmtId="167" fontId="69" fillId="0" borderId="0" applyFont="0" applyFill="0" applyBorder="0" applyAlignment="0" applyProtection="0"/>
    <xf numFmtId="172" fontId="69" fillId="0" borderId="0" applyFont="0" applyFill="0" applyBorder="0" applyAlignment="0" applyProtection="0"/>
    <xf numFmtId="198" fontId="69" fillId="0" borderId="0" applyFont="0" applyFill="0" applyBorder="0" applyAlignment="0" applyProtection="0"/>
    <xf numFmtId="201"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2" fontId="69" fillId="0" borderId="0" applyFont="0" applyFill="0" applyBorder="0" applyAlignment="0" applyProtection="0"/>
    <xf numFmtId="169" fontId="69" fillId="0" borderId="0" applyFon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3" fontId="69" fillId="0" borderId="0" applyFont="0" applyFill="0" applyBorder="0" applyAlignment="0" applyProtection="0"/>
    <xf numFmtId="0" fontId="69" fillId="0" borderId="0" applyFont="0" applyFill="0" applyBorder="0" applyAlignment="0" applyProtection="0"/>
    <xf numFmtId="169" fontId="69" fillId="0" borderId="0" applyFont="0" applyFill="0" applyBorder="0" applyAlignment="0" applyProtection="0"/>
    <xf numFmtId="17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2" fontId="69"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79" fontId="63" fillId="0" borderId="0" applyFont="0" applyFill="0" applyBorder="0" applyAlignment="0" applyProtection="0"/>
    <xf numFmtId="179" fontId="63" fillId="0" borderId="0" applyFont="0" applyFill="0" applyBorder="0" applyAlignment="0" applyProtection="0"/>
    <xf numFmtId="188" fontId="63" fillId="0" borderId="0" applyFont="0" applyFill="0" applyBorder="0" applyAlignment="0" applyProtection="0"/>
    <xf numFmtId="174" fontId="63" fillId="0" borderId="0" applyFont="0" applyFill="0" applyBorder="0" applyAlignment="0" applyProtection="0"/>
    <xf numFmtId="0" fontId="68" fillId="0" borderId="0"/>
    <xf numFmtId="0" fontId="2" fillId="0" borderId="0"/>
    <xf numFmtId="9" fontId="70" fillId="0" borderId="0" applyFont="0" applyFill="0" applyBorder="0" applyAlignment="0" applyProtection="0"/>
    <xf numFmtId="203" fontId="71" fillId="0" borderId="0" applyFont="0" applyFill="0" applyBorder="0" applyAlignment="0" applyProtection="0"/>
    <xf numFmtId="0" fontId="37" fillId="0" borderId="0" applyFont="0" applyFill="0" applyBorder="0" applyAlignment="0" applyProtection="0"/>
    <xf numFmtId="204" fontId="63" fillId="0" borderId="0" applyFont="0" applyFill="0" applyBorder="0" applyAlignment="0" applyProtection="0"/>
    <xf numFmtId="205" fontId="71" fillId="0" borderId="0" applyFont="0" applyFill="0" applyBorder="0" applyAlignment="0" applyProtection="0"/>
    <xf numFmtId="0" fontId="37" fillId="0" borderId="0" applyFont="0" applyFill="0" applyBorder="0" applyAlignment="0" applyProtection="0"/>
    <xf numFmtId="206" fontId="63" fillId="0" borderId="0" applyFont="0" applyFill="0" applyBorder="0" applyAlignment="0" applyProtection="0"/>
    <xf numFmtId="0" fontId="72" fillId="0" borderId="0">
      <alignment horizontal="center" wrapText="1"/>
      <protection locked="0"/>
    </xf>
    <xf numFmtId="199" fontId="71" fillId="0" borderId="0" applyFont="0" applyFill="0" applyBorder="0" applyAlignment="0" applyProtection="0"/>
    <xf numFmtId="199"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79" fontId="63" fillId="0" borderId="0" applyFont="0" applyFill="0" applyBorder="0" applyAlignment="0" applyProtection="0"/>
    <xf numFmtId="0" fontId="73" fillId="0" borderId="0" applyNumberFormat="0" applyFill="0" applyBorder="0" applyAlignment="0" applyProtection="0"/>
    <xf numFmtId="0" fontId="74" fillId="0" borderId="0"/>
    <xf numFmtId="0" fontId="74" fillId="0" borderId="0"/>
    <xf numFmtId="0" fontId="2" fillId="0" borderId="0" applyFill="0" applyBorder="0" applyAlignment="0"/>
    <xf numFmtId="207" fontId="75" fillId="0" borderId="0" applyFill="0" applyBorder="0" applyAlignment="0"/>
    <xf numFmtId="208" fontId="75" fillId="0" borderId="0" applyFill="0" applyBorder="0" applyAlignment="0"/>
    <xf numFmtId="209" fontId="1" fillId="0" borderId="0" applyFill="0" applyBorder="0" applyAlignment="0"/>
    <xf numFmtId="210" fontId="1" fillId="0" borderId="0" applyFill="0" applyBorder="0" applyAlignment="0"/>
    <xf numFmtId="211" fontId="1" fillId="0" borderId="0" applyFill="0" applyBorder="0" applyAlignment="0"/>
    <xf numFmtId="212" fontId="1" fillId="0" borderId="0" applyFill="0" applyBorder="0" applyAlignment="0"/>
    <xf numFmtId="207" fontId="75" fillId="0" borderId="0" applyFill="0" applyBorder="0" applyAlignment="0"/>
    <xf numFmtId="0" fontId="76" fillId="0" borderId="0"/>
    <xf numFmtId="213" fontId="69" fillId="0" borderId="0" applyFont="0" applyFill="0" applyBorder="0" applyAlignment="0" applyProtection="0"/>
    <xf numFmtId="214" fontId="77" fillId="0" borderId="0"/>
    <xf numFmtId="214" fontId="77" fillId="0" borderId="0"/>
    <xf numFmtId="214" fontId="77" fillId="0" borderId="0"/>
    <xf numFmtId="214" fontId="77" fillId="0" borderId="0"/>
    <xf numFmtId="214" fontId="77" fillId="0" borderId="0"/>
    <xf numFmtId="214" fontId="77" fillId="0" borderId="0"/>
    <xf numFmtId="214" fontId="77" fillId="0" borderId="0"/>
    <xf numFmtId="214" fontId="77" fillId="0" borderId="0"/>
    <xf numFmtId="211" fontId="1" fillId="0" borderId="0" applyFont="0" applyFill="0" applyBorder="0" applyAlignment="0" applyProtection="0"/>
    <xf numFmtId="215" fontId="78" fillId="0" borderId="0"/>
    <xf numFmtId="0" fontId="79" fillId="0" borderId="0" applyNumberFormat="0" applyAlignment="0">
      <alignment horizontal="left"/>
    </xf>
    <xf numFmtId="207" fontId="75" fillId="0" borderId="0" applyFont="0" applyFill="0" applyBorder="0" applyAlignment="0" applyProtection="0"/>
    <xf numFmtId="216" fontId="78" fillId="0" borderId="0"/>
    <xf numFmtId="1" fontId="80" fillId="0" borderId="18" applyBorder="0"/>
    <xf numFmtId="14" fontId="81" fillId="0" borderId="0" applyFill="0" applyBorder="0" applyAlignment="0"/>
    <xf numFmtId="0" fontId="2" fillId="0" borderId="0" applyFont="0" applyFill="0" applyBorder="0" applyAlignment="0" applyProtection="0"/>
    <xf numFmtId="217" fontId="78" fillId="0" borderId="0"/>
    <xf numFmtId="167" fontId="82" fillId="0" borderId="0" applyFont="0" applyFill="0" applyBorder="0" applyAlignment="0" applyProtection="0"/>
    <xf numFmtId="167"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211" fontId="1" fillId="0" borderId="0" applyFill="0" applyBorder="0" applyAlignment="0"/>
    <xf numFmtId="207" fontId="75" fillId="0" borderId="0" applyFill="0" applyBorder="0" applyAlignment="0"/>
    <xf numFmtId="211" fontId="1" fillId="0" borderId="0" applyFill="0" applyBorder="0" applyAlignment="0"/>
    <xf numFmtId="212" fontId="1" fillId="0" borderId="0" applyFill="0" applyBorder="0" applyAlignment="0"/>
    <xf numFmtId="207" fontId="75" fillId="0" borderId="0" applyFill="0" applyBorder="0" applyAlignment="0"/>
    <xf numFmtId="0" fontId="84" fillId="0" borderId="0" applyNumberFormat="0" applyAlignment="0">
      <alignment horizontal="left"/>
    </xf>
    <xf numFmtId="38" fontId="53" fillId="12" borderId="0" applyNumberFormat="0" applyBorder="0" applyAlignment="0" applyProtection="0"/>
    <xf numFmtId="0" fontId="85" fillId="9" borderId="0"/>
    <xf numFmtId="0" fontId="86" fillId="0" borderId="0">
      <alignment horizontal="left"/>
    </xf>
    <xf numFmtId="0" fontId="87" fillId="0" borderId="5">
      <alignment horizontal="center"/>
    </xf>
    <xf numFmtId="0" fontId="87" fillId="0" borderId="0">
      <alignment horizontal="center"/>
    </xf>
    <xf numFmtId="49" fontId="88" fillId="0" borderId="10">
      <alignment vertical="center"/>
    </xf>
    <xf numFmtId="202" fontId="69" fillId="0" borderId="0" applyFont="0" applyFill="0" applyBorder="0" applyAlignment="0" applyProtection="0"/>
    <xf numFmtId="10" fontId="53" fillId="12" borderId="10" applyNumberFormat="0" applyBorder="0" applyAlignment="0" applyProtection="0"/>
    <xf numFmtId="0" fontId="89" fillId="0" borderId="13" applyNumberFormat="0" applyFont="0" applyFill="0" applyAlignment="0" applyProtection="0">
      <alignment horizontal="center"/>
    </xf>
    <xf numFmtId="0" fontId="90" fillId="0" borderId="13" applyNumberFormat="0" applyFont="0" applyFill="0" applyAlignment="0" applyProtection="0">
      <alignment horizontal="center"/>
    </xf>
    <xf numFmtId="49" fontId="91" fillId="0" borderId="10" applyNumberFormat="0" applyFont="0" applyFill="0" applyAlignment="0" applyProtection="0">
      <alignment horizontal="center" vertical="center" wrapText="1"/>
    </xf>
    <xf numFmtId="0" fontId="54" fillId="0" borderId="0"/>
    <xf numFmtId="211" fontId="1" fillId="0" borderId="0" applyFill="0" applyBorder="0" applyAlignment="0"/>
    <xf numFmtId="207" fontId="75" fillId="0" borderId="0" applyFill="0" applyBorder="0" applyAlignment="0"/>
    <xf numFmtId="211" fontId="1" fillId="0" borderId="0" applyFill="0" applyBorder="0" applyAlignment="0"/>
    <xf numFmtId="212" fontId="1" fillId="0" borderId="0" applyFill="0" applyBorder="0" applyAlignment="0"/>
    <xf numFmtId="207" fontId="75" fillId="0" borderId="0" applyFill="0" applyBorder="0" applyAlignment="0"/>
    <xf numFmtId="38" fontId="54" fillId="0" borderId="0" applyFon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92" fillId="0" borderId="5"/>
    <xf numFmtId="218" fontId="63" fillId="0" borderId="0" applyFont="0" applyFill="0" applyBorder="0" applyAlignment="0" applyProtection="0"/>
    <xf numFmtId="175" fontId="93" fillId="0" borderId="0" applyFont="0" applyFill="0" applyBorder="0" applyAlignment="0" applyProtection="0"/>
    <xf numFmtId="219" fontId="54" fillId="0" borderId="0" applyFont="0" applyFill="0" applyBorder="0" applyAlignment="0" applyProtection="0"/>
    <xf numFmtId="220" fontId="54" fillId="0" borderId="0" applyFont="0" applyFill="0" applyBorder="0" applyAlignment="0" applyProtection="0"/>
    <xf numFmtId="4" fontId="94" fillId="0" borderId="13" applyBorder="0"/>
    <xf numFmtId="0" fontId="40" fillId="0" borderId="0" applyNumberFormat="0" applyFont="0" applyFill="0" applyAlignment="0"/>
    <xf numFmtId="0" fontId="40" fillId="0" borderId="0" applyNumberFormat="0" applyFont="0" applyFill="0" applyAlignment="0"/>
    <xf numFmtId="0" fontId="14" fillId="0" borderId="0"/>
    <xf numFmtId="37" fontId="95" fillId="0" borderId="0"/>
    <xf numFmtId="0" fontId="96" fillId="0" borderId="10" applyNumberFormat="0" applyFont="0" applyFill="0" applyBorder="0" applyAlignment="0">
      <alignment horizontal="center"/>
    </xf>
    <xf numFmtId="0" fontId="1" fillId="0" borderId="0"/>
    <xf numFmtId="0" fontId="82" fillId="0" borderId="0"/>
    <xf numFmtId="0" fontId="97" fillId="0" borderId="0" applyNumberFormat="0" applyFill="0" applyBorder="0" applyAlignment="0" applyProtection="0"/>
    <xf numFmtId="0" fontId="2" fillId="0" borderId="0" applyFont="0" applyFill="0" applyBorder="0" applyAlignment="0" applyProtection="0"/>
    <xf numFmtId="0" fontId="14" fillId="0" borderId="0"/>
    <xf numFmtId="14" fontId="72" fillId="0" borderId="0">
      <alignment horizontal="center" wrapText="1"/>
      <protection locked="0"/>
    </xf>
    <xf numFmtId="210" fontId="1" fillId="0" borderId="0" applyFont="0" applyFill="0" applyBorder="0" applyAlignment="0" applyProtection="0"/>
    <xf numFmtId="221" fontId="2" fillId="0" borderId="0" applyFont="0" applyFill="0" applyBorder="0" applyAlignment="0" applyProtection="0"/>
    <xf numFmtId="10" fontId="2" fillId="0" borderId="0" applyFont="0" applyFill="0" applyBorder="0" applyAlignment="0" applyProtection="0"/>
    <xf numFmtId="9" fontId="54" fillId="0" borderId="19" applyNumberFormat="0" applyBorder="0"/>
    <xf numFmtId="211" fontId="1" fillId="0" borderId="0" applyFill="0" applyBorder="0" applyAlignment="0"/>
    <xf numFmtId="207" fontId="75" fillId="0" borderId="0" applyFill="0" applyBorder="0" applyAlignment="0"/>
    <xf numFmtId="211" fontId="1" fillId="0" borderId="0" applyFill="0" applyBorder="0" applyAlignment="0"/>
    <xf numFmtId="212" fontId="1" fillId="0" borderId="0" applyFill="0" applyBorder="0" applyAlignment="0"/>
    <xf numFmtId="207" fontId="75" fillId="0" borderId="0" applyFill="0" applyBorder="0" applyAlignment="0"/>
    <xf numFmtId="0" fontId="98" fillId="0" borderId="0"/>
    <xf numFmtId="0" fontId="99" fillId="13" borderId="0" applyNumberFormat="0" applyFont="0" applyBorder="0" applyAlignment="0">
      <alignment horizontal="center"/>
    </xf>
    <xf numFmtId="14" fontId="100" fillId="0" borderId="0" applyNumberFormat="0" applyFill="0" applyBorder="0" applyAlignment="0" applyProtection="0">
      <alignment horizontal="left"/>
    </xf>
    <xf numFmtId="202" fontId="69" fillId="0" borderId="0" applyFont="0" applyFill="0" applyBorder="0" applyAlignment="0" applyProtection="0"/>
    <xf numFmtId="4" fontId="101" fillId="14" borderId="20" applyNumberFormat="0" applyProtection="0">
      <alignment vertical="center"/>
    </xf>
    <xf numFmtId="4" fontId="102" fillId="14" borderId="20" applyNumberFormat="0" applyProtection="0">
      <alignment vertical="center"/>
    </xf>
    <xf numFmtId="4" fontId="103" fillId="14" borderId="20" applyNumberFormat="0" applyProtection="0">
      <alignment horizontal="left" vertical="center" indent="1"/>
    </xf>
    <xf numFmtId="4" fontId="103" fillId="15" borderId="0" applyNumberFormat="0" applyProtection="0">
      <alignment horizontal="left" vertical="center" indent="1"/>
    </xf>
    <xf numFmtId="4" fontId="103" fillId="16" borderId="20" applyNumberFormat="0" applyProtection="0">
      <alignment horizontal="right" vertical="center"/>
    </xf>
    <xf numFmtId="4" fontId="103" fillId="17" borderId="20" applyNumberFormat="0" applyProtection="0">
      <alignment horizontal="right" vertical="center"/>
    </xf>
    <xf numFmtId="4" fontId="103" fillId="18" borderId="20" applyNumberFormat="0" applyProtection="0">
      <alignment horizontal="right" vertical="center"/>
    </xf>
    <xf numFmtId="4" fontId="103" fillId="19" borderId="20" applyNumberFormat="0" applyProtection="0">
      <alignment horizontal="right" vertical="center"/>
    </xf>
    <xf numFmtId="4" fontId="103" fillId="7" borderId="20" applyNumberFormat="0" applyProtection="0">
      <alignment horizontal="right" vertical="center"/>
    </xf>
    <xf numFmtId="4" fontId="103" fillId="20" borderId="20" applyNumberFormat="0" applyProtection="0">
      <alignment horizontal="right" vertical="center"/>
    </xf>
    <xf numFmtId="4" fontId="103" fillId="21" borderId="20" applyNumberFormat="0" applyProtection="0">
      <alignment horizontal="right" vertical="center"/>
    </xf>
    <xf numFmtId="4" fontId="103" fillId="22" borderId="20" applyNumberFormat="0" applyProtection="0">
      <alignment horizontal="right" vertical="center"/>
    </xf>
    <xf numFmtId="4" fontId="103" fillId="23" borderId="20" applyNumberFormat="0" applyProtection="0">
      <alignment horizontal="right" vertical="center"/>
    </xf>
    <xf numFmtId="4" fontId="101" fillId="24" borderId="21" applyNumberFormat="0" applyProtection="0">
      <alignment horizontal="left" vertical="center" indent="1"/>
    </xf>
    <xf numFmtId="4" fontId="101" fillId="25" borderId="0" applyNumberFormat="0" applyProtection="0">
      <alignment horizontal="left" vertical="center" indent="1"/>
    </xf>
    <xf numFmtId="4" fontId="101" fillId="15" borderId="0" applyNumberFormat="0" applyProtection="0">
      <alignment horizontal="left" vertical="center" indent="1"/>
    </xf>
    <xf numFmtId="4" fontId="103" fillId="25" borderId="20" applyNumberFormat="0" applyProtection="0">
      <alignment horizontal="right" vertical="center"/>
    </xf>
    <xf numFmtId="4" fontId="81" fillId="25" borderId="0" applyNumberFormat="0" applyProtection="0">
      <alignment horizontal="left" vertical="center" indent="1"/>
    </xf>
    <xf numFmtId="4" fontId="81" fillId="15" borderId="0" applyNumberFormat="0" applyProtection="0">
      <alignment horizontal="left" vertical="center" indent="1"/>
    </xf>
    <xf numFmtId="4" fontId="103" fillId="26" borderId="20" applyNumberFormat="0" applyProtection="0">
      <alignment vertical="center"/>
    </xf>
    <xf numFmtId="4" fontId="104" fillId="26" borderId="20" applyNumberFormat="0" applyProtection="0">
      <alignment vertical="center"/>
    </xf>
    <xf numFmtId="4" fontId="101" fillId="25" borderId="22" applyNumberFormat="0" applyProtection="0">
      <alignment horizontal="left" vertical="center" indent="1"/>
    </xf>
    <xf numFmtId="4" fontId="103" fillId="26" borderId="20" applyNumberFormat="0" applyProtection="0">
      <alignment horizontal="right" vertical="center"/>
    </xf>
    <xf numFmtId="4" fontId="104" fillId="26" borderId="20" applyNumberFormat="0" applyProtection="0">
      <alignment horizontal="right" vertical="center"/>
    </xf>
    <xf numFmtId="4" fontId="101" fillId="25" borderId="20" applyNumberFormat="0" applyProtection="0">
      <alignment horizontal="left" vertical="center" indent="1"/>
    </xf>
    <xf numFmtId="4" fontId="105" fillId="27" borderId="22" applyNumberFormat="0" applyProtection="0">
      <alignment horizontal="left" vertical="center" indent="1"/>
    </xf>
    <xf numFmtId="4" fontId="106" fillId="26" borderId="20" applyNumberFormat="0" applyProtection="0">
      <alignment horizontal="right" vertical="center"/>
    </xf>
    <xf numFmtId="0" fontId="99" fillId="1" borderId="3" applyNumberFormat="0" applyFont="0" applyAlignment="0">
      <alignment horizontal="center"/>
    </xf>
    <xf numFmtId="0" fontId="107" fillId="0" borderId="0" applyNumberFormat="0" applyFill="0" applyBorder="0" applyAlignment="0" applyProtection="0"/>
    <xf numFmtId="3" fontId="63" fillId="0" borderId="0"/>
    <xf numFmtId="0" fontId="108" fillId="0" borderId="0" applyNumberFormat="0" applyFill="0" applyBorder="0" applyAlignment="0">
      <alignment horizontal="center"/>
    </xf>
    <xf numFmtId="199" fontId="69" fillId="0" borderId="0" applyFont="0" applyFill="0" applyBorder="0" applyAlignment="0" applyProtection="0"/>
    <xf numFmtId="200" fontId="63" fillId="0" borderId="0" applyFont="0" applyFill="0" applyBorder="0" applyAlignment="0" applyProtection="0"/>
    <xf numFmtId="167" fontId="69" fillId="0" borderId="0" applyFont="0" applyFill="0" applyBorder="0" applyAlignment="0" applyProtection="0"/>
    <xf numFmtId="172" fontId="69" fillId="0" borderId="0" applyFont="0" applyFill="0" applyBorder="0" applyAlignment="0" applyProtection="0"/>
    <xf numFmtId="198" fontId="69" fillId="0" borderId="0" applyFont="0" applyFill="0" applyBorder="0" applyAlignment="0" applyProtection="0"/>
    <xf numFmtId="201"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167"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2" fontId="69" fillId="0" borderId="0" applyFont="0" applyFill="0" applyBorder="0" applyAlignment="0" applyProtection="0"/>
    <xf numFmtId="167" fontId="69" fillId="0" borderId="0" applyFont="0" applyFill="0" applyBorder="0" applyAlignment="0" applyProtection="0"/>
    <xf numFmtId="198" fontId="69" fillId="0" borderId="0" applyFont="0" applyFill="0" applyBorder="0" applyAlignment="0" applyProtection="0"/>
    <xf numFmtId="199"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9" fontId="69" fillId="0" borderId="0" applyFont="0" applyFill="0" applyBorder="0" applyAlignment="0" applyProtection="0"/>
    <xf numFmtId="200" fontId="63" fillId="0" borderId="0" applyFont="0" applyFill="0" applyBorder="0" applyAlignment="0" applyProtection="0"/>
    <xf numFmtId="167" fontId="69" fillId="0" borderId="0" applyFont="0" applyFill="0" applyBorder="0" applyAlignment="0" applyProtection="0"/>
    <xf numFmtId="172" fontId="69" fillId="0" borderId="0" applyFont="0" applyFill="0" applyBorder="0" applyAlignment="0" applyProtection="0"/>
    <xf numFmtId="198" fontId="69" fillId="0" borderId="0" applyFont="0" applyFill="0" applyBorder="0" applyAlignment="0" applyProtection="0"/>
    <xf numFmtId="201" fontId="69" fillId="0" borderId="0" applyFont="0" applyFill="0" applyBorder="0" applyAlignment="0" applyProtection="0"/>
    <xf numFmtId="199"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202" fontId="69" fillId="0" borderId="0" applyFont="0" applyFill="0" applyBorder="0" applyAlignment="0" applyProtection="0"/>
    <xf numFmtId="198" fontId="69" fillId="0" borderId="0" applyFont="0" applyFill="0" applyBorder="0" applyAlignment="0" applyProtection="0"/>
    <xf numFmtId="166" fontId="69" fillId="0" borderId="0" applyFont="0" applyFill="0" applyBorder="0" applyAlignment="0" applyProtection="0"/>
    <xf numFmtId="185" fontId="63" fillId="0" borderId="0" applyFont="0" applyFill="0" applyBorder="0" applyAlignment="0" applyProtection="0"/>
    <xf numFmtId="191" fontId="69" fillId="0" borderId="0" applyFont="0" applyFill="0" applyBorder="0" applyAlignment="0" applyProtection="0"/>
    <xf numFmtId="166"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3" fillId="0" borderId="0" applyFont="0" applyFill="0" applyBorder="0" applyAlignment="0" applyProtection="0"/>
    <xf numFmtId="196" fontId="69" fillId="0" borderId="0" applyFont="0" applyFill="0" applyBorder="0" applyAlignment="0" applyProtection="0"/>
    <xf numFmtId="196" fontId="69" fillId="0" borderId="0" applyFont="0" applyFill="0" applyBorder="0" applyAlignment="0" applyProtection="0"/>
    <xf numFmtId="200" fontId="69" fillId="0" borderId="0" applyFont="0" applyFill="0" applyBorder="0" applyAlignment="0" applyProtection="0"/>
    <xf numFmtId="196" fontId="69" fillId="0" borderId="0" applyFont="0" applyFill="0" applyBorder="0" applyAlignment="0" applyProtection="0"/>
    <xf numFmtId="185" fontId="69" fillId="0" borderId="0" applyFont="0" applyFill="0" applyBorder="0" applyAlignment="0" applyProtection="0"/>
    <xf numFmtId="197" fontId="69" fillId="0" borderId="0" applyFont="0" applyFill="0" applyBorder="0" applyAlignment="0" applyProtection="0"/>
    <xf numFmtId="198" fontId="69" fillId="0" borderId="0" applyFont="0" applyFill="0" applyBorder="0" applyAlignment="0" applyProtection="0"/>
    <xf numFmtId="198" fontId="69" fillId="0" borderId="0" applyFont="0" applyFill="0" applyBorder="0" applyAlignment="0" applyProtection="0"/>
    <xf numFmtId="200" fontId="69" fillId="0" borderId="0" applyFont="0" applyFill="0" applyBorder="0" applyAlignment="0" applyProtection="0"/>
    <xf numFmtId="0" fontId="92" fillId="0" borderId="0"/>
    <xf numFmtId="40" fontId="109" fillId="0" borderId="0" applyBorder="0">
      <alignment horizontal="right"/>
    </xf>
    <xf numFmtId="184" fontId="43" fillId="0" borderId="6">
      <alignment horizontal="right" vertical="center"/>
    </xf>
    <xf numFmtId="222" fontId="1" fillId="0" borderId="6">
      <alignment horizontal="right" vertical="center"/>
    </xf>
    <xf numFmtId="184" fontId="43" fillId="0" borderId="6">
      <alignment horizontal="right" vertical="center"/>
    </xf>
    <xf numFmtId="222" fontId="1" fillId="0" borderId="6">
      <alignment horizontal="right" vertical="center"/>
    </xf>
    <xf numFmtId="49" fontId="81" fillId="0" borderId="0" applyFill="0" applyBorder="0" applyAlignment="0"/>
    <xf numFmtId="223" fontId="2" fillId="0" borderId="0" applyFill="0" applyBorder="0" applyAlignment="0"/>
    <xf numFmtId="182" fontId="2" fillId="0" borderId="0" applyFill="0" applyBorder="0" applyAlignment="0"/>
    <xf numFmtId="0" fontId="110" fillId="0" borderId="23"/>
    <xf numFmtId="0" fontId="2" fillId="0" borderId="0" applyNumberFormat="0" applyFill="0" applyBorder="0" applyAlignment="0" applyProtection="0"/>
    <xf numFmtId="0" fontId="97" fillId="0" borderId="0" applyNumberFormat="0" applyFill="0" applyBorder="0" applyAlignment="0" applyProtection="0"/>
    <xf numFmtId="164" fontId="29" fillId="0" borderId="24">
      <alignment horizontal="left" vertical="top"/>
    </xf>
    <xf numFmtId="0" fontId="111" fillId="0" borderId="24">
      <alignment horizontal="left" vertical="center"/>
    </xf>
    <xf numFmtId="0" fontId="112" fillId="28" borderId="10">
      <alignment horizontal="left" vertical="center"/>
    </xf>
    <xf numFmtId="164" fontId="113" fillId="0" borderId="25">
      <alignment horizontal="left" vertical="top"/>
    </xf>
    <xf numFmtId="166" fontId="82" fillId="0" borderId="0" applyFont="0" applyFill="0" applyBorder="0" applyAlignment="0" applyProtection="0"/>
    <xf numFmtId="168" fontId="82" fillId="0" borderId="0" applyFont="0" applyFill="0" applyBorder="0" applyAlignment="0" applyProtection="0"/>
    <xf numFmtId="0" fontId="114" fillId="0" borderId="0" applyNumberFormat="0" applyFill="0" applyBorder="0" applyAlignment="0" applyProtection="0"/>
    <xf numFmtId="193" fontId="115"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172" fontId="2" fillId="0" borderId="0" applyFont="0" applyFill="0" applyBorder="0" applyAlignment="0" applyProtection="0"/>
    <xf numFmtId="0" fontId="116" fillId="0" borderId="0"/>
    <xf numFmtId="0" fontId="122" fillId="0" borderId="0"/>
    <xf numFmtId="169" fontId="1" fillId="0" borderId="0" applyFont="0" applyFill="0" applyBorder="0" applyAlignment="0" applyProtection="0"/>
    <xf numFmtId="179" fontId="1" fillId="0" borderId="0" applyFont="0" applyFill="0" applyBorder="0" applyAlignment="0" applyProtection="0"/>
    <xf numFmtId="174" fontId="2" fillId="0" borderId="0" applyFont="0" applyFill="0" applyBorder="0" applyAlignment="0" applyProtection="0"/>
    <xf numFmtId="3" fontId="1" fillId="0" borderId="0" applyFont="0" applyBorder="0" applyAlignment="0"/>
    <xf numFmtId="3" fontId="1" fillId="0" borderId="0" applyFont="0" applyBorder="0" applyAlignment="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3" fontId="82" fillId="0" borderId="0" applyFont="0" applyFill="0" applyBorder="0" applyAlignment="0" applyProtection="0"/>
    <xf numFmtId="41" fontId="82" fillId="0" borderId="0" applyFont="0" applyFill="0" applyBorder="0" applyAlignment="0" applyProtection="0"/>
    <xf numFmtId="41" fontId="6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1"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cellStyleXfs>
  <cellXfs count="810">
    <xf numFmtId="0" fontId="0" fillId="0" borderId="0" xfId="0"/>
    <xf numFmtId="175" fontId="13" fillId="0" borderId="0" xfId="11" applyNumberFormat="1" applyFont="1"/>
    <xf numFmtId="0" fontId="13" fillId="0" borderId="0" xfId="0" applyFont="1"/>
    <xf numFmtId="0" fontId="12" fillId="0" borderId="0" xfId="0" applyFont="1"/>
    <xf numFmtId="0" fontId="12" fillId="0" borderId="1" xfId="0" applyFont="1" applyBorder="1"/>
    <xf numFmtId="0" fontId="16" fillId="0" borderId="0" xfId="0" applyFont="1"/>
    <xf numFmtId="175" fontId="12" fillId="0" borderId="0" xfId="11" applyNumberFormat="1" applyFont="1"/>
    <xf numFmtId="0" fontId="13" fillId="0" borderId="0" xfId="0" quotePrefix="1" applyFont="1"/>
    <xf numFmtId="0" fontId="17" fillId="0" borderId="0" xfId="0" applyFont="1"/>
    <xf numFmtId="0" fontId="21" fillId="0" borderId="0" xfId="0" applyFont="1"/>
    <xf numFmtId="0" fontId="13" fillId="0" borderId="0" xfId="0" applyFont="1" applyAlignment="1">
      <alignment wrapText="1"/>
    </xf>
    <xf numFmtId="0" fontId="17" fillId="0" borderId="1" xfId="0" applyFont="1" applyBorder="1"/>
    <xf numFmtId="0" fontId="17" fillId="0" borderId="0" xfId="0" applyFont="1" applyAlignment="1">
      <alignment horizontal="centerContinuous"/>
    </xf>
    <xf numFmtId="0" fontId="12" fillId="0" borderId="0" xfId="0" applyFont="1" applyAlignment="1">
      <alignment horizontal="centerContinuous"/>
    </xf>
    <xf numFmtId="175" fontId="12" fillId="0" borderId="0" xfId="11" applyNumberFormat="1" applyFont="1" applyAlignment="1">
      <alignment horizontal="centerContinuous"/>
    </xf>
    <xf numFmtId="0" fontId="11" fillId="0" borderId="0" xfId="39" applyFont="1" applyBorder="1" applyAlignment="1">
      <alignment horizontal="left"/>
    </xf>
    <xf numFmtId="0" fontId="13" fillId="0" borderId="0" xfId="39" applyFont="1" applyBorder="1"/>
    <xf numFmtId="0" fontId="11" fillId="0" borderId="0" xfId="39" applyFont="1" applyBorder="1"/>
    <xf numFmtId="0" fontId="11" fillId="0" borderId="0" xfId="39" applyFont="1" applyBorder="1" applyAlignment="1">
      <alignment horizontal="right"/>
    </xf>
    <xf numFmtId="0" fontId="14" fillId="0" borderId="0" xfId="39" applyFont="1" applyAlignment="1">
      <alignment horizontal="left"/>
    </xf>
    <xf numFmtId="0" fontId="14" fillId="0" borderId="0" xfId="39" applyFont="1" applyBorder="1" applyAlignment="1"/>
    <xf numFmtId="0" fontId="15" fillId="0" borderId="0" xfId="39" applyFont="1" applyBorder="1" applyAlignment="1">
      <alignment horizontal="right"/>
    </xf>
    <xf numFmtId="175" fontId="15" fillId="0" borderId="0" xfId="13" applyNumberFormat="1" applyFont="1" applyBorder="1" applyAlignment="1"/>
    <xf numFmtId="0" fontId="11" fillId="0" borderId="0" xfId="39" applyFont="1" applyBorder="1" applyAlignment="1">
      <alignment horizontal="center"/>
    </xf>
    <xf numFmtId="0" fontId="16" fillId="0" borderId="0" xfId="39" applyFont="1" applyBorder="1"/>
    <xf numFmtId="175" fontId="13" fillId="0" borderId="0" xfId="13" applyNumberFormat="1" applyFont="1" applyBorder="1"/>
    <xf numFmtId="0" fontId="16" fillId="0" borderId="0" xfId="39" applyFont="1" applyBorder="1" applyAlignment="1">
      <alignment horizontal="center"/>
    </xf>
    <xf numFmtId="0" fontId="14" fillId="0" borderId="0" xfId="39" applyFont="1" applyBorder="1"/>
    <xf numFmtId="175" fontId="14" fillId="0" borderId="0" xfId="13" applyNumberFormat="1" applyFont="1" applyBorder="1"/>
    <xf numFmtId="0" fontId="16" fillId="0" borderId="1" xfId="39" applyFont="1" applyBorder="1" applyAlignment="1">
      <alignment horizontal="center" vertical="center" wrapText="1"/>
    </xf>
    <xf numFmtId="0" fontId="16" fillId="0" borderId="0" xfId="39" applyFont="1" applyBorder="1" applyAlignment="1">
      <alignment horizontal="center" vertical="justify" wrapText="1"/>
    </xf>
    <xf numFmtId="0" fontId="13" fillId="0" borderId="0" xfId="39" applyFont="1"/>
    <xf numFmtId="0" fontId="14" fillId="0" borderId="0" xfId="39" applyFont="1" applyBorder="1" applyAlignment="1">
      <alignment horizontal="center"/>
    </xf>
    <xf numFmtId="0" fontId="16" fillId="0" borderId="0" xfId="39" applyFont="1" applyBorder="1" applyAlignment="1">
      <alignment horizontal="center" vertical="center" wrapText="1"/>
    </xf>
    <xf numFmtId="175" fontId="16" fillId="0" borderId="0" xfId="13" applyNumberFormat="1" applyFont="1" applyBorder="1" applyAlignment="1">
      <alignment horizontal="center"/>
    </xf>
    <xf numFmtId="14" fontId="16" fillId="0" borderId="0" xfId="39" quotePrefix="1" applyNumberFormat="1" applyFont="1" applyBorder="1" applyAlignment="1">
      <alignment horizontal="center"/>
    </xf>
    <xf numFmtId="0" fontId="49" fillId="0" borderId="0" xfId="39" applyFont="1" applyBorder="1" applyAlignment="1">
      <alignment horizontal="center"/>
    </xf>
    <xf numFmtId="0" fontId="19" fillId="0" borderId="0" xfId="39" applyFont="1" applyBorder="1"/>
    <xf numFmtId="0" fontId="18" fillId="0" borderId="0" xfId="39" applyFont="1" applyBorder="1"/>
    <xf numFmtId="0" fontId="13" fillId="0" borderId="0" xfId="39" quotePrefix="1" applyFont="1" applyBorder="1"/>
    <xf numFmtId="175" fontId="19" fillId="0" borderId="0" xfId="13" applyNumberFormat="1" applyFont="1" applyBorder="1"/>
    <xf numFmtId="175" fontId="16" fillId="0" borderId="0" xfId="13" applyNumberFormat="1" applyFont="1" applyBorder="1"/>
    <xf numFmtId="0" fontId="12" fillId="0" borderId="0" xfId="39" applyFont="1"/>
    <xf numFmtId="175" fontId="13" fillId="0" borderId="0" xfId="13" applyNumberFormat="1" applyFont="1" applyFill="1" applyBorder="1"/>
    <xf numFmtId="0" fontId="17" fillId="0" borderId="0" xfId="39" applyFont="1"/>
    <xf numFmtId="0" fontId="16" fillId="0" borderId="0" xfId="39" quotePrefix="1" applyFont="1" applyBorder="1"/>
    <xf numFmtId="0" fontId="11" fillId="0" borderId="0" xfId="39" applyFont="1" applyBorder="1" applyAlignment="1"/>
    <xf numFmtId="0" fontId="13" fillId="0" borderId="0" xfId="0" applyFont="1" applyFill="1" applyAlignment="1">
      <alignment vertical="top"/>
    </xf>
    <xf numFmtId="170" fontId="13" fillId="0" borderId="0" xfId="0" applyNumberFormat="1" applyFont="1"/>
    <xf numFmtId="167" fontId="13" fillId="0" borderId="0" xfId="0" applyNumberFormat="1" applyFont="1"/>
    <xf numFmtId="0" fontId="56" fillId="0" borderId="0" xfId="0" applyFont="1"/>
    <xf numFmtId="0" fontId="17" fillId="6" borderId="0" xfId="0" applyFont="1" applyFill="1"/>
    <xf numFmtId="170" fontId="21" fillId="0" borderId="0" xfId="0" applyNumberFormat="1" applyFont="1"/>
    <xf numFmtId="170" fontId="13" fillId="6" borderId="0" xfId="0" applyNumberFormat="1" applyFont="1" applyFill="1"/>
    <xf numFmtId="170" fontId="13" fillId="0" borderId="0" xfId="0" applyNumberFormat="1" applyFont="1" applyAlignment="1">
      <alignment wrapText="1"/>
    </xf>
    <xf numFmtId="170" fontId="13" fillId="6" borderId="0" xfId="0" applyNumberFormat="1" applyFont="1" applyFill="1" applyBorder="1"/>
    <xf numFmtId="170" fontId="13" fillId="0" borderId="0" xfId="0" applyNumberFormat="1" applyFont="1" applyBorder="1"/>
    <xf numFmtId="170" fontId="13" fillId="0" borderId="0" xfId="0" applyNumberFormat="1" applyFont="1" applyBorder="1" applyAlignment="1">
      <alignment wrapText="1"/>
    </xf>
    <xf numFmtId="0" fontId="13" fillId="6" borderId="0" xfId="0" applyFont="1" applyFill="1"/>
    <xf numFmtId="9" fontId="13" fillId="0" borderId="0" xfId="0" applyNumberFormat="1" applyFont="1"/>
    <xf numFmtId="0" fontId="13" fillId="5" borderId="0" xfId="0" applyFont="1" applyFill="1"/>
    <xf numFmtId="170" fontId="13" fillId="5" borderId="0" xfId="0" applyNumberFormat="1" applyFont="1" applyFill="1"/>
    <xf numFmtId="170" fontId="21" fillId="0" borderId="0" xfId="0" applyNumberFormat="1" applyFont="1" applyBorder="1"/>
    <xf numFmtId="167" fontId="13" fillId="6" borderId="0" xfId="0" applyNumberFormat="1" applyFont="1" applyFill="1"/>
    <xf numFmtId="167" fontId="13" fillId="0" borderId="0" xfId="0" applyNumberFormat="1" applyFont="1" applyAlignment="1">
      <alignment wrapText="1"/>
    </xf>
    <xf numFmtId="167" fontId="13" fillId="5" borderId="0" xfId="0" applyNumberFormat="1" applyFont="1" applyFill="1"/>
    <xf numFmtId="167" fontId="21" fillId="0" borderId="0" xfId="0" applyNumberFormat="1" applyFont="1"/>
    <xf numFmtId="167" fontId="13" fillId="0" borderId="0" xfId="11" applyNumberFormat="1" applyFont="1" applyFill="1" applyBorder="1" applyAlignment="1">
      <alignment horizontal="right" vertical="top"/>
    </xf>
    <xf numFmtId="167" fontId="13" fillId="0" borderId="0" xfId="0" applyNumberFormat="1" applyFont="1" applyFill="1" applyBorder="1" applyAlignment="1">
      <alignment vertical="top"/>
    </xf>
    <xf numFmtId="0" fontId="21" fillId="0" borderId="0" xfId="0" applyFont="1" applyAlignment="1">
      <alignment horizontal="right"/>
    </xf>
    <xf numFmtId="14" fontId="13" fillId="0" borderId="0" xfId="0" applyNumberFormat="1" applyFont="1"/>
    <xf numFmtId="167" fontId="12" fillId="0" borderId="0" xfId="0" applyNumberFormat="1" applyFont="1"/>
    <xf numFmtId="167" fontId="12" fillId="0" borderId="0" xfId="11" applyNumberFormat="1" applyFont="1"/>
    <xf numFmtId="167" fontId="18" fillId="0" borderId="0" xfId="0" applyNumberFormat="1" applyFont="1" applyFill="1" applyBorder="1" applyAlignment="1">
      <alignment horizontal="right" vertical="top" wrapText="1"/>
    </xf>
    <xf numFmtId="0" fontId="16" fillId="0" borderId="0" xfId="0" quotePrefix="1" applyFont="1" applyFill="1" applyBorder="1" applyAlignment="1">
      <alignment horizontal="center" vertical="top"/>
    </xf>
    <xf numFmtId="0" fontId="16" fillId="0" borderId="0" xfId="0" applyFont="1" applyFill="1" applyBorder="1" applyAlignment="1">
      <alignment vertical="top"/>
    </xf>
    <xf numFmtId="0" fontId="16" fillId="0" borderId="0" xfId="0" applyFont="1" applyFill="1" applyBorder="1" applyAlignment="1">
      <alignment horizontal="left" vertical="top" wrapText="1"/>
    </xf>
    <xf numFmtId="0" fontId="13" fillId="0" borderId="0" xfId="0" applyFont="1" applyFill="1" applyBorder="1" applyAlignment="1">
      <alignment vertical="top"/>
    </xf>
    <xf numFmtId="175" fontId="13" fillId="0" borderId="0" xfId="11" applyNumberFormat="1" applyFont="1" applyFill="1" applyBorder="1" applyAlignment="1">
      <alignment horizontal="right" vertical="top"/>
    </xf>
    <xf numFmtId="167" fontId="16" fillId="0" borderId="0" xfId="11" applyNumberFormat="1" applyFont="1" applyFill="1" applyBorder="1" applyAlignment="1">
      <alignment horizontal="right" vertical="top"/>
    </xf>
    <xf numFmtId="175" fontId="13" fillId="0" borderId="0" xfId="11" applyNumberFormat="1" applyFont="1" applyFill="1" applyBorder="1" applyAlignment="1">
      <alignment vertical="top"/>
    </xf>
    <xf numFmtId="167" fontId="13" fillId="0" borderId="0" xfId="11" applyNumberFormat="1" applyFont="1" applyFill="1" applyBorder="1" applyAlignment="1">
      <alignment vertical="top"/>
    </xf>
    <xf numFmtId="0" fontId="19" fillId="0" borderId="0" xfId="0" applyFont="1" applyFill="1" applyBorder="1" applyAlignment="1">
      <alignment horizontal="center" vertical="top"/>
    </xf>
    <xf numFmtId="0" fontId="19" fillId="0" borderId="0" xfId="0" applyFont="1" applyFill="1" applyBorder="1" applyAlignment="1">
      <alignment vertical="top"/>
    </xf>
    <xf numFmtId="0" fontId="18" fillId="0" borderId="0" xfId="0" applyFont="1" applyFill="1" applyBorder="1" applyAlignment="1">
      <alignment vertical="top"/>
    </xf>
    <xf numFmtId="167" fontId="16" fillId="0" borderId="0" xfId="0" applyNumberFormat="1" applyFont="1" applyFill="1" applyBorder="1" applyAlignment="1">
      <alignment horizontal="right" vertical="top" wrapText="1"/>
    </xf>
    <xf numFmtId="0" fontId="16" fillId="0" borderId="0" xfId="0" applyFont="1" applyFill="1" applyAlignment="1">
      <alignment vertical="top"/>
    </xf>
    <xf numFmtId="0" fontId="16" fillId="0" borderId="0" xfId="0" applyFont="1" applyFill="1" applyAlignment="1">
      <alignment vertical="top" wrapText="1"/>
    </xf>
    <xf numFmtId="0" fontId="16" fillId="0" borderId="0" xfId="0" applyFont="1" applyFill="1" applyAlignment="1">
      <alignment horizontal="left" vertical="top"/>
    </xf>
    <xf numFmtId="167" fontId="13" fillId="0" borderId="0" xfId="0" applyNumberFormat="1" applyFont="1" applyFill="1" applyAlignment="1">
      <alignment vertical="top"/>
    </xf>
    <xf numFmtId="167" fontId="13" fillId="0" borderId="0" xfId="0" applyNumberFormat="1" applyFont="1" applyFill="1" applyAlignment="1">
      <alignment horizontal="right" vertical="top" wrapText="1"/>
    </xf>
    <xf numFmtId="175" fontId="13" fillId="0" borderId="0" xfId="0" applyNumberFormat="1" applyFont="1" applyFill="1" applyBorder="1" applyAlignment="1">
      <alignment vertical="top"/>
    </xf>
    <xf numFmtId="0" fontId="13" fillId="7" borderId="0" xfId="0" applyFont="1" applyFill="1"/>
    <xf numFmtId="167" fontId="13" fillId="7" borderId="0" xfId="0" applyNumberFormat="1" applyFont="1" applyFill="1"/>
    <xf numFmtId="170" fontId="13" fillId="7" borderId="0" xfId="0" applyNumberFormat="1" applyFont="1" applyFill="1"/>
    <xf numFmtId="170" fontId="16" fillId="0" borderId="0" xfId="0" applyNumberFormat="1" applyFont="1"/>
    <xf numFmtId="170" fontId="13" fillId="0" borderId="0" xfId="0" applyNumberFormat="1" applyFont="1" applyFill="1" applyBorder="1" applyAlignment="1">
      <alignment horizontal="right" wrapText="1"/>
    </xf>
    <xf numFmtId="170" fontId="20" fillId="0" borderId="0" xfId="13" applyNumberFormat="1" applyFont="1"/>
    <xf numFmtId="0" fontId="16" fillId="0" borderId="0" xfId="0" applyFont="1" applyBorder="1" applyAlignment="1">
      <alignment vertical="top" wrapText="1"/>
    </xf>
    <xf numFmtId="49" fontId="16" fillId="0" borderId="0" xfId="0" applyNumberFormat="1" applyFont="1" applyBorder="1" applyAlignment="1">
      <alignment horizontal="center" vertical="top" wrapText="1"/>
    </xf>
    <xf numFmtId="0" fontId="16" fillId="0" borderId="0" xfId="0" applyFont="1" applyBorder="1" applyAlignment="1">
      <alignment horizontal="center" vertical="top"/>
    </xf>
    <xf numFmtId="169" fontId="16" fillId="0" borderId="0" xfId="11" applyFont="1" applyBorder="1" applyAlignment="1">
      <alignment horizontal="right" vertical="top"/>
    </xf>
    <xf numFmtId="0" fontId="12" fillId="0" borderId="0" xfId="39" applyFont="1" applyFill="1"/>
    <xf numFmtId="0" fontId="14" fillId="0" borderId="1" xfId="39" applyFont="1" applyFill="1" applyBorder="1" applyAlignment="1">
      <alignment horizontal="left"/>
    </xf>
    <xf numFmtId="175" fontId="13" fillId="0" borderId="1" xfId="13" applyNumberFormat="1" applyFont="1" applyFill="1" applyBorder="1"/>
    <xf numFmtId="0" fontId="13" fillId="0" borderId="1" xfId="39" applyFont="1" applyFill="1" applyBorder="1"/>
    <xf numFmtId="0" fontId="15" fillId="0" borderId="1" xfId="39" applyFont="1" applyFill="1" applyBorder="1" applyAlignment="1">
      <alignment horizontal="right"/>
    </xf>
    <xf numFmtId="0" fontId="13" fillId="0" borderId="0" xfId="39" applyFont="1" applyFill="1" applyBorder="1"/>
    <xf numFmtId="0" fontId="18" fillId="0" borderId="0" xfId="0" applyFont="1" applyFill="1" applyBorder="1" applyAlignment="1">
      <alignment horizontal="left" vertical="top" wrapText="1"/>
    </xf>
    <xf numFmtId="167" fontId="13" fillId="0" borderId="0" xfId="11" applyNumberFormat="1" applyFont="1" applyFill="1" applyBorder="1" applyAlignment="1">
      <alignment horizontal="right" vertical="top" wrapText="1"/>
    </xf>
    <xf numFmtId="9" fontId="12" fillId="0" borderId="0" xfId="11" applyNumberFormat="1" applyFont="1"/>
    <xf numFmtId="0" fontId="1" fillId="0" borderId="0" xfId="0" applyFont="1"/>
    <xf numFmtId="0" fontId="0" fillId="0" borderId="0" xfId="0" applyBorder="1"/>
    <xf numFmtId="0" fontId="0" fillId="8" borderId="0" xfId="0" applyFill="1" applyBorder="1"/>
    <xf numFmtId="0" fontId="0" fillId="8" borderId="0" xfId="0" applyFill="1"/>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2" fillId="0" borderId="0" xfId="0" applyFont="1" applyBorder="1" applyAlignment="1">
      <alignment vertical="top"/>
    </xf>
    <xf numFmtId="0" fontId="15" fillId="0" borderId="0" xfId="0" applyFont="1" applyBorder="1" applyAlignment="1">
      <alignment vertical="top"/>
    </xf>
    <xf numFmtId="0" fontId="14" fillId="0" borderId="0" xfId="0" applyFont="1" applyFill="1" applyAlignment="1">
      <alignment vertical="top"/>
    </xf>
    <xf numFmtId="0" fontId="13" fillId="0" borderId="1" xfId="0" applyFont="1" applyBorder="1" applyAlignment="1">
      <alignment vertical="top"/>
    </xf>
    <xf numFmtId="0" fontId="12" fillId="0" borderId="1" xfId="0" applyFont="1" applyBorder="1" applyAlignment="1">
      <alignment vertical="top"/>
    </xf>
    <xf numFmtId="175" fontId="12" fillId="0" borderId="1" xfId="0" applyNumberFormat="1" applyFont="1" applyBorder="1" applyAlignment="1">
      <alignment vertical="top"/>
    </xf>
    <xf numFmtId="175" fontId="12" fillId="0" borderId="0" xfId="0" applyNumberFormat="1" applyFont="1" applyBorder="1" applyAlignment="1">
      <alignment vertical="top"/>
    </xf>
    <xf numFmtId="0" fontId="14" fillId="0" borderId="0" xfId="0" applyFont="1" applyFill="1" applyBorder="1" applyAlignment="1">
      <alignment horizontal="right" vertical="top"/>
    </xf>
    <xf numFmtId="0" fontId="16" fillId="0" borderId="0" xfId="0" applyFont="1" applyFill="1" applyBorder="1" applyAlignment="1">
      <alignment horizontal="right" vertical="top"/>
    </xf>
    <xf numFmtId="175" fontId="13" fillId="0" borderId="0" xfId="0" applyNumberFormat="1" applyFont="1" applyAlignment="1">
      <alignment vertical="top"/>
    </xf>
    <xf numFmtId="0" fontId="13" fillId="0" borderId="0" xfId="0" applyFont="1" applyAlignment="1">
      <alignment horizontal="right" vertical="top"/>
    </xf>
    <xf numFmtId="0" fontId="16" fillId="0" borderId="0" xfId="0" applyFont="1" applyAlignment="1">
      <alignment vertical="top"/>
    </xf>
    <xf numFmtId="0" fontId="16" fillId="0" borderId="0" xfId="0" applyFont="1" applyAlignment="1">
      <alignment horizontal="right" vertical="top"/>
    </xf>
    <xf numFmtId="0" fontId="17" fillId="0" borderId="0" xfId="0" applyFont="1" applyAlignment="1">
      <alignment vertical="top"/>
    </xf>
    <xf numFmtId="167" fontId="13" fillId="0" borderId="0" xfId="0" applyNumberFormat="1" applyFont="1" applyAlignment="1">
      <alignment vertical="top"/>
    </xf>
    <xf numFmtId="175" fontId="16" fillId="0" borderId="0" xfId="11" applyNumberFormat="1" applyFont="1" applyAlignment="1">
      <alignment vertical="top"/>
    </xf>
    <xf numFmtId="175" fontId="16" fillId="0" borderId="0" xfId="11" applyNumberFormat="1" applyFont="1" applyAlignment="1">
      <alignment horizontal="right" vertical="top" wrapText="1"/>
    </xf>
    <xf numFmtId="169" fontId="16" fillId="0" borderId="0" xfId="11" applyNumberFormat="1" applyFont="1" applyAlignment="1">
      <alignment horizontal="right" vertical="top" wrapText="1"/>
    </xf>
    <xf numFmtId="167" fontId="16" fillId="0" borderId="0" xfId="11" applyNumberFormat="1" applyFont="1" applyAlignment="1">
      <alignment horizontal="right" vertical="top" wrapText="1"/>
    </xf>
    <xf numFmtId="0" fontId="13" fillId="0" borderId="0" xfId="0" applyFont="1" applyAlignment="1">
      <alignment horizontal="right" vertical="top" wrapText="1"/>
    </xf>
    <xf numFmtId="167" fontId="13" fillId="0" borderId="0" xfId="0" applyNumberFormat="1" applyFont="1" applyAlignment="1">
      <alignment horizontal="right" vertical="top" wrapText="1"/>
    </xf>
    <xf numFmtId="175" fontId="13" fillId="0" borderId="0" xfId="11" applyNumberFormat="1" applyFont="1" applyAlignment="1">
      <alignment vertical="top"/>
    </xf>
    <xf numFmtId="175" fontId="13" fillId="0" borderId="0" xfId="11" applyNumberFormat="1" applyFont="1" applyAlignment="1">
      <alignment horizontal="right" vertical="top" wrapText="1"/>
    </xf>
    <xf numFmtId="169" fontId="13" fillId="0" borderId="0" xfId="0" applyNumberFormat="1" applyFont="1" applyAlignment="1">
      <alignment horizontal="right" vertical="top" wrapText="1"/>
    </xf>
    <xf numFmtId="0" fontId="16" fillId="0" borderId="0" xfId="0" applyNumberFormat="1" applyFont="1" applyAlignment="1">
      <alignment horizontal="center" vertical="top"/>
    </xf>
    <xf numFmtId="175" fontId="16" fillId="0" borderId="0" xfId="11" applyNumberFormat="1" applyFont="1" applyAlignment="1">
      <alignment horizontal="center" vertical="top"/>
    </xf>
    <xf numFmtId="0" fontId="13" fillId="0" borderId="0" xfId="0" applyFont="1" applyAlignment="1">
      <alignment horizontal="center" vertical="top"/>
    </xf>
    <xf numFmtId="0" fontId="18" fillId="0" borderId="0" xfId="0" applyFont="1" applyAlignment="1">
      <alignment horizontal="center" vertical="top"/>
    </xf>
    <xf numFmtId="0" fontId="13" fillId="0" borderId="0" xfId="11" applyNumberFormat="1" applyFont="1" applyAlignment="1">
      <alignment horizontal="center" vertical="top"/>
    </xf>
    <xf numFmtId="169" fontId="13" fillId="0" borderId="0" xfId="11" applyNumberFormat="1" applyFont="1" applyAlignment="1">
      <alignment horizontal="right" vertical="top" wrapText="1"/>
    </xf>
    <xf numFmtId="167" fontId="13" fillId="0" borderId="0" xfId="11" applyNumberFormat="1" applyFont="1" applyAlignment="1">
      <alignment horizontal="right" vertical="top" wrapText="1"/>
    </xf>
    <xf numFmtId="175" fontId="13" fillId="0" borderId="0" xfId="0" applyNumberFormat="1" applyFont="1" applyAlignment="1">
      <alignment horizontal="right" vertical="top" wrapText="1"/>
    </xf>
    <xf numFmtId="175" fontId="13" fillId="0" borderId="0" xfId="11" applyNumberFormat="1" applyFont="1" applyAlignment="1">
      <alignment horizontal="center" vertical="top"/>
    </xf>
    <xf numFmtId="175" fontId="16" fillId="0" borderId="0" xfId="0" applyNumberFormat="1" applyFont="1" applyAlignment="1">
      <alignment horizontal="right" vertical="top" wrapText="1"/>
    </xf>
    <xf numFmtId="169" fontId="16" fillId="0" borderId="0" xfId="0" applyNumberFormat="1" applyFont="1" applyAlignment="1">
      <alignment horizontal="right" vertical="top" wrapText="1"/>
    </xf>
    <xf numFmtId="0" fontId="13" fillId="0" borderId="0" xfId="0" applyNumberFormat="1" applyFont="1" applyAlignment="1">
      <alignment horizontal="center" vertical="top"/>
    </xf>
    <xf numFmtId="0" fontId="13" fillId="0" borderId="0" xfId="0" quotePrefix="1" applyFont="1" applyAlignment="1">
      <alignment vertical="top"/>
    </xf>
    <xf numFmtId="0" fontId="13" fillId="0" borderId="0" xfId="0" quotePrefix="1" applyFont="1" applyAlignment="1">
      <alignment horizontal="center" vertical="top"/>
    </xf>
    <xf numFmtId="0" fontId="18" fillId="0" borderId="0" xfId="0" quotePrefix="1" applyFont="1" applyAlignment="1">
      <alignment horizontal="center" vertical="top"/>
    </xf>
    <xf numFmtId="0" fontId="16" fillId="0" borderId="0" xfId="11" applyNumberFormat="1" applyFont="1" applyAlignment="1">
      <alignment horizontal="center" vertical="top"/>
    </xf>
    <xf numFmtId="0" fontId="18" fillId="0" borderId="0" xfId="0" applyFont="1" applyAlignment="1">
      <alignment vertical="top"/>
    </xf>
    <xf numFmtId="0" fontId="19" fillId="0" borderId="0" xfId="0" applyNumberFormat="1" applyFont="1" applyAlignment="1">
      <alignment horizontal="center" vertical="top"/>
    </xf>
    <xf numFmtId="175" fontId="18" fillId="0" borderId="0" xfId="11" applyNumberFormat="1" applyFont="1" applyAlignment="1">
      <alignment horizontal="center" vertical="top"/>
    </xf>
    <xf numFmtId="175" fontId="18" fillId="0" borderId="0" xfId="11" applyNumberFormat="1" applyFont="1" applyAlignment="1">
      <alignment horizontal="right" vertical="top" wrapText="1"/>
    </xf>
    <xf numFmtId="169" fontId="18" fillId="0" borderId="0" xfId="0" applyNumberFormat="1" applyFont="1" applyAlignment="1">
      <alignment horizontal="right" vertical="top" wrapText="1"/>
    </xf>
    <xf numFmtId="0" fontId="24" fillId="0" borderId="0" xfId="0" applyFont="1" applyAlignment="1">
      <alignment vertical="top"/>
    </xf>
    <xf numFmtId="0" fontId="13" fillId="0" borderId="0" xfId="0" quotePrefix="1" applyNumberFormat="1" applyFont="1" applyAlignment="1">
      <alignment horizontal="center" vertical="top"/>
    </xf>
    <xf numFmtId="0" fontId="16" fillId="0" borderId="0" xfId="11" quotePrefix="1" applyNumberFormat="1" applyFont="1" applyAlignment="1">
      <alignment horizontal="center" vertical="top"/>
    </xf>
    <xf numFmtId="175" fontId="12" fillId="0" borderId="0" xfId="11" applyNumberFormat="1" applyFont="1" applyAlignment="1">
      <alignment horizontal="right" vertical="top" wrapText="1"/>
    </xf>
    <xf numFmtId="0" fontId="13" fillId="0" borderId="0" xfId="11" quotePrefix="1" applyNumberFormat="1" applyFont="1" applyAlignment="1">
      <alignment horizontal="center" vertical="top"/>
    </xf>
    <xf numFmtId="175" fontId="16" fillId="0" borderId="8" xfId="11" applyNumberFormat="1" applyFont="1" applyBorder="1" applyAlignment="1">
      <alignment horizontal="right" vertical="top" wrapText="1"/>
    </xf>
    <xf numFmtId="169" fontId="16" fillId="0" borderId="0" xfId="11" applyNumberFormat="1" applyFont="1" applyBorder="1" applyAlignment="1">
      <alignment horizontal="right" vertical="top" wrapText="1"/>
    </xf>
    <xf numFmtId="167" fontId="16" fillId="0" borderId="8" xfId="11" applyNumberFormat="1" applyFont="1" applyBorder="1" applyAlignment="1">
      <alignment horizontal="right" vertical="top" wrapText="1"/>
    </xf>
    <xf numFmtId="175" fontId="12" fillId="0" borderId="0" xfId="0" applyNumberFormat="1" applyFont="1" applyAlignment="1">
      <alignment vertical="top"/>
    </xf>
    <xf numFmtId="169" fontId="16" fillId="0" borderId="0" xfId="11" applyNumberFormat="1" applyFont="1" applyAlignment="1">
      <alignment vertical="top"/>
    </xf>
    <xf numFmtId="169" fontId="13" fillId="0" borderId="0" xfId="11" applyNumberFormat="1" applyFont="1" applyAlignment="1">
      <alignment vertical="top"/>
    </xf>
    <xf numFmtId="169" fontId="12" fillId="0" borderId="0" xfId="0" applyNumberFormat="1" applyFont="1" applyAlignment="1">
      <alignment vertical="top"/>
    </xf>
    <xf numFmtId="175" fontId="13" fillId="0" borderId="0" xfId="11" applyNumberFormat="1" applyFont="1" applyFill="1" applyAlignment="1">
      <alignment vertical="top"/>
    </xf>
    <xf numFmtId="169" fontId="13" fillId="0" borderId="0" xfId="11" applyNumberFormat="1" applyFont="1" applyAlignment="1">
      <alignment horizontal="center" vertical="top"/>
    </xf>
    <xf numFmtId="169" fontId="16" fillId="0" borderId="0" xfId="11" applyNumberFormat="1" applyFont="1" applyAlignment="1">
      <alignment horizontal="center" vertical="top"/>
    </xf>
    <xf numFmtId="0" fontId="13" fillId="0" borderId="0" xfId="0" applyFont="1" applyAlignment="1">
      <alignment horizontal="left" vertical="top"/>
    </xf>
    <xf numFmtId="0" fontId="25" fillId="0" borderId="0" xfId="0" applyFont="1" applyFill="1" applyAlignment="1">
      <alignment vertical="top"/>
    </xf>
    <xf numFmtId="175" fontId="24" fillId="0" borderId="0" xfId="11" applyNumberFormat="1" applyFont="1" applyFill="1" applyAlignment="1">
      <alignment vertical="top"/>
    </xf>
    <xf numFmtId="175" fontId="25" fillId="0" borderId="0" xfId="11" applyNumberFormat="1" applyFont="1" applyFill="1" applyAlignment="1">
      <alignment vertical="top"/>
    </xf>
    <xf numFmtId="175" fontId="12" fillId="0" borderId="0" xfId="0" applyNumberFormat="1" applyFont="1" applyFill="1" applyAlignment="1">
      <alignment vertical="top"/>
    </xf>
    <xf numFmtId="175" fontId="18" fillId="0" borderId="0" xfId="11" applyNumberFormat="1" applyFont="1" applyAlignment="1">
      <alignment vertical="top"/>
    </xf>
    <xf numFmtId="175" fontId="18" fillId="0" borderId="0" xfId="11" applyNumberFormat="1" applyFont="1" applyAlignment="1">
      <alignment horizontal="centerContinuous" vertical="top"/>
    </xf>
    <xf numFmtId="175" fontId="11" fillId="0" borderId="0" xfId="0" applyNumberFormat="1" applyFont="1" applyAlignment="1">
      <alignment vertical="top"/>
    </xf>
    <xf numFmtId="175" fontId="11" fillId="0" borderId="0" xfId="0" applyNumberFormat="1" applyFont="1" applyAlignment="1">
      <alignment horizontal="centerContinuous" vertical="top"/>
    </xf>
    <xf numFmtId="175" fontId="28" fillId="0" borderId="0" xfId="0" applyNumberFormat="1" applyFont="1" applyAlignment="1">
      <alignment horizontal="centerContinuous" vertical="top"/>
    </xf>
    <xf numFmtId="0" fontId="12" fillId="0" borderId="0" xfId="0" applyFont="1" applyAlignment="1">
      <alignment horizontal="centerContinuous" vertical="top"/>
    </xf>
    <xf numFmtId="0" fontId="16" fillId="0" borderId="0" xfId="0" applyFont="1" applyAlignment="1">
      <alignment vertical="top" wrapText="1"/>
    </xf>
    <xf numFmtId="0" fontId="13" fillId="0" borderId="0" xfId="0" applyFont="1" applyAlignment="1">
      <alignment vertical="top" wrapText="1"/>
    </xf>
    <xf numFmtId="175" fontId="13" fillId="0" borderId="0" xfId="0" applyNumberFormat="1" applyFont="1" applyAlignment="1">
      <alignment vertical="top" wrapText="1"/>
    </xf>
    <xf numFmtId="175" fontId="13" fillId="0" borderId="0" xfId="0" applyNumberFormat="1" applyFont="1" applyFill="1" applyAlignment="1">
      <alignment vertical="top" wrapText="1"/>
    </xf>
    <xf numFmtId="0" fontId="16" fillId="0" borderId="0" xfId="0" applyFont="1" applyAlignment="1">
      <alignment horizontal="centerContinuous" vertical="top"/>
    </xf>
    <xf numFmtId="175" fontId="16" fillId="0" borderId="0" xfId="0" applyNumberFormat="1" applyFont="1" applyAlignment="1">
      <alignment vertical="top" wrapText="1"/>
    </xf>
    <xf numFmtId="167" fontId="13" fillId="0" borderId="0" xfId="12" applyNumberFormat="1" applyFont="1" applyAlignment="1">
      <alignment horizontal="right" vertical="top" wrapText="1"/>
    </xf>
    <xf numFmtId="167" fontId="13" fillId="0" borderId="0" xfId="11" applyNumberFormat="1" applyFont="1" applyFill="1" applyAlignment="1">
      <alignment horizontal="right" vertical="top" wrapText="1"/>
    </xf>
    <xf numFmtId="167" fontId="16" fillId="0" borderId="0" xfId="11" applyNumberFormat="1" applyFont="1" applyBorder="1" applyAlignment="1">
      <alignment horizontal="right" vertical="top" wrapText="1"/>
    </xf>
    <xf numFmtId="175" fontId="16" fillId="0" borderId="0" xfId="11" applyNumberFormat="1" applyFont="1" applyBorder="1" applyAlignment="1">
      <alignment horizontal="right" vertical="top" wrapText="1"/>
    </xf>
    <xf numFmtId="0" fontId="14" fillId="0" borderId="0" xfId="0" applyFont="1" applyAlignment="1">
      <alignment horizontal="right" vertical="top"/>
    </xf>
    <xf numFmtId="0" fontId="11" fillId="0" borderId="0" xfId="0" applyFont="1" applyAlignment="1">
      <alignment horizontal="right" vertical="top"/>
    </xf>
    <xf numFmtId="0" fontId="15" fillId="0" borderId="0" xfId="0" applyFont="1" applyAlignment="1">
      <alignment horizontal="right" vertical="top"/>
    </xf>
    <xf numFmtId="0" fontId="16" fillId="0" borderId="0" xfId="0" applyFont="1" applyBorder="1" applyAlignment="1">
      <alignment horizontal="left" vertical="top"/>
    </xf>
    <xf numFmtId="0" fontId="13" fillId="0" borderId="0" xfId="0" applyFont="1" applyBorder="1" applyAlignment="1">
      <alignment horizontal="left" vertical="top" wrapText="1"/>
    </xf>
    <xf numFmtId="169" fontId="13" fillId="0" borderId="0" xfId="11" applyFont="1" applyBorder="1" applyAlignment="1">
      <alignment horizontal="left" vertical="top"/>
    </xf>
    <xf numFmtId="175" fontId="13" fillId="0" borderId="0" xfId="11" applyNumberFormat="1" applyFont="1" applyBorder="1" applyAlignment="1">
      <alignment horizontal="left" vertical="top"/>
    </xf>
    <xf numFmtId="49" fontId="16" fillId="0" borderId="0" xfId="0" applyNumberFormat="1" applyFont="1" applyBorder="1" applyAlignment="1">
      <alignment horizontal="center" vertical="top"/>
    </xf>
    <xf numFmtId="169" fontId="16" fillId="0" borderId="0" xfId="11" applyNumberFormat="1" applyFont="1" applyBorder="1" applyAlignment="1">
      <alignment horizontal="right" vertical="top"/>
    </xf>
    <xf numFmtId="0" fontId="13" fillId="0" borderId="0" xfId="0" applyFont="1" applyBorder="1" applyAlignment="1">
      <alignment vertical="top" wrapText="1"/>
    </xf>
    <xf numFmtId="49" fontId="13" fillId="0" borderId="0" xfId="0" applyNumberFormat="1" applyFont="1" applyBorder="1" applyAlignment="1">
      <alignment horizontal="center" vertical="top" wrapText="1"/>
    </xf>
    <xf numFmtId="0" fontId="13" fillId="0" borderId="0" xfId="0" applyFont="1" applyBorder="1" applyAlignment="1">
      <alignment horizontal="center" vertical="top"/>
    </xf>
    <xf numFmtId="175" fontId="13" fillId="0" borderId="0" xfId="11" applyNumberFormat="1" applyFont="1" applyBorder="1" applyAlignment="1">
      <alignment horizontal="right" vertical="top" wrapText="1"/>
    </xf>
    <xf numFmtId="169" fontId="19" fillId="0" borderId="0" xfId="11" applyFont="1" applyBorder="1" applyAlignment="1">
      <alignment horizontal="right" vertical="top"/>
    </xf>
    <xf numFmtId="175" fontId="18" fillId="0" borderId="0" xfId="0" applyNumberFormat="1" applyFont="1" applyAlignment="1">
      <alignment horizontal="right" vertical="top" wrapText="1"/>
    </xf>
    <xf numFmtId="0" fontId="19" fillId="0" borderId="0" xfId="0" applyFont="1" applyBorder="1" applyAlignment="1">
      <alignment horizontal="center" vertical="top"/>
    </xf>
    <xf numFmtId="169" fontId="13" fillId="0" borderId="0" xfId="11" applyFont="1" applyBorder="1" applyAlignment="1">
      <alignment horizontal="right" vertical="top"/>
    </xf>
    <xf numFmtId="0" fontId="16" fillId="0" borderId="0" xfId="0" applyFont="1" applyBorder="1" applyAlignment="1">
      <alignment horizontal="left" vertical="top" wrapText="1"/>
    </xf>
    <xf numFmtId="0" fontId="18" fillId="0" borderId="0" xfId="0" applyFont="1" applyBorder="1" applyAlignment="1">
      <alignment horizontal="left" vertical="top" wrapText="1"/>
    </xf>
    <xf numFmtId="49" fontId="18" fillId="0" borderId="0" xfId="0" applyNumberFormat="1" applyFont="1" applyBorder="1" applyAlignment="1">
      <alignment horizontal="center" vertical="top" wrapText="1"/>
    </xf>
    <xf numFmtId="0" fontId="18" fillId="0" borderId="0" xfId="0" applyFont="1" applyBorder="1" applyAlignment="1">
      <alignment horizontal="center" vertical="top"/>
    </xf>
    <xf numFmtId="169" fontId="18" fillId="0" borderId="0" xfId="11" applyFont="1" applyBorder="1" applyAlignment="1">
      <alignment horizontal="right" vertical="top"/>
    </xf>
    <xf numFmtId="175" fontId="18" fillId="0" borderId="0" xfId="11" applyNumberFormat="1" applyFont="1" applyBorder="1" applyAlignment="1">
      <alignment horizontal="right" vertical="top" wrapText="1"/>
    </xf>
    <xf numFmtId="169" fontId="13" fillId="0" borderId="0" xfId="11" applyFont="1" applyAlignment="1">
      <alignment horizontal="right" vertical="top"/>
    </xf>
    <xf numFmtId="49" fontId="13" fillId="0" borderId="0" xfId="0" applyNumberFormat="1" applyFont="1" applyAlignment="1">
      <alignment horizontal="center" vertical="top"/>
    </xf>
    <xf numFmtId="169" fontId="16" fillId="0" borderId="0" xfId="0" applyNumberFormat="1" applyFont="1" applyAlignment="1">
      <alignment vertical="top"/>
    </xf>
    <xf numFmtId="49" fontId="16" fillId="0" borderId="0" xfId="0" applyNumberFormat="1" applyFont="1" applyAlignment="1">
      <alignment horizontal="center" vertical="top"/>
    </xf>
    <xf numFmtId="169" fontId="13" fillId="0" borderId="0" xfId="11" applyFont="1" applyAlignment="1">
      <alignment vertical="top"/>
    </xf>
    <xf numFmtId="175" fontId="16" fillId="0" borderId="0" xfId="11" applyNumberFormat="1" applyFont="1" applyBorder="1" applyAlignment="1">
      <alignment horizontal="right" vertical="top"/>
    </xf>
    <xf numFmtId="0" fontId="18" fillId="0" borderId="0" xfId="0" applyFont="1" applyAlignment="1">
      <alignment horizontal="centerContinuous" vertical="top"/>
    </xf>
    <xf numFmtId="0" fontId="28" fillId="0" borderId="0" xfId="0" applyFont="1" applyAlignment="1">
      <alignment vertical="top"/>
    </xf>
    <xf numFmtId="0" fontId="28" fillId="0" borderId="0" xfId="0" applyFont="1" applyAlignment="1">
      <alignment horizontal="centerContinuous" vertical="top"/>
    </xf>
    <xf numFmtId="0" fontId="11" fillId="0" borderId="0" xfId="0" applyFont="1" applyAlignment="1">
      <alignment horizontal="left" vertical="top"/>
    </xf>
    <xf numFmtId="0" fontId="11" fillId="0" borderId="0" xfId="0" applyFont="1" applyAlignment="1">
      <alignment horizontal="center" vertical="top"/>
    </xf>
    <xf numFmtId="0" fontId="14" fillId="0" borderId="0" xfId="0" applyFont="1" applyAlignment="1">
      <alignment horizontal="left" vertical="top"/>
    </xf>
    <xf numFmtId="175" fontId="15" fillId="0" borderId="0" xfId="0" applyNumberFormat="1" applyFont="1" applyAlignment="1">
      <alignment vertical="top"/>
    </xf>
    <xf numFmtId="175" fontId="15" fillId="0" borderId="0" xfId="0" applyNumberFormat="1" applyFont="1" applyAlignment="1">
      <alignment horizontal="right" vertical="top"/>
    </xf>
    <xf numFmtId="0" fontId="14" fillId="0" borderId="0" xfId="0" applyFont="1" applyFill="1" applyBorder="1" applyAlignment="1">
      <alignment horizontal="left" vertical="top"/>
    </xf>
    <xf numFmtId="0" fontId="14" fillId="0" borderId="0" xfId="0" applyFont="1" applyFill="1" applyBorder="1" applyAlignment="1">
      <alignment vertical="top"/>
    </xf>
    <xf numFmtId="0" fontId="14" fillId="0" borderId="0" xfId="0" applyFont="1" applyBorder="1" applyAlignment="1">
      <alignment horizontal="center" vertical="top"/>
    </xf>
    <xf numFmtId="169" fontId="12" fillId="0" borderId="0" xfId="0" applyNumberFormat="1" applyFont="1" applyBorder="1" applyAlignment="1">
      <alignment vertical="top"/>
    </xf>
    <xf numFmtId="0" fontId="12" fillId="0" borderId="0" xfId="0" applyFont="1" applyFill="1" applyBorder="1" applyAlignment="1">
      <alignment vertical="top"/>
    </xf>
    <xf numFmtId="0" fontId="13" fillId="0" borderId="1" xfId="0" applyFont="1" applyBorder="1" applyAlignment="1">
      <alignment horizontal="center" vertical="top"/>
    </xf>
    <xf numFmtId="169" fontId="12" fillId="0" borderId="1" xfId="0" applyNumberFormat="1" applyFont="1" applyBorder="1" applyAlignment="1">
      <alignment vertical="top"/>
    </xf>
    <xf numFmtId="0" fontId="12" fillId="0" borderId="1" xfId="0" applyFont="1" applyFill="1" applyBorder="1" applyAlignment="1">
      <alignment vertical="top"/>
    </xf>
    <xf numFmtId="0" fontId="13" fillId="0" borderId="0" xfId="0" applyFont="1" applyBorder="1" applyAlignment="1">
      <alignment vertical="top"/>
    </xf>
    <xf numFmtId="0" fontId="22" fillId="0" borderId="0" xfId="0" applyFont="1" applyBorder="1" applyAlignment="1">
      <alignment horizontal="right" vertical="top"/>
    </xf>
    <xf numFmtId="0" fontId="23" fillId="0" borderId="0" xfId="0" applyFont="1" applyBorder="1" applyAlignment="1">
      <alignment vertical="top"/>
    </xf>
    <xf numFmtId="0" fontId="26" fillId="0" borderId="0" xfId="0" applyFont="1" applyBorder="1" applyAlignment="1">
      <alignment vertical="top"/>
    </xf>
    <xf numFmtId="175" fontId="13" fillId="0" borderId="0" xfId="0" applyNumberFormat="1" applyFont="1" applyFill="1" applyBorder="1" applyAlignment="1">
      <alignment horizontal="right" vertical="top" wrapText="1"/>
    </xf>
    <xf numFmtId="175" fontId="13" fillId="0" borderId="0" xfId="0" applyNumberFormat="1" applyFont="1" applyBorder="1" applyAlignment="1">
      <alignment horizontal="right" vertical="top" wrapText="1"/>
    </xf>
    <xf numFmtId="0" fontId="13" fillId="0" borderId="0" xfId="0" quotePrefix="1" applyFont="1" applyBorder="1" applyAlignment="1">
      <alignment horizontal="center" vertical="top"/>
    </xf>
    <xf numFmtId="167" fontId="13" fillId="0" borderId="0" xfId="12" applyFont="1" applyBorder="1" applyAlignment="1">
      <alignment vertical="top"/>
    </xf>
    <xf numFmtId="175" fontId="26" fillId="0" borderId="0" xfId="12" applyNumberFormat="1" applyFont="1" applyFill="1" applyBorder="1" applyAlignment="1">
      <alignment horizontal="right" vertical="top" wrapText="1"/>
    </xf>
    <xf numFmtId="175" fontId="26" fillId="0" borderId="0" xfId="12" applyNumberFormat="1" applyFont="1" applyBorder="1" applyAlignment="1">
      <alignment horizontal="right" vertical="top" wrapText="1"/>
    </xf>
    <xf numFmtId="0" fontId="27" fillId="0" borderId="0" xfId="0" applyFont="1" applyBorder="1" applyAlignment="1">
      <alignment vertical="top"/>
    </xf>
    <xf numFmtId="0" fontId="16" fillId="0" borderId="0" xfId="0" applyFont="1" applyBorder="1" applyAlignment="1">
      <alignment vertical="top"/>
    </xf>
    <xf numFmtId="167" fontId="16" fillId="0" borderId="0" xfId="12" applyFont="1" applyBorder="1" applyAlignment="1">
      <alignment vertical="top"/>
    </xf>
    <xf numFmtId="175" fontId="23" fillId="0" borderId="0" xfId="12" applyNumberFormat="1" applyFont="1" applyFill="1" applyBorder="1" applyAlignment="1">
      <alignment horizontal="right" vertical="top" wrapText="1"/>
    </xf>
    <xf numFmtId="175" fontId="23" fillId="0" borderId="0" xfId="12" applyNumberFormat="1" applyFont="1" applyBorder="1" applyAlignment="1">
      <alignment horizontal="right" vertical="top" wrapText="1"/>
    </xf>
    <xf numFmtId="167" fontId="16" fillId="0" borderId="0" xfId="12" quotePrefix="1" applyFont="1" applyBorder="1" applyAlignment="1">
      <alignment horizontal="center" vertical="top"/>
    </xf>
    <xf numFmtId="167" fontId="12" fillId="0" borderId="0" xfId="0" applyNumberFormat="1" applyFont="1" applyAlignment="1">
      <alignment vertical="top"/>
    </xf>
    <xf numFmtId="175" fontId="28" fillId="0" borderId="0" xfId="11" applyNumberFormat="1" applyFont="1" applyAlignment="1">
      <alignment vertical="top"/>
    </xf>
    <xf numFmtId="175" fontId="28" fillId="0" borderId="0" xfId="11" applyNumberFormat="1" applyFont="1" applyAlignment="1">
      <alignment horizontal="centerContinuous" vertical="top"/>
    </xf>
    <xf numFmtId="175" fontId="28" fillId="0" borderId="0" xfId="11" applyNumberFormat="1" applyFont="1" applyAlignment="1">
      <alignment horizontal="right" vertical="top" wrapText="1"/>
    </xf>
    <xf numFmtId="167" fontId="14" fillId="0" borderId="0" xfId="0" applyNumberFormat="1" applyFont="1" applyFill="1" applyAlignment="1">
      <alignment vertical="top"/>
    </xf>
    <xf numFmtId="175" fontId="12" fillId="0" borderId="0" xfId="11" applyNumberFormat="1" applyFont="1" applyAlignment="1">
      <alignment vertical="top"/>
    </xf>
    <xf numFmtId="175" fontId="16" fillId="0" borderId="0" xfId="0" applyNumberFormat="1" applyFont="1" applyAlignment="1">
      <alignment horizontal="centerContinuous" vertical="top" wrapText="1"/>
    </xf>
    <xf numFmtId="167" fontId="11" fillId="0" borderId="0" xfId="0" applyNumberFormat="1" applyFont="1" applyFill="1" applyBorder="1" applyAlignment="1">
      <alignment horizontal="right" vertical="top"/>
    </xf>
    <xf numFmtId="167" fontId="15" fillId="0" borderId="0" xfId="0" applyNumberFormat="1" applyFont="1" applyFill="1" applyBorder="1" applyAlignment="1">
      <alignment horizontal="right" vertical="top"/>
    </xf>
    <xf numFmtId="0" fontId="14" fillId="0" borderId="1" xfId="0" applyFont="1" applyFill="1" applyBorder="1" applyAlignment="1">
      <alignment vertical="top"/>
    </xf>
    <xf numFmtId="0" fontId="13" fillId="0" borderId="1" xfId="0" applyFont="1" applyFill="1" applyBorder="1" applyAlignment="1">
      <alignment vertical="top"/>
    </xf>
    <xf numFmtId="167" fontId="16" fillId="0" borderId="0" xfId="0" applyNumberFormat="1" applyFont="1" applyFill="1" applyBorder="1" applyAlignment="1">
      <alignment horizontal="right" vertical="top"/>
    </xf>
    <xf numFmtId="167" fontId="13" fillId="0" borderId="0" xfId="11" applyNumberFormat="1" applyFont="1" applyFill="1" applyAlignment="1">
      <alignment vertical="top"/>
    </xf>
    <xf numFmtId="0" fontId="17" fillId="0" borderId="0" xfId="0" applyFont="1" applyFill="1" applyAlignment="1">
      <alignment horizontal="centerContinuous" vertical="top"/>
    </xf>
    <xf numFmtId="167" fontId="17" fillId="0" borderId="0" xfId="11" applyNumberFormat="1" applyFont="1" applyFill="1" applyAlignment="1">
      <alignment horizontal="centerContinuous" vertical="top"/>
    </xf>
    <xf numFmtId="167" fontId="17" fillId="0" borderId="0" xfId="0" applyNumberFormat="1" applyFont="1" applyFill="1" applyAlignment="1">
      <alignment horizontal="centerContinuous" vertical="top"/>
    </xf>
    <xf numFmtId="0" fontId="18" fillId="0" borderId="0" xfId="0" applyFont="1" applyFill="1" applyAlignment="1">
      <alignment horizontal="centerContinuous" vertical="top"/>
    </xf>
    <xf numFmtId="0" fontId="19" fillId="0" borderId="0" xfId="0" applyFont="1" applyFill="1" applyAlignment="1">
      <alignment horizontal="centerContinuous" vertical="top"/>
    </xf>
    <xf numFmtId="167" fontId="19" fillId="0" borderId="0" xfId="11" applyNumberFormat="1" applyFont="1" applyFill="1" applyAlignment="1">
      <alignment horizontal="centerContinuous" vertical="top"/>
    </xf>
    <xf numFmtId="167" fontId="19" fillId="0" borderId="0" xfId="0" applyNumberFormat="1" applyFont="1" applyFill="1" applyAlignment="1">
      <alignment horizontal="centerContinuous" vertical="top"/>
    </xf>
    <xf numFmtId="167" fontId="16" fillId="0" borderId="0" xfId="11" applyNumberFormat="1" applyFont="1" applyFill="1" applyBorder="1" applyAlignment="1">
      <alignment vertical="top"/>
    </xf>
    <xf numFmtId="167" fontId="16" fillId="0" borderId="0" xfId="0" applyNumberFormat="1" applyFont="1" applyFill="1" applyBorder="1" applyAlignment="1">
      <alignment vertical="top"/>
    </xf>
    <xf numFmtId="167" fontId="16" fillId="0" borderId="0" xfId="11" quotePrefix="1" applyNumberFormat="1" applyFont="1" applyFill="1" applyBorder="1" applyAlignment="1">
      <alignment horizontal="right" vertical="top"/>
    </xf>
    <xf numFmtId="167" fontId="16" fillId="0" borderId="1" xfId="11" applyNumberFormat="1" applyFont="1" applyFill="1" applyBorder="1" applyAlignment="1">
      <alignment horizontal="right" vertical="top"/>
    </xf>
    <xf numFmtId="167" fontId="16" fillId="0" borderId="0" xfId="11" applyNumberFormat="1" applyFont="1" applyFill="1" applyBorder="1" applyAlignment="1">
      <alignment horizontal="right" vertical="top" wrapText="1"/>
    </xf>
    <xf numFmtId="0" fontId="13" fillId="0" borderId="0" xfId="0" applyFont="1" applyFill="1" applyBorder="1" applyAlignment="1">
      <alignment horizontal="center" vertical="top"/>
    </xf>
    <xf numFmtId="167" fontId="13" fillId="0" borderId="0" xfId="15" applyNumberFormat="1" applyFont="1" applyFill="1" applyBorder="1" applyAlignment="1">
      <alignment horizontal="right" vertical="top" wrapText="1"/>
    </xf>
    <xf numFmtId="167" fontId="16" fillId="0" borderId="8" xfId="11" applyNumberFormat="1" applyFont="1" applyFill="1" applyBorder="1" applyAlignment="1">
      <alignment horizontal="right" vertical="top" wrapText="1"/>
    </xf>
    <xf numFmtId="167" fontId="19" fillId="0" borderId="0" xfId="0" applyNumberFormat="1" applyFont="1" applyFill="1" applyBorder="1" applyAlignment="1">
      <alignment horizontal="right" vertical="top" wrapText="1"/>
    </xf>
    <xf numFmtId="167" fontId="18" fillId="0" borderId="0" xfId="11" applyNumberFormat="1" applyFont="1" applyFill="1" applyBorder="1" applyAlignment="1">
      <alignment horizontal="right" vertical="top" wrapText="1"/>
    </xf>
    <xf numFmtId="0" fontId="16" fillId="0" borderId="0" xfId="0" quotePrefix="1" applyFont="1" applyFill="1" applyAlignment="1">
      <alignment horizontal="center" vertical="top"/>
    </xf>
    <xf numFmtId="0" fontId="18" fillId="0" borderId="0" xfId="0" applyFont="1" applyFill="1" applyBorder="1" applyAlignment="1">
      <alignment horizontal="center" vertical="top"/>
    </xf>
    <xf numFmtId="167" fontId="18" fillId="0" borderId="0" xfId="11" applyNumberFormat="1" applyFont="1" applyFill="1" applyBorder="1" applyAlignment="1">
      <alignment horizontal="right" vertical="top"/>
    </xf>
    <xf numFmtId="167" fontId="18" fillId="0" borderId="0" xfId="0" applyNumberFormat="1" applyFont="1" applyFill="1" applyBorder="1" applyAlignment="1">
      <alignment horizontal="right" vertical="top"/>
    </xf>
    <xf numFmtId="167" fontId="13" fillId="0" borderId="0" xfId="0" applyNumberFormat="1" applyFont="1" applyFill="1" applyBorder="1" applyAlignment="1">
      <alignment horizontal="right" vertical="top"/>
    </xf>
    <xf numFmtId="0" fontId="19" fillId="0" borderId="0" xfId="0" applyFont="1" applyFill="1" applyBorder="1" applyAlignment="1">
      <alignment horizontal="left" vertical="top" wrapText="1"/>
    </xf>
    <xf numFmtId="167" fontId="19" fillId="0" borderId="0" xfId="0" applyNumberFormat="1" applyFont="1" applyFill="1" applyBorder="1" applyAlignment="1">
      <alignment horizontal="right" vertical="top"/>
    </xf>
    <xf numFmtId="167" fontId="19" fillId="0" borderId="0" xfId="11" applyNumberFormat="1" applyFont="1" applyFill="1" applyBorder="1" applyAlignment="1">
      <alignment horizontal="right" vertical="top"/>
    </xf>
    <xf numFmtId="167" fontId="16" fillId="0" borderId="8" xfId="11" applyNumberFormat="1" applyFont="1" applyFill="1" applyBorder="1" applyAlignment="1">
      <alignment vertical="top"/>
    </xf>
    <xf numFmtId="175" fontId="16" fillId="0" borderId="1" xfId="0" quotePrefix="1" applyNumberFormat="1" applyFont="1" applyFill="1" applyBorder="1" applyAlignment="1">
      <alignment horizontal="center" vertical="top"/>
    </xf>
    <xf numFmtId="167" fontId="16" fillId="0" borderId="1" xfId="11" applyNumberFormat="1" applyFont="1" applyFill="1" applyBorder="1" applyAlignment="1">
      <alignment horizontal="center" vertical="top"/>
    </xf>
    <xf numFmtId="167" fontId="13" fillId="0" borderId="0" xfId="11" quotePrefix="1" applyNumberFormat="1" applyFont="1" applyFill="1" applyBorder="1" applyAlignment="1">
      <alignment horizontal="right" vertical="top"/>
    </xf>
    <xf numFmtId="175" fontId="16" fillId="0" borderId="0" xfId="11" applyNumberFormat="1" applyFont="1" applyFill="1" applyBorder="1" applyAlignment="1">
      <alignment vertical="top"/>
    </xf>
    <xf numFmtId="1" fontId="13" fillId="0" borderId="0" xfId="0" quotePrefix="1" applyNumberFormat="1" applyFont="1" applyFill="1" applyBorder="1" applyAlignment="1">
      <alignment horizontal="right" vertical="top"/>
    </xf>
    <xf numFmtId="0" fontId="13" fillId="0" borderId="0" xfId="0" applyFont="1" applyFill="1" applyBorder="1" applyAlignment="1">
      <alignment horizontal="right" vertical="top"/>
    </xf>
    <xf numFmtId="1" fontId="13" fillId="0" borderId="0" xfId="0" applyNumberFormat="1" applyFont="1" applyFill="1" applyBorder="1" applyAlignment="1">
      <alignment horizontal="right" vertical="top"/>
    </xf>
    <xf numFmtId="1" fontId="18" fillId="0" borderId="0" xfId="0" quotePrefix="1" applyNumberFormat="1" applyFont="1" applyFill="1" applyBorder="1" applyAlignment="1">
      <alignment horizontal="right" vertical="top"/>
    </xf>
    <xf numFmtId="0" fontId="18" fillId="0" borderId="0" xfId="0" applyFont="1" applyFill="1" applyBorder="1" applyAlignment="1">
      <alignment horizontal="right" vertical="top"/>
    </xf>
    <xf numFmtId="1" fontId="18" fillId="0" borderId="0" xfId="0" applyNumberFormat="1" applyFont="1" applyFill="1" applyBorder="1" applyAlignment="1">
      <alignment horizontal="right" vertical="top"/>
    </xf>
    <xf numFmtId="0" fontId="16" fillId="0" borderId="0" xfId="0" applyFont="1" applyFill="1" applyAlignment="1">
      <alignment horizontal="left" vertical="top" wrapText="1"/>
    </xf>
    <xf numFmtId="167" fontId="13" fillId="0" borderId="0" xfId="13" applyNumberFormat="1" applyFont="1" applyFill="1" applyAlignment="1">
      <alignment vertical="top"/>
    </xf>
    <xf numFmtId="167" fontId="16" fillId="0" borderId="1" xfId="11" applyNumberFormat="1" applyFont="1" applyFill="1" applyBorder="1" applyAlignment="1">
      <alignment horizontal="center" vertical="top" wrapText="1"/>
    </xf>
    <xf numFmtId="167" fontId="16" fillId="0" borderId="1" xfId="0" applyNumberFormat="1" applyFont="1" applyFill="1" applyBorder="1" applyAlignment="1">
      <alignment horizontal="center" vertical="top" wrapText="1"/>
    </xf>
    <xf numFmtId="0" fontId="19" fillId="0" borderId="0" xfId="0" applyFont="1" applyFill="1" applyAlignment="1">
      <alignment vertical="top"/>
    </xf>
    <xf numFmtId="167" fontId="16" fillId="0" borderId="0" xfId="0" applyNumberFormat="1" applyFont="1" applyFill="1" applyAlignment="1">
      <alignment horizontal="right" vertical="top" wrapText="1"/>
    </xf>
    <xf numFmtId="0" fontId="13" fillId="0" borderId="0" xfId="0" applyFont="1" applyFill="1" applyAlignment="1">
      <alignment horizontal="left" vertical="top"/>
    </xf>
    <xf numFmtId="0" fontId="18" fillId="0" borderId="0" xfId="0" applyFont="1" applyFill="1" applyAlignment="1">
      <alignment horizontal="left" vertical="top"/>
    </xf>
    <xf numFmtId="0" fontId="19" fillId="0" borderId="0" xfId="0" quotePrefix="1" applyFont="1" applyFill="1" applyBorder="1" applyAlignment="1">
      <alignment horizontal="center" vertical="top"/>
    </xf>
    <xf numFmtId="175" fontId="13" fillId="0" borderId="0" xfId="11" applyNumberFormat="1" applyFont="1" applyFill="1" applyBorder="1" applyAlignment="1">
      <alignment horizontal="center" vertical="top"/>
    </xf>
    <xf numFmtId="167" fontId="13" fillId="0" borderId="0" xfId="11" applyNumberFormat="1" applyFont="1" applyFill="1" applyBorder="1" applyAlignment="1">
      <alignment horizontal="center" vertical="top"/>
    </xf>
    <xf numFmtId="167" fontId="11" fillId="0" borderId="0" xfId="11" quotePrefix="1" applyNumberFormat="1" applyFont="1" applyFill="1" applyBorder="1" applyAlignment="1">
      <alignment horizontal="right" vertical="top"/>
    </xf>
    <xf numFmtId="167" fontId="14" fillId="0" borderId="0" xfId="0" applyNumberFormat="1" applyFont="1" applyFill="1" applyBorder="1" applyAlignment="1">
      <alignment vertical="top"/>
    </xf>
    <xf numFmtId="167" fontId="11" fillId="0" borderId="0" xfId="0" quotePrefix="1" applyNumberFormat="1" applyFont="1" applyFill="1" applyBorder="1" applyAlignment="1">
      <alignment horizontal="right" vertical="top"/>
    </xf>
    <xf numFmtId="167" fontId="13" fillId="0" borderId="0" xfId="15" applyNumberFormat="1" applyFont="1" applyFill="1" applyBorder="1" applyAlignment="1">
      <alignment horizontal="right" vertical="top"/>
    </xf>
    <xf numFmtId="167" fontId="16" fillId="0" borderId="8" xfId="11" applyNumberFormat="1" applyFont="1" applyFill="1" applyBorder="1" applyAlignment="1">
      <alignment horizontal="right" vertical="top"/>
    </xf>
    <xf numFmtId="167" fontId="16" fillId="0" borderId="0" xfId="15" applyNumberFormat="1" applyFont="1" applyFill="1" applyBorder="1" applyAlignment="1">
      <alignment horizontal="right" vertical="top"/>
    </xf>
    <xf numFmtId="49" fontId="16" fillId="0" borderId="0" xfId="0" applyNumberFormat="1" applyFont="1" applyFill="1" applyAlignment="1">
      <alignment horizontal="center" vertical="top"/>
    </xf>
    <xf numFmtId="167" fontId="19" fillId="0" borderId="0" xfId="13" applyNumberFormat="1" applyFont="1" applyFill="1" applyBorder="1" applyAlignment="1">
      <alignment vertical="top"/>
    </xf>
    <xf numFmtId="167" fontId="19" fillId="0" borderId="0" xfId="13" applyNumberFormat="1" applyFont="1" applyFill="1" applyAlignment="1">
      <alignment vertical="top"/>
    </xf>
    <xf numFmtId="167" fontId="13" fillId="0" borderId="0" xfId="13" applyNumberFormat="1" applyFont="1" applyFill="1" applyBorder="1" applyAlignment="1">
      <alignment vertical="top"/>
    </xf>
    <xf numFmtId="167" fontId="13" fillId="0" borderId="0" xfId="15" applyNumberFormat="1" applyFont="1" applyFill="1" applyBorder="1" applyAlignment="1">
      <alignment vertical="top"/>
    </xf>
    <xf numFmtId="167" fontId="16" fillId="0" borderId="0" xfId="15" applyNumberFormat="1" applyFont="1" applyFill="1" applyBorder="1" applyAlignment="1">
      <alignment vertical="top"/>
    </xf>
    <xf numFmtId="0" fontId="11" fillId="0" borderId="0" xfId="0" applyFont="1" applyFill="1" applyBorder="1" applyAlignment="1">
      <alignment vertical="top"/>
    </xf>
    <xf numFmtId="167" fontId="14" fillId="0" borderId="0" xfId="11" applyNumberFormat="1" applyFont="1" applyFill="1" applyBorder="1" applyAlignment="1">
      <alignment vertical="top"/>
    </xf>
    <xf numFmtId="0" fontId="11" fillId="0" borderId="0" xfId="0" applyFont="1" applyFill="1" applyBorder="1" applyAlignment="1">
      <alignment horizontal="center" vertical="top"/>
    </xf>
    <xf numFmtId="167" fontId="11" fillId="0" borderId="0" xfId="11" applyNumberFormat="1" applyFont="1" applyFill="1" applyBorder="1" applyAlignment="1">
      <alignment horizontal="right" vertical="top"/>
    </xf>
    <xf numFmtId="0" fontId="13" fillId="0" borderId="0" xfId="0" applyFont="1" applyFill="1" applyBorder="1" applyAlignment="1">
      <alignment horizontal="left" vertical="top"/>
    </xf>
    <xf numFmtId="0" fontId="12" fillId="0" borderId="0" xfId="0" applyFont="1" applyFill="1" applyBorder="1" applyAlignment="1">
      <alignment horizontal="center" vertical="top"/>
    </xf>
    <xf numFmtId="2" fontId="13" fillId="0" borderId="0" xfId="0" applyNumberFormat="1" applyFont="1" applyFill="1" applyBorder="1" applyAlignment="1">
      <alignment horizontal="center" vertical="top"/>
    </xf>
    <xf numFmtId="167" fontId="13" fillId="0" borderId="0" xfId="0" applyNumberFormat="1" applyFont="1" applyFill="1" applyBorder="1" applyAlignment="1">
      <alignment horizontal="center" vertical="top"/>
    </xf>
    <xf numFmtId="0" fontId="22" fillId="0" borderId="0" xfId="40" applyFont="1" applyFill="1" applyAlignment="1">
      <alignment vertical="top"/>
    </xf>
    <xf numFmtId="0" fontId="23" fillId="0" borderId="0" xfId="40" applyFont="1" applyFill="1" applyAlignment="1">
      <alignment vertical="top" wrapText="1"/>
    </xf>
    <xf numFmtId="0" fontId="28" fillId="0" borderId="0" xfId="40" applyFont="1" applyFill="1" applyAlignment="1">
      <alignment horizontal="centerContinuous" vertical="top"/>
    </xf>
    <xf numFmtId="167" fontId="28" fillId="0" borderId="0" xfId="11" applyNumberFormat="1" applyFont="1" applyFill="1" applyAlignment="1">
      <alignment horizontal="centerContinuous" vertical="top"/>
    </xf>
    <xf numFmtId="167" fontId="28" fillId="0" borderId="0" xfId="40" applyNumberFormat="1" applyFont="1" applyFill="1" applyAlignment="1">
      <alignment horizontal="centerContinuous" vertical="top"/>
    </xf>
    <xf numFmtId="0" fontId="13" fillId="0" borderId="0" xfId="0" applyFont="1" applyFill="1" applyAlignment="1">
      <alignment horizontal="justify" vertical="top"/>
    </xf>
    <xf numFmtId="175" fontId="16" fillId="0" borderId="0" xfId="11" applyNumberFormat="1" applyFont="1" applyFill="1" applyBorder="1" applyAlignment="1">
      <alignment horizontal="right" vertical="top" wrapText="1"/>
    </xf>
    <xf numFmtId="175" fontId="13" fillId="0" borderId="0" xfId="11" applyNumberFormat="1" applyFont="1" applyFill="1" applyBorder="1" applyAlignment="1">
      <alignment horizontal="right" vertical="top" wrapText="1"/>
    </xf>
    <xf numFmtId="167" fontId="13" fillId="0" borderId="0" xfId="11" quotePrefix="1" applyNumberFormat="1" applyFont="1" applyFill="1" applyBorder="1" applyAlignment="1">
      <alignment horizontal="right" vertical="top" wrapText="1"/>
    </xf>
    <xf numFmtId="175"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175" fontId="13" fillId="0" borderId="0" xfId="0" applyNumberFormat="1" applyFont="1" applyFill="1" applyAlignment="1">
      <alignment horizontal="right" vertical="top" wrapText="1"/>
    </xf>
    <xf numFmtId="167" fontId="19" fillId="0" borderId="0" xfId="11" applyNumberFormat="1" applyFont="1" applyFill="1" applyBorder="1" applyAlignment="1">
      <alignment horizontal="right" vertical="top" wrapText="1"/>
    </xf>
    <xf numFmtId="167" fontId="16" fillId="0" borderId="8" xfId="13" applyNumberFormat="1" applyFont="1" applyFill="1" applyBorder="1" applyAlignment="1">
      <alignment horizontal="right" vertical="top" wrapText="1"/>
    </xf>
    <xf numFmtId="167" fontId="16" fillId="0" borderId="0" xfId="13" applyNumberFormat="1" applyFont="1" applyFill="1" applyAlignment="1">
      <alignment horizontal="right" vertical="top" wrapText="1"/>
    </xf>
    <xf numFmtId="0" fontId="13" fillId="0" borderId="0" xfId="0" applyFont="1" applyFill="1" applyBorder="1"/>
    <xf numFmtId="0" fontId="13" fillId="0" borderId="0" xfId="0" applyFont="1" applyFill="1"/>
    <xf numFmtId="0" fontId="16" fillId="0" borderId="0" xfId="0" applyFont="1" applyFill="1"/>
    <xf numFmtId="0" fontId="13" fillId="0" borderId="0" xfId="0" applyFont="1" applyAlignment="1">
      <alignment vertical="center"/>
    </xf>
    <xf numFmtId="0" fontId="13" fillId="0" borderId="0" xfId="0" applyFont="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167" fontId="13" fillId="0" borderId="0" xfId="0" applyNumberFormat="1" applyFont="1" applyFill="1" applyBorder="1" applyAlignment="1">
      <alignment horizontal="right" vertical="top" wrapText="1"/>
    </xf>
    <xf numFmtId="0" fontId="13" fillId="0" borderId="0" xfId="0" quotePrefix="1" applyFont="1" applyBorder="1" applyAlignment="1">
      <alignment vertical="top"/>
    </xf>
    <xf numFmtId="0" fontId="19" fillId="0" borderId="0" xfId="0" applyFont="1" applyBorder="1" applyAlignment="1">
      <alignment vertical="top"/>
    </xf>
    <xf numFmtId="0" fontId="16" fillId="0" borderId="0" xfId="0" quotePrefix="1" applyFont="1" applyBorder="1" applyAlignment="1">
      <alignment vertical="top"/>
    </xf>
    <xf numFmtId="175" fontId="18" fillId="0" borderId="0" xfId="0" applyNumberFormat="1" applyFont="1" applyBorder="1" applyAlignment="1">
      <alignment horizontal="right" vertical="top"/>
    </xf>
    <xf numFmtId="175" fontId="16" fillId="0" borderId="0" xfId="0" applyNumberFormat="1" applyFont="1" applyBorder="1" applyAlignment="1">
      <alignment vertical="top"/>
    </xf>
    <xf numFmtId="175" fontId="16" fillId="0" borderId="0" xfId="0" applyNumberFormat="1" applyFont="1" applyBorder="1" applyAlignment="1">
      <alignment horizontal="right" vertical="top" wrapText="1"/>
    </xf>
    <xf numFmtId="175" fontId="16" fillId="0" borderId="8" xfId="11"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2" fillId="0" borderId="0" xfId="81" applyFont="1"/>
    <xf numFmtId="0" fontId="12" fillId="0" borderId="0" xfId="81" applyFont="1" applyAlignment="1">
      <alignment horizontal="center"/>
    </xf>
    <xf numFmtId="0" fontId="12" fillId="0" borderId="0" xfId="81" applyFont="1" applyAlignment="1"/>
    <xf numFmtId="3" fontId="12" fillId="0" borderId="0" xfId="81" applyNumberFormat="1" applyFont="1"/>
    <xf numFmtId="187" fontId="12" fillId="0" borderId="0" xfId="81" applyNumberFormat="1" applyFont="1"/>
    <xf numFmtId="0" fontId="13" fillId="0" borderId="0" xfId="81" applyFont="1"/>
    <xf numFmtId="3" fontId="13" fillId="0" borderId="0" xfId="81" applyNumberFormat="1" applyFont="1"/>
    <xf numFmtId="187" fontId="13" fillId="0" borderId="0" xfId="81" applyNumberFormat="1" applyFont="1"/>
    <xf numFmtId="0" fontId="13" fillId="0" borderId="12" xfId="81" applyFont="1" applyBorder="1" applyAlignment="1">
      <alignment horizontal="center"/>
    </xf>
    <xf numFmtId="0" fontId="13" fillId="0" borderId="12" xfId="81" applyFont="1" applyBorder="1"/>
    <xf numFmtId="3" fontId="13" fillId="0" borderId="12" xfId="81" applyNumberFormat="1" applyFont="1" applyBorder="1"/>
    <xf numFmtId="0" fontId="13" fillId="0" borderId="13" xfId="81" applyFont="1" applyBorder="1" applyAlignment="1">
      <alignment horizontal="center"/>
    </xf>
    <xf numFmtId="0" fontId="13" fillId="0" borderId="13" xfId="81" applyFont="1" applyBorder="1"/>
    <xf numFmtId="3" fontId="13" fillId="0" borderId="13" xfId="81" applyNumberFormat="1" applyFont="1" applyBorder="1"/>
    <xf numFmtId="0" fontId="13" fillId="0" borderId="14" xfId="81" applyFont="1" applyBorder="1" applyAlignment="1">
      <alignment horizontal="center"/>
    </xf>
    <xf numFmtId="0" fontId="13" fillId="0" borderId="14" xfId="81" applyFont="1" applyBorder="1"/>
    <xf numFmtId="3" fontId="13" fillId="0" borderId="14" xfId="81" applyNumberFormat="1" applyFont="1" applyBorder="1"/>
    <xf numFmtId="3" fontId="16" fillId="0" borderId="10" xfId="81" applyNumberFormat="1" applyFont="1" applyBorder="1"/>
    <xf numFmtId="0" fontId="13" fillId="0" borderId="0" xfId="81" applyFont="1" applyAlignment="1">
      <alignment horizontal="center"/>
    </xf>
    <xf numFmtId="0" fontId="13" fillId="0" borderId="12" xfId="81" applyFont="1" applyBorder="1" applyAlignment="1">
      <alignment horizontal="center" vertical="top"/>
    </xf>
    <xf numFmtId="0" fontId="13" fillId="0" borderId="12" xfId="81" applyFont="1" applyBorder="1" applyAlignment="1">
      <alignment vertical="top"/>
    </xf>
    <xf numFmtId="175" fontId="13" fillId="0" borderId="12" xfId="81" applyNumberFormat="1" applyFont="1" applyBorder="1" applyAlignment="1">
      <alignment horizontal="right" vertical="top" wrapText="1"/>
    </xf>
    <xf numFmtId="0" fontId="13" fillId="0" borderId="0" xfId="81" applyFont="1" applyAlignment="1">
      <alignment vertical="top"/>
    </xf>
    <xf numFmtId="3" fontId="13" fillId="0" borderId="0" xfId="81" applyNumberFormat="1" applyFont="1" applyAlignment="1">
      <alignment vertical="top"/>
    </xf>
    <xf numFmtId="0" fontId="13" fillId="0" borderId="13" xfId="81" applyFont="1" applyBorder="1" applyAlignment="1">
      <alignment horizontal="center" vertical="top"/>
    </xf>
    <xf numFmtId="0" fontId="13" fillId="0" borderId="13" xfId="81" applyFont="1" applyBorder="1" applyAlignment="1">
      <alignment vertical="top"/>
    </xf>
    <xf numFmtId="175" fontId="13" fillId="0" borderId="13" xfId="81" applyNumberFormat="1" applyFont="1" applyBorder="1" applyAlignment="1">
      <alignment horizontal="right" vertical="top" wrapText="1"/>
    </xf>
    <xf numFmtId="0" fontId="13" fillId="0" borderId="14" xfId="81" applyFont="1" applyBorder="1" applyAlignment="1">
      <alignment horizontal="center" vertical="top"/>
    </xf>
    <xf numFmtId="0" fontId="13" fillId="0" borderId="14" xfId="81" applyFont="1" applyBorder="1" applyAlignment="1">
      <alignment vertical="top"/>
    </xf>
    <xf numFmtId="175" fontId="13" fillId="0" borderId="14" xfId="81" applyNumberFormat="1" applyFont="1" applyBorder="1" applyAlignment="1">
      <alignment horizontal="right" vertical="top" wrapText="1"/>
    </xf>
    <xf numFmtId="175" fontId="16" fillId="0" borderId="10" xfId="81" applyNumberFormat="1" applyFont="1" applyBorder="1" applyAlignment="1">
      <alignment horizontal="right" vertical="top" wrapText="1"/>
    </xf>
    <xf numFmtId="0" fontId="59" fillId="0" borderId="0" xfId="0" applyFont="1" applyAlignment="1">
      <alignment vertical="top"/>
    </xf>
    <xf numFmtId="0" fontId="14" fillId="0" borderId="0" xfId="81" applyFont="1"/>
    <xf numFmtId="0" fontId="14" fillId="0" borderId="15" xfId="81" applyFont="1" applyBorder="1" applyAlignment="1">
      <alignment horizontal="center"/>
    </xf>
    <xf numFmtId="0" fontId="58" fillId="0" borderId="16" xfId="81" applyFont="1" applyBorder="1" applyAlignment="1">
      <alignment horizontal="center" vertical="center"/>
    </xf>
    <xf numFmtId="0" fontId="14" fillId="0" borderId="0" xfId="81" applyFont="1" applyAlignment="1"/>
    <xf numFmtId="0" fontId="14" fillId="0" borderId="16" xfId="81" applyFont="1" applyBorder="1" applyAlignment="1">
      <alignment horizontal="center"/>
    </xf>
    <xf numFmtId="0" fontId="61" fillId="0" borderId="16" xfId="81" applyFont="1" applyBorder="1" applyAlignment="1">
      <alignment horizontal="center" vertical="center" wrapText="1"/>
    </xf>
    <xf numFmtId="0" fontId="11" fillId="0" borderId="16" xfId="81" applyFont="1" applyBorder="1" applyAlignment="1">
      <alignment horizontal="center"/>
    </xf>
    <xf numFmtId="0" fontId="62" fillId="0" borderId="16" xfId="81" applyFont="1" applyBorder="1" applyAlignment="1">
      <alignment horizontal="center"/>
    </xf>
    <xf numFmtId="0" fontId="14" fillId="0" borderId="17" xfId="81" applyFont="1" applyBorder="1" applyAlignment="1">
      <alignment horizontal="center"/>
    </xf>
    <xf numFmtId="0" fontId="14" fillId="0" borderId="9" xfId="81" applyFont="1" applyBorder="1"/>
    <xf numFmtId="0" fontId="11" fillId="0" borderId="9" xfId="81" applyFont="1" applyBorder="1" applyAlignment="1">
      <alignment horizontal="center"/>
    </xf>
    <xf numFmtId="0" fontId="18" fillId="0" borderId="9" xfId="0" applyFont="1" applyBorder="1" applyAlignment="1">
      <alignment horizontal="left" vertical="top"/>
    </xf>
    <xf numFmtId="0" fontId="13" fillId="0" borderId="9" xfId="0" applyFont="1" applyBorder="1" applyAlignment="1">
      <alignment horizontal="center" vertical="top"/>
    </xf>
    <xf numFmtId="0" fontId="13" fillId="0" borderId="9" xfId="0" applyFont="1" applyFill="1" applyBorder="1" applyAlignment="1">
      <alignment horizontal="center" vertical="top"/>
    </xf>
    <xf numFmtId="175" fontId="12" fillId="0" borderId="9" xfId="0" applyNumberFormat="1" applyFont="1" applyBorder="1" applyAlignment="1">
      <alignment vertical="top"/>
    </xf>
    <xf numFmtId="175" fontId="18" fillId="0" borderId="0" xfId="11" applyNumberFormat="1" applyFont="1" applyAlignment="1">
      <alignment horizontal="right" vertical="top"/>
    </xf>
    <xf numFmtId="175" fontId="28" fillId="0" borderId="0" xfId="11" applyNumberFormat="1" applyFont="1" applyAlignment="1">
      <alignment horizontal="right" vertical="top"/>
    </xf>
    <xf numFmtId="0" fontId="13" fillId="0" borderId="0" xfId="0" quotePrefix="1" applyFont="1" applyFill="1" applyBorder="1" applyAlignment="1">
      <alignment horizontal="center" vertical="top"/>
    </xf>
    <xf numFmtId="0" fontId="18" fillId="0" borderId="0" xfId="0" applyFont="1" applyFill="1" applyAlignment="1">
      <alignment horizontal="justify" vertical="top" wrapText="1"/>
    </xf>
    <xf numFmtId="0" fontId="18" fillId="0" borderId="0" xfId="0" applyFont="1" applyFill="1" applyAlignment="1">
      <alignment vertical="top" wrapText="1"/>
    </xf>
    <xf numFmtId="224" fontId="18" fillId="0" borderId="0" xfId="11" applyNumberFormat="1" applyFont="1" applyFill="1" applyAlignment="1">
      <alignment horizontal="right" vertical="top" wrapText="1"/>
    </xf>
    <xf numFmtId="175" fontId="19" fillId="0" borderId="0" xfId="0" applyNumberFormat="1" applyFont="1" applyFill="1" applyBorder="1" applyAlignment="1">
      <alignment horizontal="right" vertical="top" wrapText="1"/>
    </xf>
    <xf numFmtId="224" fontId="13" fillId="0" borderId="0" xfId="11" applyNumberFormat="1" applyFont="1" applyAlignment="1">
      <alignment horizontal="right" vertical="top" wrapText="1"/>
    </xf>
    <xf numFmtId="3" fontId="13" fillId="0" borderId="0" xfId="0" applyNumberFormat="1" applyFont="1" applyAlignment="1">
      <alignment horizontal="right" vertical="top" wrapText="1"/>
    </xf>
    <xf numFmtId="175" fontId="18" fillId="0" borderId="0" xfId="11" applyNumberFormat="1" applyFont="1" applyFill="1" applyBorder="1" applyAlignment="1">
      <alignment horizontal="right" vertical="top" wrapText="1"/>
    </xf>
    <xf numFmtId="0" fontId="23" fillId="0" borderId="8" xfId="0" applyFont="1" applyBorder="1" applyAlignment="1">
      <alignment horizontal="left" vertical="top"/>
    </xf>
    <xf numFmtId="0" fontId="23" fillId="0" borderId="0" xfId="0" applyFont="1" applyAlignment="1">
      <alignment vertical="top"/>
    </xf>
    <xf numFmtId="0" fontId="16" fillId="0" borderId="0" xfId="0" applyFont="1" applyAlignment="1">
      <alignment horizontal="right" vertical="top" wrapText="1"/>
    </xf>
    <xf numFmtId="0" fontId="59" fillId="0" borderId="0" xfId="0" applyFont="1" applyFill="1" applyBorder="1" applyAlignment="1">
      <alignment horizontal="center" vertical="top"/>
    </xf>
    <xf numFmtId="0" fontId="59" fillId="0" borderId="0" xfId="0" applyFont="1" applyFill="1" applyBorder="1" applyAlignment="1">
      <alignment vertical="top"/>
    </xf>
    <xf numFmtId="0" fontId="16" fillId="0" borderId="0" xfId="0" quotePrefix="1" applyFont="1" applyFill="1" applyAlignment="1">
      <alignment horizontal="left"/>
    </xf>
    <xf numFmtId="0" fontId="16" fillId="0" borderId="0" xfId="0" applyFont="1" applyFill="1" applyAlignment="1">
      <alignment horizontal="left"/>
    </xf>
    <xf numFmtId="0" fontId="19" fillId="0" borderId="0" xfId="0" quotePrefix="1" applyFont="1" applyFill="1" applyAlignment="1">
      <alignment horizontal="left"/>
    </xf>
    <xf numFmtId="0" fontId="16" fillId="0" borderId="0" xfId="0" quotePrefix="1" applyFont="1" applyAlignment="1">
      <alignment horizontal="left"/>
    </xf>
    <xf numFmtId="0" fontId="19" fillId="0" borderId="0" xfId="0" applyFont="1"/>
    <xf numFmtId="0" fontId="18" fillId="0" borderId="0" xfId="0" applyFont="1"/>
    <xf numFmtId="175" fontId="19" fillId="0" borderId="0" xfId="0" applyNumberFormat="1" applyFont="1" applyBorder="1"/>
    <xf numFmtId="0" fontId="19" fillId="0" borderId="0" xfId="0" applyFont="1" applyBorder="1"/>
    <xf numFmtId="175" fontId="18" fillId="0" borderId="0" xfId="0" applyNumberFormat="1" applyFont="1" applyBorder="1" applyAlignment="1">
      <alignment horizontal="right"/>
    </xf>
    <xf numFmtId="0" fontId="117" fillId="0" borderId="0" xfId="0" applyFont="1" applyFill="1" applyBorder="1" applyAlignment="1">
      <alignment vertical="top"/>
    </xf>
    <xf numFmtId="0" fontId="13" fillId="0" borderId="0" xfId="0" applyFont="1" applyAlignment="1">
      <alignment horizontal="left" wrapText="1"/>
    </xf>
    <xf numFmtId="0" fontId="13" fillId="0" borderId="0" xfId="0" applyFont="1" applyAlignment="1"/>
    <xf numFmtId="175" fontId="16" fillId="0" borderId="0" xfId="0" applyNumberFormat="1" applyFont="1" applyBorder="1"/>
    <xf numFmtId="0" fontId="16" fillId="0" borderId="0" xfId="0" applyFont="1" applyBorder="1" applyAlignment="1">
      <alignment horizontal="right"/>
    </xf>
    <xf numFmtId="175" fontId="16" fillId="0" borderId="0" xfId="0" applyNumberFormat="1" applyFont="1" applyBorder="1" applyAlignment="1">
      <alignment horizontal="right"/>
    </xf>
    <xf numFmtId="0" fontId="13" fillId="0" borderId="0" xfId="0" quotePrefix="1" applyFont="1" applyAlignment="1">
      <alignment horizontal="left"/>
    </xf>
    <xf numFmtId="175" fontId="13" fillId="0" borderId="0" xfId="0" applyNumberFormat="1" applyFont="1" applyBorder="1" applyAlignment="1">
      <alignment horizontal="right"/>
    </xf>
    <xf numFmtId="0" fontId="13" fillId="0" borderId="0" xfId="0" applyFont="1" applyBorder="1" applyAlignment="1">
      <alignment horizontal="right"/>
    </xf>
    <xf numFmtId="175" fontId="16" fillId="0" borderId="8" xfId="0" applyNumberFormat="1" applyFont="1" applyBorder="1" applyAlignment="1">
      <alignment horizontal="right"/>
    </xf>
    <xf numFmtId="0" fontId="16" fillId="0" borderId="0" xfId="0" applyFont="1" applyAlignment="1">
      <alignment horizontal="left"/>
    </xf>
    <xf numFmtId="0" fontId="16" fillId="0" borderId="0" xfId="0" applyFont="1" applyAlignment="1">
      <alignment horizontal="justify" wrapText="1"/>
    </xf>
    <xf numFmtId="0" fontId="19" fillId="0" borderId="0" xfId="0" applyFont="1" applyAlignment="1">
      <alignment horizontal="left"/>
    </xf>
    <xf numFmtId="0" fontId="16" fillId="0" borderId="0" xfId="0" applyFont="1" applyAlignment="1"/>
    <xf numFmtId="0" fontId="13" fillId="0" borderId="0" xfId="0" applyFont="1" applyAlignment="1">
      <alignment horizontal="justify" wrapText="1"/>
    </xf>
    <xf numFmtId="0" fontId="18" fillId="0" borderId="0" xfId="0" quotePrefix="1" applyFont="1" applyAlignment="1">
      <alignment horizontal="left" vertical="top"/>
    </xf>
    <xf numFmtId="0" fontId="118" fillId="0" borderId="0" xfId="0" applyFont="1" applyAlignment="1">
      <alignment vertical="top"/>
    </xf>
    <xf numFmtId="0" fontId="18" fillId="0" borderId="0" xfId="0" applyFont="1" applyAlignment="1">
      <alignment horizontal="justify" vertical="top" wrapText="1"/>
    </xf>
    <xf numFmtId="175" fontId="13" fillId="0" borderId="0" xfId="0" applyNumberFormat="1" applyFont="1" applyBorder="1" applyAlignment="1"/>
    <xf numFmtId="175" fontId="16" fillId="0" borderId="8" xfId="0" applyNumberFormat="1" applyFont="1" applyBorder="1"/>
    <xf numFmtId="0" fontId="119" fillId="0" borderId="0" xfId="0" applyFont="1" applyFill="1" applyBorder="1" applyAlignment="1">
      <alignment vertical="top"/>
    </xf>
    <xf numFmtId="0" fontId="59" fillId="0" borderId="0" xfId="0" applyFont="1" applyFill="1" applyAlignment="1">
      <alignment vertical="top"/>
    </xf>
    <xf numFmtId="0" fontId="60" fillId="0" borderId="0" xfId="0" applyFont="1" applyFill="1" applyBorder="1" applyAlignment="1">
      <alignment vertical="top"/>
    </xf>
    <xf numFmtId="0" fontId="59" fillId="0" borderId="0" xfId="0" applyFont="1" applyFill="1"/>
    <xf numFmtId="0" fontId="59" fillId="0" borderId="0" xfId="0" applyFont="1"/>
    <xf numFmtId="0" fontId="60" fillId="0" borderId="0" xfId="0" applyFont="1"/>
    <xf numFmtId="0" fontId="121" fillId="0" borderId="0" xfId="0" applyFont="1" applyFill="1" applyBorder="1" applyAlignment="1">
      <alignment vertical="top"/>
    </xf>
    <xf numFmtId="0" fontId="18" fillId="8" borderId="0" xfId="0" applyFont="1" applyFill="1" applyBorder="1" applyAlignment="1">
      <alignment vertical="top"/>
    </xf>
    <xf numFmtId="0" fontId="119" fillId="0" borderId="0" xfId="0" applyFont="1" applyFill="1" applyBorder="1" applyAlignment="1">
      <alignment horizontal="center" vertical="top"/>
    </xf>
    <xf numFmtId="167" fontId="119" fillId="0" borderId="0" xfId="0" applyNumberFormat="1" applyFont="1" applyFill="1" applyBorder="1" applyAlignment="1">
      <alignment horizontal="right" vertical="top" wrapText="1"/>
    </xf>
    <xf numFmtId="0" fontId="16" fillId="0" borderId="0" xfId="0" quotePrefix="1" applyFont="1" applyAlignment="1">
      <alignment horizontal="left" vertical="top"/>
    </xf>
    <xf numFmtId="9" fontId="16" fillId="0" borderId="0" xfId="43" applyFont="1" applyFill="1" applyBorder="1" applyAlignment="1">
      <alignment vertical="top"/>
    </xf>
    <xf numFmtId="9" fontId="13" fillId="0" borderId="0" xfId="43" applyFont="1" applyFill="1" applyBorder="1" applyAlignment="1">
      <alignment vertical="top"/>
    </xf>
    <xf numFmtId="9" fontId="16" fillId="0" borderId="0" xfId="43" applyFont="1" applyFill="1" applyBorder="1" applyAlignment="1">
      <alignment horizontal="justify" vertical="top" wrapText="1"/>
    </xf>
    <xf numFmtId="9" fontId="16" fillId="0" borderId="0" xfId="43" applyFont="1" applyBorder="1" applyAlignment="1">
      <alignment horizontal="justify" vertical="top" wrapText="1"/>
    </xf>
    <xf numFmtId="9" fontId="16" fillId="0" borderId="0" xfId="43" applyFont="1" applyBorder="1" applyAlignment="1">
      <alignment horizontal="right" vertical="top" wrapText="1"/>
    </xf>
    <xf numFmtId="0" fontId="13" fillId="0" borderId="0" xfId="39" quotePrefix="1" applyFont="1" applyFill="1" applyBorder="1"/>
    <xf numFmtId="175" fontId="16" fillId="0" borderId="0" xfId="13" applyNumberFormat="1" applyFont="1" applyFill="1" applyBorder="1"/>
    <xf numFmtId="0" fontId="12" fillId="0" borderId="0" xfId="546" applyFont="1" applyAlignment="1">
      <alignment horizontal="center"/>
    </xf>
    <xf numFmtId="0" fontId="12" fillId="0" borderId="0" xfId="546" applyFont="1"/>
    <xf numFmtId="0" fontId="12" fillId="0" borderId="12" xfId="546" applyFont="1" applyBorder="1" applyAlignment="1">
      <alignment horizontal="center"/>
    </xf>
    <xf numFmtId="0" fontId="12" fillId="0" borderId="12" xfId="546" applyFont="1" applyBorder="1"/>
    <xf numFmtId="3" fontId="12" fillId="0" borderId="12" xfId="546" applyNumberFormat="1" applyFont="1" applyBorder="1"/>
    <xf numFmtId="0" fontId="12" fillId="0" borderId="13" xfId="546" applyFont="1" applyBorder="1" applyAlignment="1">
      <alignment horizontal="center"/>
    </xf>
    <xf numFmtId="0" fontId="12" fillId="0" borderId="13" xfId="546" applyFont="1" applyBorder="1"/>
    <xf numFmtId="3" fontId="12" fillId="0" borderId="13" xfId="546" applyNumberFormat="1" applyFont="1" applyBorder="1"/>
    <xf numFmtId="3" fontId="17" fillId="0" borderId="10" xfId="546" applyNumberFormat="1" applyFont="1" applyBorder="1"/>
    <xf numFmtId="3" fontId="12" fillId="0" borderId="0" xfId="546" applyNumberFormat="1" applyFont="1"/>
    <xf numFmtId="167" fontId="16" fillId="0" borderId="0" xfId="13" applyNumberFormat="1" applyFont="1" applyFill="1" applyBorder="1" applyAlignment="1">
      <alignment horizontal="right" vertical="top" wrapText="1"/>
    </xf>
    <xf numFmtId="167" fontId="117" fillId="0" borderId="0" xfId="0" applyNumberFormat="1" applyFont="1" applyFill="1" applyBorder="1" applyAlignment="1">
      <alignment horizontal="right" vertical="top" wrapText="1"/>
    </xf>
    <xf numFmtId="167" fontId="117" fillId="0" borderId="0" xfId="11" applyNumberFormat="1" applyFont="1" applyFill="1" applyBorder="1" applyAlignment="1">
      <alignment horizontal="right" vertical="top" wrapText="1"/>
    </xf>
    <xf numFmtId="0" fontId="117" fillId="0" borderId="0" xfId="0" applyFont="1" applyFill="1" applyBorder="1" applyAlignment="1">
      <alignment horizontal="center" vertical="top"/>
    </xf>
    <xf numFmtId="167" fontId="117" fillId="0" borderId="0" xfId="15" applyNumberFormat="1" applyFont="1" applyFill="1" applyBorder="1" applyAlignment="1">
      <alignment horizontal="right" vertical="top" wrapText="1"/>
    </xf>
    <xf numFmtId="167" fontId="16" fillId="0" borderId="0" xfId="11" quotePrefix="1" applyNumberFormat="1" applyFont="1" applyFill="1" applyBorder="1" applyAlignment="1">
      <alignment horizontal="right" vertical="top" wrapText="1"/>
    </xf>
    <xf numFmtId="167" fontId="16" fillId="0" borderId="0" xfId="0" applyNumberFormat="1" applyFont="1" applyFill="1" applyBorder="1" applyAlignment="1">
      <alignment vertical="top" wrapText="1"/>
    </xf>
    <xf numFmtId="167" fontId="16" fillId="0" borderId="1" xfId="11" applyNumberFormat="1" applyFont="1" applyFill="1" applyBorder="1" applyAlignment="1">
      <alignment horizontal="right" vertical="top" wrapText="1"/>
    </xf>
    <xf numFmtId="167" fontId="13" fillId="0" borderId="0" xfId="11" applyNumberFormat="1" applyFont="1" applyFill="1" applyBorder="1" applyAlignment="1">
      <alignment vertical="top" wrapText="1"/>
    </xf>
    <xf numFmtId="167" fontId="13" fillId="0" borderId="0" xfId="0" applyNumberFormat="1" applyFont="1" applyFill="1" applyBorder="1" applyAlignment="1">
      <alignment vertical="top" wrapText="1"/>
    </xf>
    <xf numFmtId="167" fontId="16" fillId="0" borderId="8" xfId="11" applyNumberFormat="1" applyFont="1" applyFill="1" applyBorder="1" applyAlignment="1">
      <alignment vertical="top" wrapText="1"/>
    </xf>
    <xf numFmtId="167" fontId="16" fillId="0" borderId="0" xfId="11" applyNumberFormat="1" applyFont="1" applyFill="1" applyBorder="1" applyAlignment="1">
      <alignment vertical="top" wrapText="1"/>
    </xf>
    <xf numFmtId="175" fontId="13" fillId="0" borderId="0" xfId="11" applyNumberFormat="1" applyFont="1" applyFill="1" applyBorder="1" applyAlignment="1">
      <alignment vertical="top" wrapText="1"/>
    </xf>
    <xf numFmtId="167" fontId="59" fillId="0" borderId="0" xfId="11" applyNumberFormat="1" applyFont="1" applyFill="1" applyBorder="1" applyAlignment="1">
      <alignment horizontal="right" vertical="top" wrapText="1"/>
    </xf>
    <xf numFmtId="167" fontId="59" fillId="0" borderId="0" xfId="0" applyNumberFormat="1" applyFont="1" applyFill="1" applyBorder="1" applyAlignment="1">
      <alignment horizontal="right" vertical="top" wrapText="1"/>
    </xf>
    <xf numFmtId="175" fontId="16" fillId="0" borderId="0" xfId="11" applyNumberFormat="1" applyFont="1" applyFill="1" applyBorder="1" applyAlignment="1">
      <alignment vertical="top" wrapText="1"/>
    </xf>
    <xf numFmtId="167" fontId="16" fillId="0" borderId="0" xfId="0" applyNumberFormat="1" applyFont="1" applyFill="1" applyAlignment="1">
      <alignment vertical="top" wrapText="1"/>
    </xf>
    <xf numFmtId="0" fontId="59" fillId="8" borderId="0" xfId="0" applyFont="1" applyFill="1" applyBorder="1" applyAlignment="1">
      <alignment vertical="top"/>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167" fontId="16" fillId="0" borderId="8" xfId="11" applyNumberFormat="1" applyFont="1" applyFill="1" applyBorder="1" applyAlignment="1">
      <alignment horizontal="right" vertical="center" wrapText="1"/>
    </xf>
    <xf numFmtId="167" fontId="16" fillId="0" borderId="0" xfId="11" applyNumberFormat="1" applyFont="1" applyFill="1" applyBorder="1" applyAlignment="1">
      <alignment horizontal="right" vertical="center" wrapText="1"/>
    </xf>
    <xf numFmtId="0" fontId="59" fillId="0" borderId="0" xfId="0" applyFont="1" applyFill="1" applyBorder="1" applyAlignment="1">
      <alignment vertical="center"/>
    </xf>
    <xf numFmtId="0" fontId="16" fillId="0" borderId="0" xfId="0" applyFont="1" applyFill="1" applyAlignment="1">
      <alignment horizontal="left" vertical="center"/>
    </xf>
    <xf numFmtId="0" fontId="59" fillId="0" borderId="0" xfId="0" applyFont="1" applyFill="1" applyAlignment="1">
      <alignment vertical="center"/>
    </xf>
    <xf numFmtId="0" fontId="16" fillId="0" borderId="1" xfId="0" applyFont="1" applyFill="1" applyBorder="1" applyAlignment="1">
      <alignment vertical="top"/>
    </xf>
    <xf numFmtId="0" fontId="18" fillId="0" borderId="0" xfId="0" applyFont="1" applyFill="1" applyBorder="1" applyAlignment="1">
      <alignment horizontal="right" vertical="top" wrapText="1"/>
    </xf>
    <xf numFmtId="0" fontId="12" fillId="0" borderId="0" xfId="0" applyFont="1" applyFill="1" applyAlignment="1">
      <alignment horizontal="justify" vertical="top" wrapText="1"/>
    </xf>
    <xf numFmtId="0" fontId="60" fillId="0" borderId="0" xfId="0" applyFont="1" applyFill="1" applyBorder="1" applyAlignment="1">
      <alignment horizontal="center" vertical="top"/>
    </xf>
    <xf numFmtId="167" fontId="60" fillId="0" borderId="0" xfId="11" applyNumberFormat="1" applyFont="1" applyFill="1" applyBorder="1" applyAlignment="1">
      <alignment horizontal="right" vertical="top" wrapText="1"/>
    </xf>
    <xf numFmtId="167" fontId="60" fillId="0" borderId="0" xfId="0" applyNumberFormat="1" applyFont="1" applyFill="1" applyBorder="1" applyAlignment="1">
      <alignment horizontal="right" vertical="top" wrapText="1"/>
    </xf>
    <xf numFmtId="175" fontId="59" fillId="0" borderId="0" xfId="11" applyNumberFormat="1" applyFont="1" applyFill="1" applyBorder="1" applyAlignment="1">
      <alignment horizontal="right" vertical="top" wrapText="1"/>
    </xf>
    <xf numFmtId="0" fontId="23" fillId="0" borderId="9" xfId="0" applyFont="1" applyBorder="1" applyAlignment="1">
      <alignment horizontal="left" vertical="top"/>
    </xf>
    <xf numFmtId="175" fontId="16" fillId="0" borderId="9" xfId="11" applyNumberFormat="1" applyFont="1" applyBorder="1" applyAlignment="1">
      <alignment horizontal="right" vertical="top" wrapText="1"/>
    </xf>
    <xf numFmtId="0" fontId="124" fillId="0" borderId="0" xfId="0" applyFont="1" applyFill="1" applyBorder="1" applyAlignment="1">
      <alignment horizontal="left" vertical="top"/>
    </xf>
    <xf numFmtId="0" fontId="119" fillId="0" borderId="0" xfId="0" applyFont="1" applyFill="1" applyBorder="1" applyAlignment="1">
      <alignment horizontal="left" vertical="top"/>
    </xf>
    <xf numFmtId="0" fontId="16" fillId="0" borderId="0" xfId="0" quotePrefix="1" applyFont="1" applyFill="1" applyBorder="1" applyAlignment="1">
      <alignment horizontal="left" vertical="top"/>
    </xf>
    <xf numFmtId="0" fontId="117" fillId="0" borderId="0" xfId="0" applyFont="1" applyFill="1" applyAlignment="1">
      <alignment vertical="top"/>
    </xf>
    <xf numFmtId="0" fontId="59" fillId="0" borderId="0" xfId="0" quotePrefix="1" applyFont="1" applyFill="1" applyAlignment="1">
      <alignment horizontal="left"/>
    </xf>
    <xf numFmtId="0" fontId="125" fillId="0" borderId="0" xfId="0" applyFont="1"/>
    <xf numFmtId="175" fontId="13" fillId="0" borderId="0" xfId="0" applyNumberFormat="1" applyFont="1" applyBorder="1" applyAlignment="1">
      <alignment vertical="top"/>
    </xf>
    <xf numFmtId="0" fontId="18" fillId="0" borderId="0" xfId="0" applyFont="1" applyFill="1" applyAlignment="1">
      <alignment vertical="top"/>
    </xf>
    <xf numFmtId="175" fontId="16" fillId="0" borderId="0" xfId="0" applyNumberFormat="1" applyFont="1" applyFill="1" applyBorder="1" applyAlignment="1">
      <alignment horizontal="right" vertical="top"/>
    </xf>
    <xf numFmtId="175" fontId="13" fillId="0" borderId="0" xfId="0" applyNumberFormat="1" applyFont="1" applyFill="1" applyBorder="1" applyAlignment="1">
      <alignment horizontal="right" vertical="top"/>
    </xf>
    <xf numFmtId="175" fontId="18" fillId="0" borderId="0" xfId="0" applyNumberFormat="1" applyFont="1" applyFill="1" applyBorder="1" applyAlignment="1">
      <alignment horizontal="right" vertical="top"/>
    </xf>
    <xf numFmtId="0" fontId="60" fillId="0" borderId="0" xfId="0" applyFont="1" applyFill="1" applyAlignment="1">
      <alignment horizontal="justify" vertical="top" wrapText="1"/>
    </xf>
    <xf numFmtId="224" fontId="119" fillId="0" borderId="0" xfId="11" applyNumberFormat="1" applyFont="1" applyFill="1" applyAlignment="1">
      <alignment horizontal="right" vertical="top" wrapText="1"/>
    </xf>
    <xf numFmtId="175" fontId="119" fillId="0" borderId="0" xfId="0" applyNumberFormat="1" applyFont="1" applyFill="1" applyBorder="1" applyAlignment="1">
      <alignment horizontal="right" vertical="top" wrapText="1"/>
    </xf>
    <xf numFmtId="0" fontId="60" fillId="0" borderId="0" xfId="0" applyFont="1" applyFill="1" applyBorder="1" applyAlignment="1">
      <alignment horizontal="right" vertical="top" wrapText="1"/>
    </xf>
    <xf numFmtId="0" fontId="60" fillId="0" borderId="0" xfId="0" applyFont="1" applyFill="1" applyAlignment="1">
      <alignment vertical="top" wrapText="1"/>
    </xf>
    <xf numFmtId="0" fontId="60" fillId="0" borderId="0" xfId="0" quotePrefix="1" applyFont="1" applyFill="1" applyBorder="1" applyAlignment="1">
      <alignment horizontal="center" vertical="top"/>
    </xf>
    <xf numFmtId="224" fontId="60" fillId="0" borderId="0" xfId="11" applyNumberFormat="1" applyFont="1" applyFill="1" applyAlignment="1">
      <alignment horizontal="right" vertical="top" wrapText="1"/>
    </xf>
    <xf numFmtId="175" fontId="60" fillId="0" borderId="0" xfId="0" applyNumberFormat="1" applyFont="1" applyFill="1" applyBorder="1" applyAlignment="1">
      <alignment horizontal="right" vertical="top" wrapText="1"/>
    </xf>
    <xf numFmtId="0" fontId="119" fillId="0" borderId="0" xfId="0" applyFont="1" applyFill="1" applyAlignment="1">
      <alignment vertical="top"/>
    </xf>
    <xf numFmtId="10" fontId="18" fillId="0" borderId="0" xfId="43" quotePrefix="1" applyNumberFormat="1" applyFont="1" applyFill="1" applyBorder="1" applyAlignment="1">
      <alignment horizontal="center" vertical="top"/>
    </xf>
    <xf numFmtId="167" fontId="16" fillId="0" borderId="0" xfId="11" applyNumberFormat="1" applyFont="1" applyFill="1" applyAlignment="1">
      <alignment horizontal="right" vertical="top" wrapText="1"/>
    </xf>
    <xf numFmtId="175" fontId="59" fillId="0" borderId="0" xfId="11" applyNumberFormat="1" applyFont="1" applyFill="1" applyBorder="1" applyAlignment="1">
      <alignment vertical="top"/>
    </xf>
    <xf numFmtId="0" fontId="126" fillId="0" borderId="0" xfId="0" applyFont="1"/>
    <xf numFmtId="10" fontId="13" fillId="0" borderId="0" xfId="43" quotePrefix="1" applyNumberFormat="1" applyFont="1" applyFill="1" applyBorder="1" applyAlignment="1">
      <alignment horizontal="center" vertical="top"/>
    </xf>
    <xf numFmtId="0" fontId="117" fillId="0" borderId="0" xfId="39" quotePrefix="1" applyFont="1" applyFill="1" applyBorder="1"/>
    <xf numFmtId="0" fontId="123" fillId="0" borderId="0" xfId="39" quotePrefix="1" applyFont="1" applyFill="1"/>
    <xf numFmtId="0" fontId="26" fillId="0" borderId="0" xfId="0" applyFont="1" applyBorder="1" applyAlignment="1">
      <alignment vertical="top" wrapText="1"/>
    </xf>
    <xf numFmtId="3" fontId="12" fillId="0" borderId="0" xfId="39" applyNumberFormat="1" applyFont="1"/>
    <xf numFmtId="0" fontId="13" fillId="0" borderId="0" xfId="0" quotePrefix="1" applyFont="1" applyFill="1"/>
    <xf numFmtId="175" fontId="13" fillId="0" borderId="0" xfId="11" applyNumberFormat="1" applyFont="1" applyFill="1"/>
    <xf numFmtId="0" fontId="127" fillId="0" borderId="0" xfId="0" quotePrefix="1" applyFont="1" applyAlignment="1">
      <alignment horizontal="left" vertical="center"/>
    </xf>
    <xf numFmtId="0" fontId="127" fillId="0" borderId="0" xfId="0" applyFont="1" applyAlignment="1">
      <alignment horizontal="left" vertical="center" wrapText="1"/>
    </xf>
    <xf numFmtId="0" fontId="128" fillId="0" borderId="0" xfId="0" quotePrefix="1" applyFont="1" applyAlignment="1">
      <alignment horizontal="left" vertical="center"/>
    </xf>
    <xf numFmtId="0" fontId="18" fillId="0" borderId="0" xfId="0" quotePrefix="1" applyFont="1" applyFill="1" applyAlignment="1">
      <alignment vertical="top"/>
    </xf>
    <xf numFmtId="3" fontId="118" fillId="0" borderId="0" xfId="0" applyNumberFormat="1" applyFont="1" applyAlignment="1">
      <alignment vertical="top"/>
    </xf>
    <xf numFmtId="175" fontId="16" fillId="0" borderId="0" xfId="11" applyNumberFormat="1" applyFont="1" applyFill="1" applyBorder="1" applyAlignment="1">
      <alignment horizontal="right"/>
    </xf>
    <xf numFmtId="175" fontId="16" fillId="0" borderId="1" xfId="11" applyNumberFormat="1" applyFont="1" applyFill="1" applyBorder="1" applyAlignment="1">
      <alignment horizontal="right"/>
    </xf>
    <xf numFmtId="175" fontId="13" fillId="0" borderId="0" xfId="11" applyNumberFormat="1" applyFont="1" applyAlignment="1"/>
    <xf numFmtId="175" fontId="16" fillId="0" borderId="8" xfId="11" applyNumberFormat="1" applyFont="1" applyFill="1" applyBorder="1" applyAlignment="1"/>
    <xf numFmtId="175" fontId="13" fillId="0" borderId="0" xfId="11" applyNumberFormat="1" applyFont="1" applyFill="1" applyAlignment="1"/>
    <xf numFmtId="0" fontId="123" fillId="0" borderId="0" xfId="39" quotePrefix="1" applyFont="1"/>
    <xf numFmtId="3" fontId="120" fillId="0" borderId="0" xfId="39" applyNumberFormat="1" applyFont="1"/>
    <xf numFmtId="0" fontId="13" fillId="0" borderId="0" xfId="0" applyFont="1" applyFill="1" applyAlignment="1">
      <alignment vertical="top" wrapText="1"/>
    </xf>
    <xf numFmtId="0" fontId="23" fillId="0" borderId="0" xfId="0" applyFont="1" applyBorder="1" applyAlignment="1">
      <alignment horizontal="left" vertical="top"/>
    </xf>
    <xf numFmtId="0" fontId="23" fillId="0" borderId="0" xfId="0" applyFont="1" applyBorder="1" applyAlignment="1">
      <alignment horizontal="center" vertical="top"/>
    </xf>
    <xf numFmtId="175" fontId="16" fillId="0" borderId="0" xfId="0" applyNumberFormat="1" applyFont="1" applyAlignment="1">
      <alignment horizontal="center" vertical="top"/>
    </xf>
    <xf numFmtId="0" fontId="16" fillId="0" borderId="0" xfId="0" applyFont="1" applyAlignment="1">
      <alignment horizontal="left" vertical="top"/>
    </xf>
    <xf numFmtId="0" fontId="16" fillId="0" borderId="0" xfId="0" applyFont="1" applyAlignment="1">
      <alignment horizontal="center" vertical="top"/>
    </xf>
    <xf numFmtId="0" fontId="13" fillId="0" borderId="0" xfId="0" applyFont="1" applyFill="1" applyAlignment="1">
      <alignment horizontal="justify" vertical="top" wrapText="1"/>
    </xf>
    <xf numFmtId="0" fontId="12" fillId="0" borderId="0" xfId="0" applyFont="1" applyFill="1" applyAlignment="1">
      <alignment vertical="top"/>
    </xf>
    <xf numFmtId="0" fontId="16" fillId="0" borderId="0" xfId="0" applyFont="1" applyFill="1" applyAlignment="1">
      <alignment horizontal="center" vertical="top"/>
    </xf>
    <xf numFmtId="0" fontId="13" fillId="0" borderId="0" xfId="0" applyFont="1" applyFill="1" applyAlignment="1">
      <alignment horizontal="left" vertical="top" wrapText="1"/>
    </xf>
    <xf numFmtId="0" fontId="16" fillId="0" borderId="1" xfId="0" applyFont="1" applyFill="1" applyBorder="1" applyAlignment="1">
      <alignment horizontal="center" vertical="top" wrapText="1"/>
    </xf>
    <xf numFmtId="0" fontId="13" fillId="0" borderId="0" xfId="0" applyFont="1" applyFill="1" applyBorder="1" applyAlignment="1">
      <alignment horizontal="left" vertical="top" wrapText="1"/>
    </xf>
    <xf numFmtId="167" fontId="16" fillId="0" borderId="0" xfId="11" applyNumberFormat="1" applyFont="1" applyFill="1" applyBorder="1" applyAlignment="1">
      <alignment horizontal="center" vertical="top"/>
    </xf>
    <xf numFmtId="167" fontId="16" fillId="0" borderId="0" xfId="0" applyNumberFormat="1" applyFont="1" applyFill="1" applyBorder="1" applyAlignment="1">
      <alignment horizontal="center" vertical="top"/>
    </xf>
    <xf numFmtId="0" fontId="16" fillId="0" borderId="0" xfId="0" applyFont="1" applyFill="1" applyBorder="1" applyAlignment="1">
      <alignment horizontal="left" vertical="top"/>
    </xf>
    <xf numFmtId="0" fontId="16" fillId="0" borderId="0" xfId="0" applyFont="1" applyFill="1" applyBorder="1" applyAlignment="1">
      <alignment horizontal="center" vertical="top"/>
    </xf>
    <xf numFmtId="0" fontId="16" fillId="0" borderId="1" xfId="0" applyFont="1" applyFill="1" applyBorder="1" applyAlignment="1">
      <alignment horizontal="center" vertical="top"/>
    </xf>
    <xf numFmtId="0" fontId="60" fillId="0" borderId="0" xfId="39" applyFont="1" applyBorder="1" applyAlignment="1">
      <alignment horizontal="center" vertical="center" wrapText="1"/>
    </xf>
    <xf numFmtId="0" fontId="19" fillId="0" borderId="0" xfId="0" applyFont="1" applyFill="1"/>
    <xf numFmtId="175" fontId="19" fillId="0" borderId="0" xfId="0" applyNumberFormat="1" applyFont="1" applyFill="1" applyBorder="1"/>
    <xf numFmtId="0" fontId="19" fillId="0" borderId="0" xfId="0" applyFont="1" applyFill="1" applyBorder="1"/>
    <xf numFmtId="175" fontId="18" fillId="0" borderId="0" xfId="0" applyNumberFormat="1" applyFont="1" applyFill="1" applyBorder="1" applyAlignment="1">
      <alignment horizontal="right"/>
    </xf>
    <xf numFmtId="0" fontId="117" fillId="0" borderId="0" xfId="0" applyFont="1" applyFill="1"/>
    <xf numFmtId="175" fontId="117" fillId="0" borderId="0" xfId="0" applyNumberFormat="1" applyFont="1" applyFill="1" applyBorder="1"/>
    <xf numFmtId="0" fontId="117" fillId="0" borderId="0" xfId="0" applyFont="1" applyFill="1" applyBorder="1"/>
    <xf numFmtId="0" fontId="119" fillId="0" borderId="0" xfId="0" applyFont="1" applyFill="1"/>
    <xf numFmtId="175" fontId="16" fillId="0" borderId="0" xfId="0" applyNumberFormat="1" applyFont="1" applyFill="1" applyBorder="1"/>
    <xf numFmtId="0" fontId="16" fillId="0" borderId="0" xfId="0" applyFont="1" applyFill="1" applyBorder="1"/>
    <xf numFmtId="0" fontId="119" fillId="0" borderId="0" xfId="0" applyFont="1" applyFill="1" applyAlignment="1">
      <alignment horizontal="right" wrapText="1"/>
    </xf>
    <xf numFmtId="175" fontId="13" fillId="0" borderId="0" xfId="11" applyNumberFormat="1" applyFont="1" applyFill="1" applyBorder="1" applyAlignment="1">
      <alignment horizontal="right" wrapText="1"/>
    </xf>
    <xf numFmtId="0" fontId="16" fillId="0" borderId="0" xfId="0" applyFont="1" applyFill="1" applyAlignment="1">
      <alignment vertical="center"/>
    </xf>
    <xf numFmtId="175" fontId="16" fillId="0" borderId="8" xfId="11" applyNumberFormat="1" applyFont="1" applyFill="1" applyBorder="1" applyAlignment="1">
      <alignment horizontal="right" vertical="center" wrapText="1"/>
    </xf>
    <xf numFmtId="175" fontId="16" fillId="0" borderId="0" xfId="11" applyNumberFormat="1" applyFont="1" applyFill="1" applyBorder="1" applyAlignment="1">
      <alignment horizontal="right" vertical="center" wrapText="1"/>
    </xf>
    <xf numFmtId="9" fontId="13" fillId="0" borderId="0" xfId="43" applyFont="1" applyFill="1" applyBorder="1" applyAlignment="1">
      <alignment horizontal="center" vertical="top"/>
    </xf>
    <xf numFmtId="175" fontId="13" fillId="0" borderId="0" xfId="11" applyNumberFormat="1" applyFont="1" applyBorder="1" applyAlignment="1">
      <alignment vertical="top"/>
    </xf>
    <xf numFmtId="9" fontId="16" fillId="0" borderId="0" xfId="43" applyFont="1" applyFill="1" applyBorder="1" applyAlignment="1">
      <alignment horizontal="left" vertical="top"/>
    </xf>
    <xf numFmtId="175" fontId="13" fillId="0" borderId="0" xfId="0" applyNumberFormat="1" applyFont="1" applyBorder="1" applyAlignment="1">
      <alignment vertical="top" wrapText="1"/>
    </xf>
    <xf numFmtId="0" fontId="11" fillId="0" borderId="0" xfId="0" applyFont="1" applyAlignment="1">
      <alignment horizontal="center" vertical="center"/>
    </xf>
    <xf numFmtId="175" fontId="18" fillId="0" borderId="0" xfId="0" applyNumberFormat="1" applyFont="1" applyFill="1" applyBorder="1" applyAlignment="1">
      <alignment horizontal="right" vertical="top" wrapText="1"/>
    </xf>
    <xf numFmtId="0" fontId="18" fillId="0" borderId="0" xfId="0" applyFont="1" applyAlignment="1">
      <alignment horizontal="right" vertical="top" wrapText="1"/>
    </xf>
    <xf numFmtId="175" fontId="18" fillId="0" borderId="0" xfId="0" applyNumberFormat="1" applyFont="1" applyBorder="1" applyAlignment="1">
      <alignment horizontal="right" vertical="top" wrapText="1"/>
    </xf>
    <xf numFmtId="0" fontId="19" fillId="0" borderId="0" xfId="0" applyFont="1" applyAlignment="1">
      <alignment vertical="top"/>
    </xf>
    <xf numFmtId="175" fontId="16" fillId="0" borderId="1" xfId="0" applyNumberFormat="1" applyFont="1" applyBorder="1" applyAlignment="1">
      <alignment horizontal="right" vertical="top" wrapText="1"/>
    </xf>
    <xf numFmtId="0" fontId="13" fillId="0" borderId="0" xfId="0" applyFont="1" applyFill="1" applyAlignment="1">
      <alignment horizontal="center" vertical="top"/>
    </xf>
    <xf numFmtId="0" fontId="13" fillId="0" borderId="0" xfId="0" applyFont="1" applyFill="1" applyAlignment="1">
      <alignment horizontal="right" vertical="top" wrapText="1"/>
    </xf>
    <xf numFmtId="0" fontId="16" fillId="0" borderId="0" xfId="0" applyFont="1" applyAlignment="1">
      <alignment horizontal="right"/>
    </xf>
    <xf numFmtId="0" fontId="19" fillId="0" borderId="0" xfId="0" applyFont="1" applyAlignment="1">
      <alignment horizontal="right" vertical="top"/>
    </xf>
    <xf numFmtId="0" fontId="13" fillId="0" borderId="0" xfId="0" applyNumberFormat="1" applyFont="1" applyFill="1" applyBorder="1" applyAlignment="1" applyProtection="1"/>
    <xf numFmtId="175" fontId="13" fillId="0" borderId="0" xfId="0" applyNumberFormat="1" applyFont="1" applyAlignment="1">
      <alignment horizontal="center" vertical="top"/>
    </xf>
    <xf numFmtId="14" fontId="16" fillId="0" borderId="1" xfId="0" applyNumberFormat="1" applyFont="1" applyFill="1" applyBorder="1" applyAlignment="1">
      <alignment horizontal="right" vertical="top" wrapText="1"/>
    </xf>
    <xf numFmtId="0" fontId="16" fillId="0" borderId="0" xfId="0" applyFont="1" applyBorder="1" applyAlignment="1">
      <alignment horizontal="right" vertical="top" wrapText="1"/>
    </xf>
    <xf numFmtId="175" fontId="13" fillId="0" borderId="0" xfId="0" applyNumberFormat="1" applyFont="1" applyFill="1" applyAlignment="1">
      <alignment horizontal="center" vertical="top"/>
    </xf>
    <xf numFmtId="175" fontId="13" fillId="0" borderId="0" xfId="11" applyNumberFormat="1" applyFont="1" applyFill="1" applyAlignment="1">
      <alignment horizontal="right" vertical="top"/>
    </xf>
    <xf numFmtId="175" fontId="16" fillId="0" borderId="8" xfId="11" applyNumberFormat="1" applyFont="1" applyFill="1" applyBorder="1" applyAlignment="1">
      <alignment horizontal="right" vertical="top"/>
    </xf>
    <xf numFmtId="175" fontId="16" fillId="0" borderId="0" xfId="11" applyNumberFormat="1" applyFont="1" applyAlignment="1">
      <alignment horizontal="right" vertical="top"/>
    </xf>
    <xf numFmtId="169" fontId="15" fillId="0" borderId="0" xfId="0" applyNumberFormat="1" applyFont="1" applyBorder="1" applyAlignment="1">
      <alignment horizontal="right" vertical="top"/>
    </xf>
    <xf numFmtId="175" fontId="16" fillId="0" borderId="0" xfId="12" applyNumberFormat="1" applyFont="1" applyBorder="1" applyAlignment="1">
      <alignment horizontal="right" vertical="top" wrapText="1"/>
    </xf>
    <xf numFmtId="175" fontId="16" fillId="0" borderId="0" xfId="0" applyNumberFormat="1" applyFont="1" applyAlignment="1">
      <alignment vertical="top"/>
    </xf>
    <xf numFmtId="0" fontId="59" fillId="0" borderId="0" xfId="0" applyFont="1" applyFill="1" applyBorder="1" applyAlignment="1">
      <alignment horizontal="left" vertical="top" wrapText="1"/>
    </xf>
    <xf numFmtId="41" fontId="13" fillId="0" borderId="0" xfId="553" applyNumberFormat="1" applyFont="1" applyFill="1" applyBorder="1" applyAlignment="1">
      <alignment horizontal="right" vertical="top" wrapText="1"/>
    </xf>
    <xf numFmtId="41" fontId="13" fillId="0" borderId="0" xfId="553" applyNumberFormat="1" applyFont="1" applyFill="1" applyBorder="1" applyAlignment="1">
      <alignment horizontal="right" vertical="top" wrapText="1"/>
    </xf>
    <xf numFmtId="0" fontId="59" fillId="29" borderId="0" xfId="0" applyFont="1" applyFill="1" applyBorder="1" applyAlignment="1">
      <alignment vertical="top"/>
    </xf>
    <xf numFmtId="0" fontId="60" fillId="0" borderId="0" xfId="0" applyFont="1" applyFill="1" applyBorder="1" applyAlignment="1">
      <alignment horizontal="left" vertical="top" wrapText="1"/>
    </xf>
    <xf numFmtId="0" fontId="120" fillId="0" borderId="0" xfId="0" applyFont="1" applyFill="1" applyAlignment="1">
      <alignment horizontal="justify" vertical="top" wrapText="1"/>
    </xf>
    <xf numFmtId="0" fontId="16" fillId="0" borderId="0" xfId="0" applyFont="1" applyFill="1" applyBorder="1" applyAlignment="1">
      <alignment horizontal="center" vertical="top"/>
    </xf>
    <xf numFmtId="0" fontId="131" fillId="0" borderId="0" xfId="0" applyFont="1" applyAlignment="1">
      <alignment vertical="top"/>
    </xf>
    <xf numFmtId="175" fontId="134" fillId="0" borderId="0" xfId="11" applyNumberFormat="1" applyFont="1" applyFill="1"/>
    <xf numFmtId="175" fontId="134" fillId="0" borderId="0" xfId="0" applyNumberFormat="1" applyFont="1" applyFill="1"/>
    <xf numFmtId="175" fontId="135" fillId="0" borderId="0" xfId="0" applyNumberFormat="1" applyFont="1" applyFill="1"/>
    <xf numFmtId="0" fontId="131" fillId="0" borderId="0" xfId="0" applyFont="1" applyFill="1" applyBorder="1" applyAlignment="1">
      <alignment vertical="top"/>
    </xf>
    <xf numFmtId="167" fontId="130" fillId="0" borderId="0" xfId="11" applyNumberFormat="1" applyFont="1" applyFill="1" applyBorder="1" applyAlignment="1">
      <alignment horizontal="right" vertical="top"/>
    </xf>
    <xf numFmtId="167" fontId="130" fillId="0" borderId="0" xfId="0" applyNumberFormat="1" applyFont="1" applyFill="1" applyBorder="1" applyAlignment="1">
      <alignment horizontal="right" vertical="top"/>
    </xf>
    <xf numFmtId="167" fontId="131" fillId="0" borderId="0" xfId="11" applyNumberFormat="1" applyFont="1" applyFill="1" applyBorder="1" applyAlignment="1">
      <alignment horizontal="right" vertical="top"/>
    </xf>
    <xf numFmtId="175" fontId="130" fillId="0" borderId="0" xfId="0" applyNumberFormat="1" applyFont="1" applyBorder="1" applyAlignment="1">
      <alignment vertical="top"/>
    </xf>
    <xf numFmtId="0" fontId="16" fillId="0" borderId="0" xfId="0" applyFont="1" applyFill="1" applyBorder="1" applyAlignment="1">
      <alignment horizontal="center" vertical="top"/>
    </xf>
    <xf numFmtId="0" fontId="16" fillId="0" borderId="0" xfId="0" applyFont="1" applyFill="1" applyBorder="1" applyAlignment="1">
      <alignment horizontal="center" vertical="top"/>
    </xf>
    <xf numFmtId="224" fontId="16" fillId="0" borderId="0" xfId="11" applyNumberFormat="1" applyFont="1" applyFill="1" applyAlignment="1">
      <alignment horizontal="right" vertical="top" wrapText="1"/>
    </xf>
    <xf numFmtId="167" fontId="11" fillId="0" borderId="8" xfId="11" applyNumberFormat="1" applyFont="1" applyFill="1" applyBorder="1" applyAlignment="1">
      <alignment vertical="top"/>
    </xf>
    <xf numFmtId="0" fontId="136" fillId="0" borderId="0" xfId="39" applyFont="1" applyBorder="1" applyAlignment="1"/>
    <xf numFmtId="0" fontId="137" fillId="0" borderId="0" xfId="39" applyFont="1" applyBorder="1" applyAlignment="1">
      <alignment horizontal="right"/>
    </xf>
    <xf numFmtId="175" fontId="131" fillId="0" borderId="1" xfId="13" applyNumberFormat="1" applyFont="1" applyFill="1" applyBorder="1"/>
    <xf numFmtId="175" fontId="131" fillId="0" borderId="0" xfId="13" applyNumberFormat="1" applyFont="1" applyBorder="1"/>
    <xf numFmtId="175" fontId="133" fillId="0" borderId="0" xfId="13" applyNumberFormat="1" applyFont="1" applyBorder="1"/>
    <xf numFmtId="0" fontId="130" fillId="0" borderId="0" xfId="39" applyFont="1" applyBorder="1" applyAlignment="1">
      <alignment horizontal="center" vertical="center" wrapText="1"/>
    </xf>
    <xf numFmtId="0" fontId="131" fillId="0" borderId="0" xfId="39" applyFont="1" applyBorder="1"/>
    <xf numFmtId="175" fontId="131" fillId="0" borderId="0" xfId="13" applyNumberFormat="1" applyFont="1" applyFill="1" applyBorder="1"/>
    <xf numFmtId="175" fontId="130" fillId="0" borderId="0" xfId="13" applyNumberFormat="1" applyFont="1" applyBorder="1"/>
    <xf numFmtId="0" fontId="138" fillId="0" borderId="0" xfId="39" applyFont="1" applyFill="1"/>
    <xf numFmtId="0" fontId="138" fillId="0" borderId="0" xfId="39" applyFont="1"/>
    <xf numFmtId="0" fontId="131" fillId="0" borderId="0" xfId="0" applyFont="1" applyFill="1"/>
    <xf numFmtId="175" fontId="131" fillId="0" borderId="0" xfId="11" applyNumberFormat="1" applyFont="1" applyFill="1"/>
    <xf numFmtId="0" fontId="132" fillId="0" borderId="0" xfId="0" applyFont="1" applyAlignment="1">
      <alignment horizontal="left" vertical="center" wrapText="1"/>
    </xf>
    <xf numFmtId="175" fontId="131" fillId="0" borderId="0" xfId="11" applyNumberFormat="1" applyFont="1" applyFill="1" applyAlignment="1">
      <alignment vertical="top"/>
    </xf>
    <xf numFmtId="0" fontId="131" fillId="0" borderId="0" xfId="0" applyFont="1" applyFill="1" applyAlignment="1">
      <alignment vertical="top"/>
    </xf>
    <xf numFmtId="175" fontId="130" fillId="0" borderId="0" xfId="11" applyNumberFormat="1" applyFont="1" applyFill="1" applyBorder="1" applyAlignment="1">
      <alignment vertical="top"/>
    </xf>
    <xf numFmtId="0" fontId="139" fillId="0" borderId="0" xfId="0" quotePrefix="1" applyFont="1" applyAlignment="1">
      <alignment horizontal="left" vertical="center"/>
    </xf>
    <xf numFmtId="0" fontId="132" fillId="0" borderId="0" xfId="0" applyFont="1" applyAlignment="1">
      <alignment vertical="top"/>
    </xf>
    <xf numFmtId="0" fontId="130" fillId="0" borderId="0" xfId="39" applyFont="1" applyBorder="1" applyAlignment="1">
      <alignment horizontal="center"/>
    </xf>
    <xf numFmtId="175" fontId="131" fillId="0" borderId="0" xfId="13" applyNumberFormat="1" applyFont="1" applyAlignment="1"/>
    <xf numFmtId="3" fontId="132" fillId="0" borderId="0" xfId="0" applyNumberFormat="1" applyFont="1" applyAlignment="1">
      <alignment vertical="top"/>
    </xf>
    <xf numFmtId="175" fontId="130" fillId="0" borderId="0" xfId="13" applyNumberFormat="1" applyFont="1" applyBorder="1" applyAlignment="1">
      <alignment horizontal="center"/>
    </xf>
    <xf numFmtId="175" fontId="131" fillId="0" borderId="0" xfId="0" applyNumberFormat="1" applyFont="1" applyBorder="1" applyAlignment="1">
      <alignment vertical="top"/>
    </xf>
    <xf numFmtId="0" fontId="136" fillId="0" borderId="0" xfId="39" applyFont="1" applyBorder="1" applyAlignment="1">
      <alignment horizontal="left"/>
    </xf>
    <xf numFmtId="175" fontId="137" fillId="0" borderId="0" xfId="13" applyNumberFormat="1" applyFont="1" applyBorder="1" applyAlignment="1"/>
    <xf numFmtId="175" fontId="131" fillId="0" borderId="0" xfId="14" applyNumberFormat="1" applyFont="1" applyAlignment="1"/>
    <xf numFmtId="175" fontId="131" fillId="0" borderId="0" xfId="13" applyNumberFormat="1" applyFont="1" applyBorder="1" applyAlignment="1"/>
    <xf numFmtId="175" fontId="132" fillId="0" borderId="0" xfId="0" applyNumberFormat="1" applyFont="1" applyBorder="1" applyAlignment="1">
      <alignment vertical="top"/>
    </xf>
    <xf numFmtId="0" fontId="136" fillId="0" borderId="0" xfId="39" applyFont="1" applyBorder="1" applyAlignment="1">
      <alignment horizontal="right"/>
    </xf>
    <xf numFmtId="0" fontId="131" fillId="0" borderId="1" xfId="39" applyFont="1" applyFill="1" applyBorder="1"/>
    <xf numFmtId="0" fontId="133" fillId="0" borderId="0" xfId="39" applyFont="1" applyBorder="1"/>
    <xf numFmtId="175" fontId="130" fillId="0" borderId="0" xfId="13" applyNumberFormat="1" applyFont="1" applyFill="1" applyBorder="1"/>
    <xf numFmtId="0" fontId="11" fillId="0" borderId="0" xfId="0" quotePrefix="1" applyFont="1" applyFill="1" applyBorder="1" applyAlignment="1">
      <alignment horizontal="left" vertical="top"/>
    </xf>
    <xf numFmtId="0" fontId="15" fillId="0" borderId="0" xfId="0" applyFont="1" applyBorder="1" applyAlignment="1">
      <alignment horizontal="right" vertical="top"/>
    </xf>
    <xf numFmtId="0" fontId="16" fillId="0" borderId="0" xfId="0" applyFont="1" applyAlignment="1">
      <alignment horizontal="left" vertical="top" wrapText="1"/>
    </xf>
    <xf numFmtId="0" fontId="19" fillId="0" borderId="0" xfId="0" applyFon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xf>
    <xf numFmtId="0" fontId="13" fillId="0" borderId="0" xfId="0" applyFont="1" applyBorder="1" applyAlignment="1">
      <alignment horizontal="right" vertical="top" wrapText="1"/>
    </xf>
    <xf numFmtId="0" fontId="12" fillId="0" borderId="0" xfId="0" applyFont="1" applyFill="1" applyAlignment="1">
      <alignment vertical="top"/>
    </xf>
    <xf numFmtId="0" fontId="15" fillId="0" borderId="0" xfId="0" applyFont="1" applyBorder="1" applyAlignment="1">
      <alignment horizontal="right" vertical="top"/>
    </xf>
    <xf numFmtId="0" fontId="13" fillId="0" borderId="0" xfId="0" applyFont="1" applyBorder="1" applyAlignment="1">
      <alignment horizontal="right" vertical="top" wrapText="1"/>
    </xf>
    <xf numFmtId="225" fontId="59" fillId="0" borderId="0" xfId="11" applyNumberFormat="1" applyFont="1" applyFill="1" applyBorder="1" applyAlignment="1">
      <alignment vertical="top"/>
    </xf>
    <xf numFmtId="0" fontId="16" fillId="0" borderId="0" xfId="0" applyFont="1" applyAlignment="1">
      <alignment horizontal="center" vertical="top"/>
    </xf>
    <xf numFmtId="0" fontId="16" fillId="0" borderId="0" xfId="0" applyFont="1" applyFill="1" applyBorder="1" applyAlignment="1">
      <alignment horizontal="center" vertical="top"/>
    </xf>
    <xf numFmtId="0" fontId="130" fillId="0" borderId="0" xfId="0" applyFont="1" applyFill="1" applyBorder="1" applyAlignment="1">
      <alignment horizontal="center" vertical="top"/>
    </xf>
    <xf numFmtId="0" fontId="130" fillId="0" borderId="0" xfId="0" applyFont="1" applyFill="1" applyBorder="1" applyAlignment="1">
      <alignment vertical="top"/>
    </xf>
    <xf numFmtId="0" fontId="140" fillId="0" borderId="0" xfId="0" applyFont="1" applyFill="1" applyBorder="1" applyAlignment="1">
      <alignment vertical="top"/>
    </xf>
    <xf numFmtId="0" fontId="12" fillId="0" borderId="0" xfId="0" applyFont="1" applyAlignment="1">
      <alignment horizontal="center" vertical="center" wrapText="1"/>
    </xf>
    <xf numFmtId="0" fontId="13" fillId="0" borderId="0" xfId="0" applyFont="1" applyAlignment="1">
      <alignment horizontal="center" vertical="center" wrapText="1"/>
    </xf>
    <xf numFmtId="14" fontId="16" fillId="0" borderId="0" xfId="11" quotePrefix="1" applyNumberFormat="1" applyFont="1" applyFill="1" applyBorder="1" applyAlignment="1">
      <alignment horizontal="right" vertical="top" wrapText="1"/>
    </xf>
    <xf numFmtId="14" fontId="16" fillId="0" borderId="0" xfId="11" quotePrefix="1" applyNumberFormat="1" applyFont="1" applyFill="1" applyBorder="1" applyAlignment="1">
      <alignment horizontal="right" vertical="top"/>
    </xf>
    <xf numFmtId="14" fontId="16" fillId="0" borderId="1" xfId="11" quotePrefix="1" applyNumberFormat="1" applyFont="1" applyFill="1" applyBorder="1" applyAlignment="1">
      <alignment horizontal="right" vertical="top" wrapText="1"/>
    </xf>
    <xf numFmtId="175" fontId="138" fillId="0" borderId="0" xfId="39" applyNumberFormat="1" applyFont="1" applyFill="1"/>
    <xf numFmtId="0" fontId="18" fillId="0" borderId="0" xfId="0" applyFont="1" applyBorder="1" applyAlignment="1">
      <alignment horizontal="left" vertical="top"/>
    </xf>
    <xf numFmtId="0" fontId="16" fillId="0" borderId="0" xfId="0" applyFont="1" applyFill="1" applyBorder="1" applyAlignment="1">
      <alignment horizontal="center" vertical="top"/>
    </xf>
    <xf numFmtId="0" fontId="16" fillId="0" borderId="0" xfId="0" applyFont="1" applyFill="1" applyBorder="1" applyAlignment="1">
      <alignment horizontal="center" vertical="top"/>
    </xf>
    <xf numFmtId="0" fontId="12" fillId="0" borderId="0" xfId="0" applyFont="1" applyFill="1"/>
    <xf numFmtId="167" fontId="11" fillId="0" borderId="0" xfId="0" applyNumberFormat="1" applyFont="1" applyFill="1" applyAlignment="1">
      <alignment vertical="top"/>
    </xf>
    <xf numFmtId="167" fontId="11" fillId="0" borderId="0" xfId="11" quotePrefix="1" applyNumberFormat="1" applyFont="1" applyFill="1" applyBorder="1" applyAlignment="1">
      <alignment horizontal="right" vertical="top" wrapText="1"/>
    </xf>
    <xf numFmtId="167" fontId="11" fillId="0" borderId="0" xfId="0" applyNumberFormat="1" applyFont="1" applyFill="1" applyAlignment="1">
      <alignment vertical="top" wrapText="1"/>
    </xf>
    <xf numFmtId="0" fontId="16" fillId="0" borderId="0" xfId="0" applyFont="1" applyFill="1" applyBorder="1" applyAlignment="1">
      <alignment horizontal="center" vertical="top"/>
    </xf>
    <xf numFmtId="14" fontId="16" fillId="0" borderId="1" xfId="11" quotePrefix="1" applyNumberFormat="1" applyFont="1" applyFill="1" applyBorder="1" applyAlignment="1">
      <alignment horizontal="right" vertical="top"/>
    </xf>
    <xf numFmtId="0" fontId="119" fillId="0" borderId="0" xfId="0" applyFont="1" applyFill="1" applyAlignment="1">
      <alignment vertical="top" wrapText="1"/>
    </xf>
    <xf numFmtId="14" fontId="16" fillId="0" borderId="1" xfId="11" quotePrefix="1" applyNumberFormat="1" applyFont="1" applyFill="1" applyBorder="1" applyAlignment="1">
      <alignment horizontal="center" vertical="top"/>
    </xf>
    <xf numFmtId="0" fontId="16" fillId="0" borderId="0" xfId="0" applyFont="1" applyFill="1" applyBorder="1" applyAlignment="1">
      <alignment horizontal="center" vertical="top"/>
    </xf>
    <xf numFmtId="0" fontId="17" fillId="0" borderId="4" xfId="546" applyFont="1" applyBorder="1" applyAlignment="1">
      <alignment horizontal="center" vertical="center" wrapText="1"/>
    </xf>
    <xf numFmtId="0" fontId="17" fillId="0" borderId="11" xfId="546" applyFont="1" applyBorder="1" applyAlignment="1">
      <alignment horizontal="center" vertical="center"/>
    </xf>
    <xf numFmtId="0" fontId="17" fillId="0" borderId="4" xfId="546" applyFont="1" applyBorder="1" applyAlignment="1">
      <alignment horizontal="center" vertical="center"/>
    </xf>
    <xf numFmtId="0" fontId="17" fillId="0" borderId="10" xfId="546" applyFont="1" applyBorder="1" applyAlignment="1">
      <alignment horizontal="center"/>
    </xf>
    <xf numFmtId="0" fontId="58" fillId="0" borderId="0" xfId="546" applyFont="1" applyAlignment="1">
      <alignment horizontal="center"/>
    </xf>
    <xf numFmtId="0" fontId="17" fillId="0" borderId="25" xfId="546" applyFont="1" applyBorder="1" applyAlignment="1">
      <alignment horizontal="center" vertical="center" wrapText="1"/>
    </xf>
    <xf numFmtId="0" fontId="17" fillId="0" borderId="18" xfId="546" applyFont="1" applyBorder="1" applyAlignment="1">
      <alignment horizontal="center" vertical="center" wrapText="1"/>
    </xf>
    <xf numFmtId="0" fontId="17" fillId="0" borderId="25" xfId="546" applyFont="1" applyBorder="1" applyAlignment="1">
      <alignment horizontal="center" vertical="center"/>
    </xf>
    <xf numFmtId="0" fontId="17" fillId="0" borderId="18" xfId="546" applyFont="1" applyBorder="1" applyAlignment="1">
      <alignment horizontal="center" vertical="center"/>
    </xf>
    <xf numFmtId="168" fontId="16" fillId="0" borderId="10" xfId="82" applyFont="1" applyBorder="1" applyAlignment="1">
      <alignment horizontal="center"/>
    </xf>
    <xf numFmtId="0" fontId="16" fillId="0" borderId="10" xfId="81" applyFont="1" applyBorder="1" applyAlignment="1">
      <alignment horizontal="center" vertical="top"/>
    </xf>
    <xf numFmtId="0" fontId="16" fillId="0" borderId="4" xfId="81" applyFont="1" applyBorder="1" applyAlignment="1">
      <alignment horizontal="center" vertical="center" wrapText="1"/>
    </xf>
    <xf numFmtId="0" fontId="16" fillId="0" borderId="11" xfId="81" applyFont="1" applyBorder="1" applyAlignment="1">
      <alignment horizontal="center" vertical="center" wrapText="1"/>
    </xf>
    <xf numFmtId="0" fontId="58" fillId="0" borderId="0" xfId="81" applyFont="1" applyAlignment="1">
      <alignment horizontal="center"/>
    </xf>
    <xf numFmtId="0" fontId="16" fillId="0" borderId="4" xfId="81" applyFont="1" applyBorder="1" applyAlignment="1">
      <alignment horizontal="center" vertical="center"/>
    </xf>
    <xf numFmtId="0" fontId="16" fillId="0" borderId="11" xfId="81" applyFont="1" applyBorder="1" applyAlignment="1">
      <alignment horizontal="center" vertical="center"/>
    </xf>
    <xf numFmtId="175" fontId="11" fillId="0" borderId="0" xfId="0" applyNumberFormat="1" applyFont="1" applyAlignment="1">
      <alignment horizontal="right" vertical="top"/>
    </xf>
    <xf numFmtId="175" fontId="17" fillId="0" borderId="0" xfId="0" applyNumberFormat="1" applyFont="1" applyAlignment="1">
      <alignment horizontal="center" vertical="top"/>
    </xf>
    <xf numFmtId="0" fontId="15" fillId="0" borderId="0" xfId="0" applyFont="1" applyBorder="1" applyAlignment="1">
      <alignment horizontal="right" vertical="top"/>
    </xf>
    <xf numFmtId="0" fontId="23" fillId="0" borderId="0" xfId="0" applyFont="1" applyBorder="1" applyAlignment="1">
      <alignment horizontal="center" vertical="top" wrapText="1"/>
    </xf>
    <xf numFmtId="0" fontId="23" fillId="0" borderId="1" xfId="0" applyFont="1" applyBorder="1" applyAlignment="1">
      <alignment horizontal="center" vertical="top" wrapText="1"/>
    </xf>
    <xf numFmtId="176" fontId="16" fillId="0" borderId="0" xfId="0" quotePrefix="1" applyNumberFormat="1" applyFont="1" applyBorder="1" applyAlignment="1">
      <alignment horizontal="right" vertical="top"/>
    </xf>
    <xf numFmtId="176" fontId="16" fillId="0" borderId="1" xfId="0" quotePrefix="1" applyNumberFormat="1" applyFont="1" applyBorder="1" applyAlignment="1">
      <alignment horizontal="right" vertical="top"/>
    </xf>
    <xf numFmtId="175" fontId="16" fillId="0" borderId="0" xfId="0" quotePrefix="1" applyNumberFormat="1" applyFont="1" applyBorder="1" applyAlignment="1">
      <alignment horizontal="right" vertical="top"/>
    </xf>
    <xf numFmtId="175" fontId="16" fillId="0" borderId="1" xfId="0" quotePrefix="1" applyNumberFormat="1" applyFont="1" applyBorder="1" applyAlignment="1">
      <alignment horizontal="right" vertical="top"/>
    </xf>
    <xf numFmtId="0" fontId="23" fillId="0" borderId="0" xfId="0" applyFont="1" applyBorder="1" applyAlignment="1">
      <alignment horizontal="left" vertical="top"/>
    </xf>
    <xf numFmtId="0" fontId="23" fillId="0" borderId="1" xfId="0" applyFont="1" applyBorder="1" applyAlignment="1">
      <alignment horizontal="left" vertical="top"/>
    </xf>
    <xf numFmtId="0" fontId="23" fillId="0" borderId="0" xfId="0" applyFont="1" applyBorder="1" applyAlignment="1">
      <alignment horizontal="center" vertical="top"/>
    </xf>
    <xf numFmtId="0" fontId="23" fillId="0" borderId="1" xfId="0" applyFont="1" applyBorder="1" applyAlignment="1">
      <alignment horizontal="center" vertical="top"/>
    </xf>
    <xf numFmtId="175" fontId="19" fillId="0" borderId="0" xfId="0" quotePrefix="1" applyNumberFormat="1" applyFont="1" applyFill="1" applyAlignment="1">
      <alignment horizontal="center"/>
    </xf>
    <xf numFmtId="175" fontId="18" fillId="0" borderId="0" xfId="0" quotePrefix="1" applyNumberFormat="1" applyFont="1" applyFill="1" applyAlignment="1">
      <alignment horizontal="center"/>
    </xf>
    <xf numFmtId="0" fontId="16" fillId="0" borderId="0" xfId="0" applyFont="1" applyAlignment="1">
      <alignment horizontal="left" vertical="top" wrapText="1"/>
    </xf>
    <xf numFmtId="175" fontId="16" fillId="0" borderId="0" xfId="0" applyNumberFormat="1" applyFont="1" applyAlignment="1">
      <alignment horizontal="center" vertical="top" wrapText="1"/>
    </xf>
    <xf numFmtId="14" fontId="16" fillId="0" borderId="0" xfId="0" quotePrefix="1" applyNumberFormat="1" applyFont="1" applyBorder="1" applyAlignment="1">
      <alignment horizontal="right" vertical="top"/>
    </xf>
    <xf numFmtId="14" fontId="16" fillId="0" borderId="1" xfId="0" quotePrefix="1" applyNumberFormat="1" applyFont="1" applyBorder="1" applyAlignment="1">
      <alignment horizontal="right" vertical="top"/>
    </xf>
    <xf numFmtId="175" fontId="16" fillId="0" borderId="0" xfId="0" applyNumberFormat="1" applyFont="1" applyAlignment="1">
      <alignment horizontal="center" vertical="top"/>
    </xf>
    <xf numFmtId="0" fontId="23" fillId="0" borderId="0" xfId="0" applyFont="1" applyBorder="1" applyAlignment="1">
      <alignment horizontal="left" vertical="top" wrapText="1"/>
    </xf>
    <xf numFmtId="0" fontId="23" fillId="0" borderId="1" xfId="0" applyFont="1" applyBorder="1" applyAlignment="1">
      <alignment horizontal="left" vertical="top" wrapText="1"/>
    </xf>
    <xf numFmtId="0" fontId="13" fillId="0" borderId="0" xfId="0" applyFont="1" applyBorder="1" applyAlignment="1">
      <alignment horizontal="right" vertical="top"/>
    </xf>
    <xf numFmtId="0" fontId="17" fillId="0" borderId="0" xfId="0" applyFont="1" applyAlignment="1">
      <alignment horizontal="center" vertical="top"/>
    </xf>
    <xf numFmtId="0" fontId="19" fillId="0" borderId="0" xfId="0" applyFont="1" applyAlignment="1">
      <alignment horizontal="center" vertical="top"/>
    </xf>
    <xf numFmtId="0" fontId="16" fillId="0" borderId="0"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25"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center" vertical="top"/>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0" xfId="0" applyFont="1" applyAlignment="1">
      <alignment horizontal="right" vertical="top"/>
    </xf>
    <xf numFmtId="0" fontId="15" fillId="0" borderId="0" xfId="0" applyFont="1" applyAlignment="1">
      <alignment horizontal="right" vertical="top"/>
    </xf>
    <xf numFmtId="0" fontId="16" fillId="0" borderId="0" xfId="0" applyFont="1" applyFill="1" applyBorder="1" applyAlignment="1">
      <alignment horizontal="right" vertical="top"/>
    </xf>
    <xf numFmtId="0" fontId="19" fillId="0" borderId="0" xfId="0" applyFont="1" applyFill="1" applyAlignment="1">
      <alignment horizontal="center" vertical="top"/>
    </xf>
    <xf numFmtId="0" fontId="14" fillId="0" borderId="0" xfId="0" quotePrefix="1" applyFont="1" applyBorder="1" applyAlignment="1">
      <alignment horizontal="left" vertical="top" wrapText="1"/>
    </xf>
    <xf numFmtId="0" fontId="23" fillId="0" borderId="0" xfId="0" applyFont="1" applyBorder="1" applyAlignment="1">
      <alignment horizontal="left" vertical="center"/>
    </xf>
    <xf numFmtId="0" fontId="23" fillId="0" borderId="1" xfId="0" applyFont="1" applyBorder="1" applyAlignment="1">
      <alignment horizontal="left" vertical="center"/>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0" xfId="0" applyFont="1" applyBorder="1" applyAlignment="1">
      <alignment horizontal="right" vertical="top" wrapText="1"/>
    </xf>
    <xf numFmtId="0" fontId="13" fillId="0" borderId="0" xfId="0" applyFont="1" applyFill="1" applyBorder="1" applyAlignment="1">
      <alignment horizontal="justify" vertical="top" wrapText="1"/>
    </xf>
    <xf numFmtId="0" fontId="131" fillId="0" borderId="0" xfId="0" applyFont="1" applyFill="1" applyBorder="1" applyAlignment="1">
      <alignment horizontal="justify" vertical="top" wrapText="1"/>
    </xf>
    <xf numFmtId="0" fontId="141" fillId="0" borderId="0" xfId="0" applyFont="1" applyFill="1" applyAlignment="1">
      <alignment horizontal="justify" vertical="top" wrapText="1"/>
    </xf>
    <xf numFmtId="0" fontId="1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center" wrapText="1"/>
    </xf>
    <xf numFmtId="0" fontId="16" fillId="0" borderId="1" xfId="0" applyFont="1" applyFill="1" applyBorder="1" applyAlignment="1">
      <alignment horizontal="center" vertical="top" wrapText="1"/>
    </xf>
    <xf numFmtId="0" fontId="13"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applyFill="1" applyAlignment="1">
      <alignment horizontal="left" vertical="top" wrapText="1"/>
    </xf>
    <xf numFmtId="0" fontId="11" fillId="0" borderId="0" xfId="0" applyFont="1" applyFill="1" applyBorder="1" applyAlignment="1">
      <alignment horizontal="left" vertical="top"/>
    </xf>
    <xf numFmtId="0" fontId="12" fillId="0" borderId="0" xfId="0" applyFont="1" applyFill="1" applyAlignment="1">
      <alignment vertical="top"/>
    </xf>
    <xf numFmtId="167" fontId="15" fillId="0" borderId="1" xfId="0" applyNumberFormat="1" applyFont="1" applyFill="1" applyBorder="1" applyAlignment="1">
      <alignment horizontal="right" vertical="top"/>
    </xf>
    <xf numFmtId="0" fontId="1" fillId="0" borderId="0" xfId="0" applyFont="1" applyFill="1" applyAlignment="1">
      <alignment horizontal="left" vertical="top" wrapText="1"/>
    </xf>
    <xf numFmtId="0" fontId="16" fillId="0" borderId="0" xfId="0" applyFont="1" applyBorder="1" applyAlignment="1">
      <alignment horizontal="center" vertical="top" wrapText="1"/>
    </xf>
    <xf numFmtId="0" fontId="16" fillId="0" borderId="1" xfId="0" applyFont="1" applyBorder="1" applyAlignment="1">
      <alignment horizontal="center" vertical="top" wrapText="1"/>
    </xf>
    <xf numFmtId="175" fontId="16" fillId="0" borderId="0" xfId="11" applyNumberFormat="1" applyFont="1" applyBorder="1" applyAlignment="1">
      <alignment horizontal="center" vertical="top" wrapText="1"/>
    </xf>
    <xf numFmtId="175" fontId="16" fillId="0" borderId="1" xfId="11" applyNumberFormat="1" applyFont="1" applyBorder="1" applyAlignment="1">
      <alignment horizontal="center" vertical="top" wrapText="1"/>
    </xf>
    <xf numFmtId="0" fontId="16" fillId="0" borderId="0" xfId="0" applyFont="1" applyFill="1" applyBorder="1" applyAlignment="1">
      <alignment horizontal="center" vertical="top"/>
    </xf>
    <xf numFmtId="0" fontId="16" fillId="0" borderId="1" xfId="0" applyFont="1" applyFill="1" applyBorder="1" applyAlignment="1">
      <alignment horizontal="center" vertical="top"/>
    </xf>
    <xf numFmtId="167" fontId="16" fillId="0" borderId="0" xfId="11" applyNumberFormat="1" applyFont="1" applyFill="1" applyBorder="1" applyAlignment="1">
      <alignment horizontal="center" vertical="top"/>
    </xf>
    <xf numFmtId="167" fontId="16" fillId="0" borderId="0" xfId="0" applyNumberFormat="1" applyFont="1" applyFill="1" applyBorder="1" applyAlignment="1">
      <alignment horizontal="center" vertical="top"/>
    </xf>
    <xf numFmtId="0" fontId="18" fillId="0" borderId="0" xfId="40" applyFont="1" applyFill="1" applyAlignment="1">
      <alignment horizontal="right" vertical="top"/>
    </xf>
    <xf numFmtId="0" fontId="16" fillId="0" borderId="0" xfId="40" applyFont="1" applyFill="1" applyAlignment="1">
      <alignment horizontal="left" vertical="top"/>
    </xf>
    <xf numFmtId="0" fontId="16" fillId="0" borderId="0" xfId="0" applyFont="1" applyFill="1" applyBorder="1" applyAlignment="1">
      <alignment horizontal="left" vertical="top"/>
    </xf>
    <xf numFmtId="0" fontId="13" fillId="0" borderId="0" xfId="0" applyFont="1" applyFill="1" applyAlignment="1">
      <alignment horizontal="justify" vertical="top" wrapText="1"/>
    </xf>
    <xf numFmtId="0" fontId="1" fillId="0" borderId="0" xfId="0" applyFont="1" applyFill="1" applyAlignment="1">
      <alignment horizontal="justify" vertical="top" wrapText="1"/>
    </xf>
    <xf numFmtId="0" fontId="16" fillId="0" borderId="0" xfId="0" applyFont="1" applyAlignment="1">
      <alignment horizontal="left" wrapText="1"/>
    </xf>
    <xf numFmtId="0" fontId="16" fillId="8" borderId="0" xfId="0" applyFont="1" applyFill="1" applyBorder="1" applyAlignment="1">
      <alignment horizontal="center"/>
    </xf>
    <xf numFmtId="0" fontId="16" fillId="0" borderId="9" xfId="39" applyFont="1" applyBorder="1" applyAlignment="1">
      <alignment horizontal="right"/>
    </xf>
    <xf numFmtId="0" fontId="17" fillId="0" borderId="0" xfId="39" applyFont="1" applyBorder="1" applyAlignment="1">
      <alignment horizontal="center"/>
    </xf>
    <xf numFmtId="0" fontId="16" fillId="0" borderId="0" xfId="39" applyFont="1" applyBorder="1" applyAlignment="1">
      <alignment horizontal="center"/>
    </xf>
    <xf numFmtId="0" fontId="18" fillId="0" borderId="0" xfId="39" applyFont="1" applyBorder="1" applyAlignment="1">
      <alignment horizontal="center"/>
    </xf>
    <xf numFmtId="0" fontId="127" fillId="0" borderId="0" xfId="0" applyFont="1" applyAlignment="1">
      <alignment horizontal="left" vertical="center" wrapText="1"/>
    </xf>
    <xf numFmtId="0" fontId="123" fillId="0" borderId="0" xfId="39" applyFont="1" applyAlignment="1">
      <alignment horizontal="left" vertical="top" wrapText="1"/>
    </xf>
    <xf numFmtId="0" fontId="128" fillId="0" borderId="0" xfId="0" quotePrefix="1" applyFont="1" applyAlignment="1">
      <alignment horizontal="justify" vertical="top" wrapText="1"/>
    </xf>
    <xf numFmtId="0" fontId="24" fillId="0" borderId="0" xfId="0" applyFont="1" applyAlignment="1">
      <alignment horizontal="justify" vertical="top" wrapText="1"/>
    </xf>
    <xf numFmtId="0" fontId="129" fillId="0" borderId="0" xfId="0" applyFont="1" applyAlignment="1">
      <alignment horizontal="justify" vertical="top" wrapText="1"/>
    </xf>
  </cellXfs>
  <cellStyles count="599">
    <cellStyle name="_x0001_" xfId="83"/>
    <cellStyle name="??" xfId="1"/>
    <cellStyle name="?? [0.00]_ Att. 1- Cover" xfId="84"/>
    <cellStyle name="?? [0]" xfId="85"/>
    <cellStyle name="???? [0.00]_      " xfId="86"/>
    <cellStyle name="????_      " xfId="87"/>
    <cellStyle name="???[0]_00Q3902REV.1" xfId="88"/>
    <cellStyle name="???_???" xfId="89"/>
    <cellStyle name="??[0]_BRE" xfId="90"/>
    <cellStyle name="??_      " xfId="91"/>
    <cellStyle name="_Bang TH chung" xfId="92"/>
    <cellStyle name="_Book1" xfId="93"/>
    <cellStyle name="_Book1_1" xfId="94"/>
    <cellStyle name="_Book1_2" xfId="95"/>
    <cellStyle name="_Book1_BC-QT-WB-dthao" xfId="96"/>
    <cellStyle name="_Book1_Book1" xfId="97"/>
    <cellStyle name="_Book1_Dien nuoc 01-04-08 ca VT" xfId="98"/>
    <cellStyle name="_Book1_VB phap luat-08-03" xfId="99"/>
    <cellStyle name="_Dien nuoc 01-04-08 ca VT" xfId="100"/>
    <cellStyle name="_Gia du thau phan than- cac nha thau" xfId="101"/>
    <cellStyle name="_KL- KCthan" xfId="102"/>
    <cellStyle name="_KT (2)" xfId="103"/>
    <cellStyle name="_KT (2)_1" xfId="104"/>
    <cellStyle name="_KT (2)_1_Lora-tungchau" xfId="105"/>
    <cellStyle name="_KT (2)_1_Qt-HT3PQ1(CauKho)" xfId="106"/>
    <cellStyle name="_KT (2)_2" xfId="107"/>
    <cellStyle name="_KT (2)_2_TG-TH" xfId="108"/>
    <cellStyle name="_KT (2)_2_TG-TH 2" xfId="557"/>
    <cellStyle name="_KT (2)_2_TG-TH_bang gia ap dung 2005" xfId="109"/>
    <cellStyle name="_KT (2)_2_TG-TH_BAO CAO KLCT PT2000" xfId="110"/>
    <cellStyle name="_KT (2)_2_TG-TH_BAO CAO PT2000" xfId="111"/>
    <cellStyle name="_KT (2)_2_TG-TH_BAO CAO PT2000_Book1" xfId="112"/>
    <cellStyle name="_KT (2)_2_TG-TH_Bao cao XDCB 2001 - T11 KH dieu chinh 20-11-THAI" xfId="113"/>
    <cellStyle name="_KT (2)_2_TG-TH_bg-TTO-051104" xfId="114"/>
    <cellStyle name="_KT (2)_2_TG-TH_Book1" xfId="115"/>
    <cellStyle name="_KT (2)_2_TG-TH_Book1_1" xfId="116"/>
    <cellStyle name="_KT (2)_2_TG-TH_Book1_2" xfId="117"/>
    <cellStyle name="_KT (2)_2_TG-TH_Book1_3" xfId="118"/>
    <cellStyle name="_KT (2)_2_TG-TH_Book1_3 2" xfId="558"/>
    <cellStyle name="_KT (2)_2_TG-TH_Book1_3_Book1" xfId="119"/>
    <cellStyle name="_KT (2)_2_TG-TH_Book1_bang gia ap dung 2005" xfId="120"/>
    <cellStyle name="_KT (2)_2_TG-TH_Book1_bg-TTO-051104" xfId="121"/>
    <cellStyle name="_KT (2)_2_TG-TH_Book1_Book1" xfId="122"/>
    <cellStyle name="_KT (2)_2_TG-TH_DTCDT MR.2N110.HOCMON.TDTOAN.CCUNG" xfId="123"/>
    <cellStyle name="_KT (2)_2_TG-TH_Lora-tungchau" xfId="124"/>
    <cellStyle name="_KT (2)_2_TG-TH_PGIA-phieu tham tra Kho bac" xfId="125"/>
    <cellStyle name="_KT (2)_2_TG-TH_PT02-02" xfId="126"/>
    <cellStyle name="_KT (2)_2_TG-TH_PT02-02_Book1" xfId="127"/>
    <cellStyle name="_KT (2)_2_TG-TH_PT02-03" xfId="128"/>
    <cellStyle name="_KT (2)_2_TG-TH_PT02-03_Book1" xfId="129"/>
    <cellStyle name="_KT (2)_2_TG-TH_Qt-HT3PQ1(CauKho)" xfId="130"/>
    <cellStyle name="_KT (2)_3" xfId="131"/>
    <cellStyle name="_KT (2)_3_TG-TH" xfId="132"/>
    <cellStyle name="_KT (2)_3_TG-TH_Book1" xfId="133"/>
    <cellStyle name="_KT (2)_3_TG-TH_Book1_BC-QT-WB-dthao" xfId="134"/>
    <cellStyle name="_KT (2)_3_TG-TH_Lora-tungchau" xfId="135"/>
    <cellStyle name="_KT (2)_3_TG-TH_PERSONAL" xfId="136"/>
    <cellStyle name="_KT (2)_3_TG-TH_PERSONAL_bang gia ap dung 2005" xfId="137"/>
    <cellStyle name="_KT (2)_3_TG-TH_PERSONAL_bg-TTO-051104" xfId="138"/>
    <cellStyle name="_KT (2)_3_TG-TH_PERSONAL_Book1" xfId="139"/>
    <cellStyle name="_KT (2)_3_TG-TH_PERSONAL_Book1_bang gia ap dung 2005" xfId="140"/>
    <cellStyle name="_KT (2)_3_TG-TH_PERSONAL_Book1_bg-TTO-051104" xfId="141"/>
    <cellStyle name="_KT (2)_3_TG-TH_PERSONAL_HTQ.8 GD1" xfId="142"/>
    <cellStyle name="_KT (2)_3_TG-TH_PERSONAL_Tong hop KHCB 2001" xfId="143"/>
    <cellStyle name="_KT (2)_3_TG-TH_Qt-HT3PQ1(CauKho)" xfId="144"/>
    <cellStyle name="_KT (2)_4" xfId="145"/>
    <cellStyle name="_KT (2)_4 2" xfId="559"/>
    <cellStyle name="_KT (2)_4_bang gia ap dung 2005" xfId="146"/>
    <cellStyle name="_KT (2)_4_BAO CAO KLCT PT2000" xfId="147"/>
    <cellStyle name="_KT (2)_4_BAO CAO PT2000" xfId="148"/>
    <cellStyle name="_KT (2)_4_BAO CAO PT2000_Book1" xfId="149"/>
    <cellStyle name="_KT (2)_4_Bao cao XDCB 2001 - T11 KH dieu chinh 20-11-THAI" xfId="150"/>
    <cellStyle name="_KT (2)_4_bg-TTO-051104" xfId="151"/>
    <cellStyle name="_KT (2)_4_Book1" xfId="152"/>
    <cellStyle name="_KT (2)_4_Book1_1" xfId="153"/>
    <cellStyle name="_KT (2)_4_Book1_2" xfId="154"/>
    <cellStyle name="_KT (2)_4_Book1_3" xfId="155"/>
    <cellStyle name="_KT (2)_4_Book1_3 2" xfId="560"/>
    <cellStyle name="_KT (2)_4_Book1_3_Book1" xfId="156"/>
    <cellStyle name="_KT (2)_4_Book1_bang gia ap dung 2005" xfId="157"/>
    <cellStyle name="_KT (2)_4_Book1_bg-TTO-051104" xfId="158"/>
    <cellStyle name="_KT (2)_4_Book1_Book1" xfId="159"/>
    <cellStyle name="_KT (2)_4_DTCDT MR.2N110.HOCMON.TDTOAN.CCUNG" xfId="160"/>
    <cellStyle name="_KT (2)_4_Lora-tungchau" xfId="161"/>
    <cellStyle name="_KT (2)_4_PGIA-phieu tham tra Kho bac" xfId="162"/>
    <cellStyle name="_KT (2)_4_PT02-02" xfId="163"/>
    <cellStyle name="_KT (2)_4_PT02-02_Book1" xfId="164"/>
    <cellStyle name="_KT (2)_4_PT02-03" xfId="165"/>
    <cellStyle name="_KT (2)_4_PT02-03_Book1" xfId="166"/>
    <cellStyle name="_KT (2)_4_Qt-HT3PQ1(CauKho)" xfId="167"/>
    <cellStyle name="_KT (2)_4_TG-TH" xfId="168"/>
    <cellStyle name="_KT (2)_5" xfId="169"/>
    <cellStyle name="_KT (2)_5 2" xfId="561"/>
    <cellStyle name="_KT (2)_5_bang gia ap dung 2005" xfId="170"/>
    <cellStyle name="_KT (2)_5_BAO CAO KLCT PT2000" xfId="171"/>
    <cellStyle name="_KT (2)_5_BAO CAO PT2000" xfId="172"/>
    <cellStyle name="_KT (2)_5_BAO CAO PT2000_Book1" xfId="173"/>
    <cellStyle name="_KT (2)_5_Bao cao XDCB 2001 - T11 KH dieu chinh 20-11-THAI" xfId="174"/>
    <cellStyle name="_KT (2)_5_bg-TTO-051104" xfId="175"/>
    <cellStyle name="_KT (2)_5_Book1" xfId="176"/>
    <cellStyle name="_KT (2)_5_Book1_1" xfId="177"/>
    <cellStyle name="_KT (2)_5_Book1_2" xfId="178"/>
    <cellStyle name="_KT (2)_5_Book1_3" xfId="179"/>
    <cellStyle name="_KT (2)_5_Book1_3 2" xfId="562"/>
    <cellStyle name="_KT (2)_5_Book1_3_Book1" xfId="180"/>
    <cellStyle name="_KT (2)_5_Book1_bang gia ap dung 2005" xfId="181"/>
    <cellStyle name="_KT (2)_5_Book1_BC-QT-WB-dthao" xfId="182"/>
    <cellStyle name="_KT (2)_5_Book1_bg-TTO-051104" xfId="183"/>
    <cellStyle name="_KT (2)_5_Book1_Book1" xfId="184"/>
    <cellStyle name="_KT (2)_5_DTCDT MR.2N110.HOCMON.TDTOAN.CCUNG" xfId="185"/>
    <cellStyle name="_KT (2)_5_Lora-tungchau" xfId="186"/>
    <cellStyle name="_KT (2)_5_PGIA-phieu tham tra Kho bac" xfId="187"/>
    <cellStyle name="_KT (2)_5_PT02-02" xfId="188"/>
    <cellStyle name="_KT (2)_5_PT02-02_Book1" xfId="189"/>
    <cellStyle name="_KT (2)_5_PT02-03" xfId="190"/>
    <cellStyle name="_KT (2)_5_PT02-03_Book1" xfId="191"/>
    <cellStyle name="_KT (2)_5_Qt-HT3PQ1(CauKho)" xfId="192"/>
    <cellStyle name="_KT (2)_Book1" xfId="193"/>
    <cellStyle name="_KT (2)_Book1_BC-QT-WB-dthao" xfId="194"/>
    <cellStyle name="_KT (2)_Lora-tungchau" xfId="195"/>
    <cellStyle name="_KT (2)_PERSONAL" xfId="196"/>
    <cellStyle name="_KT (2)_PERSONAL_bang gia ap dung 2005" xfId="197"/>
    <cellStyle name="_KT (2)_PERSONAL_bg-TTO-051104" xfId="198"/>
    <cellStyle name="_KT (2)_PERSONAL_Book1" xfId="199"/>
    <cellStyle name="_KT (2)_PERSONAL_Book1_bang gia ap dung 2005" xfId="200"/>
    <cellStyle name="_KT (2)_PERSONAL_Book1_bg-TTO-051104" xfId="201"/>
    <cellStyle name="_KT (2)_PERSONAL_HTQ.8 GD1" xfId="202"/>
    <cellStyle name="_KT (2)_PERSONAL_Tong hop KHCB 2001" xfId="203"/>
    <cellStyle name="_KT (2)_Qt-HT3PQ1(CauKho)" xfId="204"/>
    <cellStyle name="_KT (2)_TG-TH" xfId="205"/>
    <cellStyle name="_KT_TG" xfId="206"/>
    <cellStyle name="_KT_TG_1" xfId="207"/>
    <cellStyle name="_KT_TG_1 2" xfId="563"/>
    <cellStyle name="_KT_TG_1_bang gia ap dung 2005" xfId="208"/>
    <cellStyle name="_KT_TG_1_BAO CAO KLCT PT2000" xfId="209"/>
    <cellStyle name="_KT_TG_1_BAO CAO PT2000" xfId="210"/>
    <cellStyle name="_KT_TG_1_BAO CAO PT2000_Book1" xfId="211"/>
    <cellStyle name="_KT_TG_1_Bao cao XDCB 2001 - T11 KH dieu chinh 20-11-THAI" xfId="212"/>
    <cellStyle name="_KT_TG_1_bg-TTO-051104" xfId="213"/>
    <cellStyle name="_KT_TG_1_Book1" xfId="214"/>
    <cellStyle name="_KT_TG_1_Book1_1" xfId="215"/>
    <cellStyle name="_KT_TG_1_Book1_2" xfId="216"/>
    <cellStyle name="_KT_TG_1_Book1_3" xfId="217"/>
    <cellStyle name="_KT_TG_1_Book1_3 2" xfId="564"/>
    <cellStyle name="_KT_TG_1_Book1_3_Book1" xfId="218"/>
    <cellStyle name="_KT_TG_1_Book1_bang gia ap dung 2005" xfId="219"/>
    <cellStyle name="_KT_TG_1_Book1_BC-QT-WB-dthao" xfId="220"/>
    <cellStyle name="_KT_TG_1_Book1_bg-TTO-051104" xfId="221"/>
    <cellStyle name="_KT_TG_1_Book1_Book1" xfId="222"/>
    <cellStyle name="_KT_TG_1_DTCDT MR.2N110.HOCMON.TDTOAN.CCUNG" xfId="223"/>
    <cellStyle name="_KT_TG_1_Lora-tungchau" xfId="224"/>
    <cellStyle name="_KT_TG_1_PGIA-phieu tham tra Kho bac" xfId="225"/>
    <cellStyle name="_KT_TG_1_PT02-02" xfId="226"/>
    <cellStyle name="_KT_TG_1_PT02-02_Book1" xfId="227"/>
    <cellStyle name="_KT_TG_1_PT02-03" xfId="228"/>
    <cellStyle name="_KT_TG_1_PT02-03_Book1" xfId="229"/>
    <cellStyle name="_KT_TG_1_Qt-HT3PQ1(CauKho)" xfId="230"/>
    <cellStyle name="_KT_TG_2" xfId="231"/>
    <cellStyle name="_KT_TG_2 2" xfId="565"/>
    <cellStyle name="_KT_TG_2_bang gia ap dung 2005" xfId="232"/>
    <cellStyle name="_KT_TG_2_BAO CAO KLCT PT2000" xfId="233"/>
    <cellStyle name="_KT_TG_2_BAO CAO PT2000" xfId="234"/>
    <cellStyle name="_KT_TG_2_BAO CAO PT2000_Book1" xfId="235"/>
    <cellStyle name="_KT_TG_2_Bao cao XDCB 2001 - T11 KH dieu chinh 20-11-THAI" xfId="236"/>
    <cellStyle name="_KT_TG_2_bg-TTO-051104" xfId="237"/>
    <cellStyle name="_KT_TG_2_Book1" xfId="238"/>
    <cellStyle name="_KT_TG_2_Book1_1" xfId="239"/>
    <cellStyle name="_KT_TG_2_Book1_2" xfId="240"/>
    <cellStyle name="_KT_TG_2_Book1_3" xfId="241"/>
    <cellStyle name="_KT_TG_2_Book1_3 2" xfId="566"/>
    <cellStyle name="_KT_TG_2_Book1_3_Book1" xfId="242"/>
    <cellStyle name="_KT_TG_2_Book1_bang gia ap dung 2005" xfId="243"/>
    <cellStyle name="_KT_TG_2_Book1_bg-TTO-051104" xfId="244"/>
    <cellStyle name="_KT_TG_2_Book1_Book1" xfId="245"/>
    <cellStyle name="_KT_TG_2_DTCDT MR.2N110.HOCMON.TDTOAN.CCUNG" xfId="246"/>
    <cellStyle name="_KT_TG_2_Lora-tungchau" xfId="247"/>
    <cellStyle name="_KT_TG_2_PGIA-phieu tham tra Kho bac" xfId="248"/>
    <cellStyle name="_KT_TG_2_PT02-02" xfId="249"/>
    <cellStyle name="_KT_TG_2_PT02-02_Book1" xfId="250"/>
    <cellStyle name="_KT_TG_2_PT02-03" xfId="251"/>
    <cellStyle name="_KT_TG_2_PT02-03_Book1" xfId="252"/>
    <cellStyle name="_KT_TG_2_Qt-HT3PQ1(CauKho)" xfId="253"/>
    <cellStyle name="_KT_TG_3" xfId="254"/>
    <cellStyle name="_KT_TG_4" xfId="255"/>
    <cellStyle name="_KT_TG_4_Lora-tungchau" xfId="256"/>
    <cellStyle name="_KT_TG_4_Qt-HT3PQ1(CauKho)" xfId="257"/>
    <cellStyle name="_Lora-tungchau" xfId="258"/>
    <cellStyle name="_PERSONAL" xfId="259"/>
    <cellStyle name="_PERSONAL_bang gia ap dung 2005" xfId="260"/>
    <cellStyle name="_PERSONAL_bg-TTO-051104" xfId="261"/>
    <cellStyle name="_PERSONAL_Book1" xfId="262"/>
    <cellStyle name="_PERSONAL_Book1_bang gia ap dung 2005" xfId="263"/>
    <cellStyle name="_PERSONAL_Book1_bg-TTO-051104" xfId="264"/>
    <cellStyle name="_PERSONAL_HTQ.8 GD1" xfId="265"/>
    <cellStyle name="_PERSONAL_Tong hop KHCB 2001" xfId="266"/>
    <cellStyle name="_Qt-HT3PQ1(CauKho)" xfId="267"/>
    <cellStyle name="_TG-TH" xfId="268"/>
    <cellStyle name="_TG-TH_1" xfId="269"/>
    <cellStyle name="_TG-TH_1 2" xfId="573"/>
    <cellStyle name="_TG-TH_1_bang gia ap dung 2005" xfId="270"/>
    <cellStyle name="_TG-TH_1_BAO CAO KLCT PT2000" xfId="271"/>
    <cellStyle name="_TG-TH_1_BAO CAO PT2000" xfId="272"/>
    <cellStyle name="_TG-TH_1_BAO CAO PT2000_Book1" xfId="273"/>
    <cellStyle name="_TG-TH_1_Bao cao XDCB 2001 - T11 KH dieu chinh 20-11-THAI" xfId="274"/>
    <cellStyle name="_TG-TH_1_bg-TTO-051104" xfId="275"/>
    <cellStyle name="_TG-TH_1_Book1" xfId="276"/>
    <cellStyle name="_TG-TH_1_Book1_1" xfId="277"/>
    <cellStyle name="_TG-TH_1_Book1_2" xfId="278"/>
    <cellStyle name="_TG-TH_1_Book1_3" xfId="279"/>
    <cellStyle name="_TG-TH_1_Book1_3 2" xfId="574"/>
    <cellStyle name="_TG-TH_1_Book1_3_Book1" xfId="280"/>
    <cellStyle name="_TG-TH_1_Book1_bang gia ap dung 2005" xfId="281"/>
    <cellStyle name="_TG-TH_1_Book1_BC-QT-WB-dthao" xfId="282"/>
    <cellStyle name="_TG-TH_1_Book1_bg-TTO-051104" xfId="283"/>
    <cellStyle name="_TG-TH_1_Book1_Book1" xfId="284"/>
    <cellStyle name="_TG-TH_1_DTCDT MR.2N110.HOCMON.TDTOAN.CCUNG" xfId="285"/>
    <cellStyle name="_TG-TH_1_Lora-tungchau" xfId="286"/>
    <cellStyle name="_TG-TH_1_PGIA-phieu tham tra Kho bac" xfId="287"/>
    <cellStyle name="_TG-TH_1_PT02-02" xfId="288"/>
    <cellStyle name="_TG-TH_1_PT02-02_Book1" xfId="289"/>
    <cellStyle name="_TG-TH_1_PT02-03" xfId="290"/>
    <cellStyle name="_TG-TH_1_PT02-03_Book1" xfId="291"/>
    <cellStyle name="_TG-TH_1_Qt-HT3PQ1(CauKho)" xfId="292"/>
    <cellStyle name="_TG-TH_2" xfId="293"/>
    <cellStyle name="_TG-TH_2 2" xfId="575"/>
    <cellStyle name="_TG-TH_2_bang gia ap dung 2005" xfId="294"/>
    <cellStyle name="_TG-TH_2_BAO CAO KLCT PT2000" xfId="295"/>
    <cellStyle name="_TG-TH_2_BAO CAO PT2000" xfId="296"/>
    <cellStyle name="_TG-TH_2_BAO CAO PT2000_Book1" xfId="297"/>
    <cellStyle name="_TG-TH_2_Bao cao XDCB 2001 - T11 KH dieu chinh 20-11-THAI" xfId="298"/>
    <cellStyle name="_TG-TH_2_bg-TTO-051104" xfId="299"/>
    <cellStyle name="_TG-TH_2_Book1" xfId="300"/>
    <cellStyle name="_TG-TH_2_Book1_1" xfId="301"/>
    <cellStyle name="_TG-TH_2_Book1_2" xfId="302"/>
    <cellStyle name="_TG-TH_2_Book1_3" xfId="303"/>
    <cellStyle name="_TG-TH_2_Book1_3 2" xfId="576"/>
    <cellStyle name="_TG-TH_2_Book1_3_Book1" xfId="304"/>
    <cellStyle name="_TG-TH_2_Book1_bang gia ap dung 2005" xfId="305"/>
    <cellStyle name="_TG-TH_2_Book1_bg-TTO-051104" xfId="306"/>
    <cellStyle name="_TG-TH_2_Book1_Book1" xfId="307"/>
    <cellStyle name="_TG-TH_2_DTCDT MR.2N110.HOCMON.TDTOAN.CCUNG" xfId="308"/>
    <cellStyle name="_TG-TH_2_Lora-tungchau" xfId="309"/>
    <cellStyle name="_TG-TH_2_PGIA-phieu tham tra Kho bac" xfId="310"/>
    <cellStyle name="_TG-TH_2_PT02-02" xfId="311"/>
    <cellStyle name="_TG-TH_2_PT02-02_Book1" xfId="312"/>
    <cellStyle name="_TG-TH_2_PT02-03" xfId="313"/>
    <cellStyle name="_TG-TH_2_PT02-03_Book1" xfId="314"/>
    <cellStyle name="_TG-TH_2_Qt-HT3PQ1(CauKho)" xfId="315"/>
    <cellStyle name="_TG-TH_3" xfId="316"/>
    <cellStyle name="_TG-TH_3_Lora-tungchau" xfId="317"/>
    <cellStyle name="_TG-TH_3_Qt-HT3PQ1(CauKho)" xfId="318"/>
    <cellStyle name="_TG-TH_4" xfId="319"/>
    <cellStyle name="_VB phap luat-08-03" xfId="320"/>
    <cellStyle name="W_STDFOR" xfId="321"/>
    <cellStyle name="1" xfId="2"/>
    <cellStyle name="¹éºÐÀ²_±âÅ¸" xfId="322"/>
    <cellStyle name="2" xfId="3"/>
    <cellStyle name="3" xfId="4"/>
    <cellStyle name="4" xfId="5"/>
    <cellStyle name="52" xfId="6"/>
    <cellStyle name="ÅëÈ­ [0]_¿ì¹°Åë" xfId="323"/>
    <cellStyle name="AeE­ [0]_INQUIRY ¿?¾÷AßAø " xfId="324"/>
    <cellStyle name="ÅëÈ­ [0]_L601CPT" xfId="325"/>
    <cellStyle name="ÅëÈ­_¿ì¹°Åë" xfId="326"/>
    <cellStyle name="AeE­_INQUIRY ¿?¾÷AßAø " xfId="327"/>
    <cellStyle name="ÅëÈ­_L601CPT" xfId="328"/>
    <cellStyle name="args.style" xfId="329"/>
    <cellStyle name="ÄÞ¸¶ [0]_¿ì¹°Åë" xfId="330"/>
    <cellStyle name="AÞ¸¶ [0]_INQUIRY ¿?¾÷AßAø " xfId="7"/>
    <cellStyle name="ÄÞ¸¶ [0]_L601CPT" xfId="331"/>
    <cellStyle name="ÄÞ¸¶_¿ì¹°Åë" xfId="332"/>
    <cellStyle name="AÞ¸¶_INQUIRY ¿?¾÷AßAø " xfId="8"/>
    <cellStyle name="ÄÞ¸¶_L601CPT" xfId="333"/>
    <cellStyle name="AutoFormat Options" xfId="334"/>
    <cellStyle name="Body" xfId="335"/>
    <cellStyle name="C?AØ_¿?¾÷CoE² " xfId="9"/>
    <cellStyle name="Ç¥ÁØ_#2(M17)_1" xfId="336"/>
    <cellStyle name="C￥AØ_¿μ¾÷CoE² " xfId="10"/>
    <cellStyle name="Ç¥ÁØ_±¸¹Ì´ëÃ¥" xfId="337"/>
    <cellStyle name="Calc Currency (0)" xfId="338"/>
    <cellStyle name="Calc Currency (2)" xfId="339"/>
    <cellStyle name="Calc Percent (0)" xfId="340"/>
    <cellStyle name="Calc Percent (1)" xfId="341"/>
    <cellStyle name="Calc Percent (2)" xfId="342"/>
    <cellStyle name="Calc Units (0)" xfId="343"/>
    <cellStyle name="Calc Units (1)" xfId="344"/>
    <cellStyle name="Calc Units (2)" xfId="345"/>
    <cellStyle name="category" xfId="346"/>
    <cellStyle name="Cerrency_Sheet2_XANGDAU" xfId="347"/>
    <cellStyle name="Comma" xfId="11" builtinId="3"/>
    <cellStyle name="Comma  - Style1" xfId="348"/>
    <cellStyle name="Comma  - Style2" xfId="349"/>
    <cellStyle name="Comma  - Style3" xfId="350"/>
    <cellStyle name="Comma  - Style4" xfId="351"/>
    <cellStyle name="Comma  - Style5" xfId="352"/>
    <cellStyle name="Comma  - Style6" xfId="353"/>
    <cellStyle name="Comma  - Style7" xfId="354"/>
    <cellStyle name="Comma  - Style8" xfId="355"/>
    <cellStyle name="Comma [0]" xfId="12" builtinId="6"/>
    <cellStyle name="Comma [00]" xfId="356"/>
    <cellStyle name="Comma 2" xfId="13"/>
    <cellStyle name="Comma 2 2" xfId="547"/>
    <cellStyle name="Comma 2 2 2" xfId="595"/>
    <cellStyle name="Comma 2 3" xfId="555"/>
    <cellStyle name="Comma 3" xfId="14"/>
    <cellStyle name="Comma 3 2" xfId="548"/>
    <cellStyle name="comma zerodec" xfId="357"/>
    <cellStyle name="Comma_7 - JGG" xfId="15"/>
    <cellStyle name="Comma0" xfId="16"/>
    <cellStyle name="CommaBracket" xfId="17"/>
    <cellStyle name="Copied" xfId="358"/>
    <cellStyle name="Courier" xfId="18"/>
    <cellStyle name="Currency [00]" xfId="359"/>
    <cellStyle name="Currency 2" xfId="82"/>
    <cellStyle name="Currency0" xfId="19"/>
    <cellStyle name="Currency0 2" xfId="549"/>
    <cellStyle name="Currency1" xfId="360"/>
    <cellStyle name="CHUONG" xfId="361"/>
    <cellStyle name="Date" xfId="20"/>
    <cellStyle name="Date Short" xfId="362"/>
    <cellStyle name="Date_Book1" xfId="363"/>
    <cellStyle name="Dấu phảy [0] 2" xfId="554"/>
    <cellStyle name="Dấu phẩy 2" xfId="553"/>
    <cellStyle name="Dezimal [0]_Compiling Utility Macros" xfId="21"/>
    <cellStyle name="Dezimal_Compiling Utility Macros" xfId="22"/>
    <cellStyle name="Dollar (zero dec)" xfId="364"/>
    <cellStyle name="Dziesietny [0]_Invoices2001Slovakia" xfId="365"/>
    <cellStyle name="Dziesiętny [0]_Invoices2001Slovakia" xfId="366"/>
    <cellStyle name="Dziesietny [0]_Invoices2001Slovakia 2" xfId="582"/>
    <cellStyle name="Dziesiętny [0]_Invoices2001Slovakia 2" xfId="583"/>
    <cellStyle name="Dziesietny [0]_Invoices2001Slovakia 3" xfId="570"/>
    <cellStyle name="Dziesiętny [0]_Invoices2001Slovakia 3" xfId="569"/>
    <cellStyle name="Dziesietny [0]_Invoices2001Slovakia 4" xfId="578"/>
    <cellStyle name="Dziesiętny [0]_Invoices2001Slovakia 4" xfId="579"/>
    <cellStyle name="Dziesietny [0]_Invoices2001Slovakia 5" xfId="571"/>
    <cellStyle name="Dziesiętny [0]_Invoices2001Slovakia 5" xfId="594"/>
    <cellStyle name="Dziesietny [0]_Invoices2001Slovakia 6" xfId="577"/>
    <cellStyle name="Dziesiętny [0]_Invoices2001Slovakia 6" xfId="597"/>
    <cellStyle name="Dziesietny [0]_Invoices2001Slovakia 7" xfId="572"/>
    <cellStyle name="Dziesiętny [0]_Invoices2001Slovakia 7" xfId="590"/>
    <cellStyle name="Dziesietny_Invoices2001Slovakia" xfId="367"/>
    <cellStyle name="Dziesiętny_Invoices2001Slovakia" xfId="368"/>
    <cellStyle name="Dziesietny_Invoices2001Slovakia 2" xfId="584"/>
    <cellStyle name="Dziesiętny_Invoices2001Slovakia 2" xfId="585"/>
    <cellStyle name="Dziesietny_Invoices2001Slovakia 3" xfId="568"/>
    <cellStyle name="Dziesiętny_Invoices2001Slovakia 3" xfId="567"/>
    <cellStyle name="Dziesietny_Invoices2001Slovakia 4" xfId="580"/>
    <cellStyle name="Dziesiętny_Invoices2001Slovakia 4" xfId="581"/>
    <cellStyle name="Dziesietny_Invoices2001Slovakia 5" xfId="598"/>
    <cellStyle name="Dziesiętny_Invoices2001Slovakia 5" xfId="593"/>
    <cellStyle name="Dziesietny_Invoices2001Slovakia 6" xfId="556"/>
    <cellStyle name="Dziesiętny_Invoices2001Slovakia 6" xfId="596"/>
    <cellStyle name="Dziesietny_Invoices2001Slovakia 7" xfId="592"/>
    <cellStyle name="Dziesiętny_Invoices2001Slovakia 7" xfId="589"/>
    <cellStyle name="e" xfId="23"/>
    <cellStyle name="e 2" xfId="550"/>
    <cellStyle name="Emphasis 1" xfId="369"/>
    <cellStyle name="Emphasis 2" xfId="370"/>
    <cellStyle name="Emphasis 3" xfId="371"/>
    <cellStyle name="Enter Currency (0)" xfId="372"/>
    <cellStyle name="Enter Currency (2)" xfId="373"/>
    <cellStyle name="Enter Units (0)" xfId="374"/>
    <cellStyle name="Enter Units (1)" xfId="375"/>
    <cellStyle name="Enter Units (2)" xfId="376"/>
    <cellStyle name="Entered" xfId="377"/>
    <cellStyle name="f" xfId="24"/>
    <cellStyle name="f 2" xfId="551"/>
    <cellStyle name="Fixed" xfId="25"/>
    <cellStyle name="Grey" xfId="378"/>
    <cellStyle name="ha" xfId="26"/>
    <cellStyle name="Head 1" xfId="379"/>
    <cellStyle name="HEADER" xfId="380"/>
    <cellStyle name="Header1" xfId="27"/>
    <cellStyle name="Header2" xfId="28"/>
    <cellStyle name="Heading 1" xfId="29" builtinId="16" customBuiltin="1"/>
    <cellStyle name="Heading 2" xfId="30" builtinId="17" customBuiltin="1"/>
    <cellStyle name="Heading1" xfId="31"/>
    <cellStyle name="Heading2" xfId="32"/>
    <cellStyle name="HEADINGS" xfId="381"/>
    <cellStyle name="HEADINGSTOP" xfId="382"/>
    <cellStyle name="Hoa-Scholl" xfId="383"/>
    <cellStyle name="i·0" xfId="384"/>
    <cellStyle name="Input [yellow]" xfId="385"/>
    <cellStyle name="Integer" xfId="33"/>
    <cellStyle name="ke" xfId="386"/>
    <cellStyle name="KENGANG" xfId="387"/>
    <cellStyle name="KHUNG" xfId="388"/>
    <cellStyle name="Ledger 17 x 11 in" xfId="389"/>
    <cellStyle name="Lines" xfId="34"/>
    <cellStyle name="Link Currency (0)" xfId="390"/>
    <cellStyle name="Link Currency (2)" xfId="391"/>
    <cellStyle name="Link Units (0)" xfId="392"/>
    <cellStyle name="Link Units (1)" xfId="393"/>
    <cellStyle name="Link Units (2)" xfId="394"/>
    <cellStyle name="Millares [0]_Well Timing" xfId="395"/>
    <cellStyle name="Millares_Well Timing" xfId="396"/>
    <cellStyle name="Milliers [0]_AR1194" xfId="397"/>
    <cellStyle name="Milliers_AR1194" xfId="398"/>
    <cellStyle name="Model" xfId="399"/>
    <cellStyle name="moi" xfId="35"/>
    <cellStyle name="Moneda [0]_Well Timing" xfId="400"/>
    <cellStyle name="Moneda_Well Timing" xfId="401"/>
    <cellStyle name="Monétaire [0]_AR1194" xfId="402"/>
    <cellStyle name="Monétaire_AR1194" xfId="403"/>
    <cellStyle name="n" xfId="36"/>
    <cellStyle name="N_Book1" xfId="404"/>
    <cellStyle name="n_Dien nuoc 01-04-08 ca VT" xfId="405"/>
    <cellStyle name="n_VB phap luat-08-03" xfId="406"/>
    <cellStyle name="New Times Roman" xfId="407"/>
    <cellStyle name="No borders" xfId="37"/>
    <cellStyle name="no dec" xfId="408"/>
    <cellStyle name="ÑONVÒ" xfId="409"/>
    <cellStyle name="Normal" xfId="0" builtinId="0"/>
    <cellStyle name="Normal - Style1" xfId="38"/>
    <cellStyle name="Normal 2" xfId="39"/>
    <cellStyle name="Normal 2 2" xfId="552"/>
    <cellStyle name="Normal 3" xfId="81"/>
    <cellStyle name="Normal 4" xfId="546"/>
    <cellStyle name="Normal_SHEET" xfId="40"/>
    <cellStyle name="Normal1" xfId="410"/>
    <cellStyle name="Normalny_Cennik obowiazuje od 06-08-2001 r (1)" xfId="411"/>
    <cellStyle name="Œ…‹æØ‚è [0.00]_laroux" xfId="41"/>
    <cellStyle name="Œ…‹æØ‚è_laroux" xfId="42"/>
    <cellStyle name="oft Excel]_x000d__x000a_Comment=open=/f ‚ðw’è‚·‚é‚ÆAƒ†[ƒU[’è‹`ŠÖ”‚ðŠÖ”“\‚è•t‚¯‚Ìˆê——‚É“o˜^‚·‚é‚±‚Æ‚ª‚Å‚«‚Ü‚·B_x000d__x000a_Maximized" xfId="412"/>
    <cellStyle name="omma [0]_Mktg Prog" xfId="413"/>
    <cellStyle name="ormal_Sheet1_1" xfId="414"/>
    <cellStyle name="per.style" xfId="415"/>
    <cellStyle name="Percent" xfId="43" builtinId="5"/>
    <cellStyle name="Percent [0]" xfId="416"/>
    <cellStyle name="Percent [00]" xfId="417"/>
    <cellStyle name="Percent [2]" xfId="418"/>
    <cellStyle name="PERCENTAGE" xfId="419"/>
    <cellStyle name="PrePop Currency (0)" xfId="420"/>
    <cellStyle name="PrePop Currency (2)" xfId="421"/>
    <cellStyle name="PrePop Units (0)" xfId="422"/>
    <cellStyle name="PrePop Units (1)" xfId="423"/>
    <cellStyle name="PrePop Units (2)" xfId="424"/>
    <cellStyle name="pricing" xfId="425"/>
    <cellStyle name="PSChar" xfId="44"/>
    <cellStyle name="PSDate" xfId="45"/>
    <cellStyle name="PSDec" xfId="46"/>
    <cellStyle name="PSHeading" xfId="47"/>
    <cellStyle name="PSInt" xfId="48"/>
    <cellStyle name="PSSpacer" xfId="49"/>
    <cellStyle name="regstoresfromspecstores" xfId="426"/>
    <cellStyle name="RevList" xfId="427"/>
    <cellStyle name="S—_x0008_" xfId="428"/>
    <cellStyle name="SAPBEXaggData" xfId="429"/>
    <cellStyle name="SAPBEXaggDataEmph" xfId="430"/>
    <cellStyle name="SAPBEXaggItem" xfId="431"/>
    <cellStyle name="SAPBEXchaText" xfId="432"/>
    <cellStyle name="SAPBEXexcBad7" xfId="433"/>
    <cellStyle name="SAPBEXexcBad8" xfId="434"/>
    <cellStyle name="SAPBEXexcBad9" xfId="435"/>
    <cellStyle name="SAPBEXexcCritical4" xfId="436"/>
    <cellStyle name="SAPBEXexcCritical5" xfId="437"/>
    <cellStyle name="SAPBEXexcCritical6" xfId="438"/>
    <cellStyle name="SAPBEXexcGood1" xfId="439"/>
    <cellStyle name="SAPBEXexcGood2" xfId="440"/>
    <cellStyle name="SAPBEXexcGood3" xfId="441"/>
    <cellStyle name="SAPBEXfilterDrill" xfId="442"/>
    <cellStyle name="SAPBEXfilterItem" xfId="443"/>
    <cellStyle name="SAPBEXfilterText" xfId="444"/>
    <cellStyle name="SAPBEXformats" xfId="445"/>
    <cellStyle name="SAPBEXheaderItem" xfId="446"/>
    <cellStyle name="SAPBEXheaderText" xfId="447"/>
    <cellStyle name="SAPBEXresData" xfId="448"/>
    <cellStyle name="SAPBEXresDataEmph" xfId="449"/>
    <cellStyle name="SAPBEXresItem" xfId="450"/>
    <cellStyle name="SAPBEXstdData" xfId="451"/>
    <cellStyle name="SAPBEXstdDataEmph" xfId="452"/>
    <cellStyle name="SAPBEXstdItem" xfId="453"/>
    <cellStyle name="SAPBEXtitle" xfId="454"/>
    <cellStyle name="SAPBEXundefined" xfId="455"/>
    <cellStyle name="SHADEDSTORES" xfId="456"/>
    <cellStyle name="Sheet Title" xfId="457"/>
    <cellStyle name="songuyen" xfId="458"/>
    <cellStyle name="specstores" xfId="459"/>
    <cellStyle name="Standard_Anpassen der Amortisation" xfId="50"/>
    <cellStyle name="Style 1" xfId="51"/>
    <cellStyle name="Style 10" xfId="460"/>
    <cellStyle name="Style 11" xfId="461"/>
    <cellStyle name="Style 12" xfId="462"/>
    <cellStyle name="Style 12 2" xfId="586"/>
    <cellStyle name="Style 13" xfId="463"/>
    <cellStyle name="Style 14" xfId="464"/>
    <cellStyle name="Style 15" xfId="465"/>
    <cellStyle name="Style 16" xfId="466"/>
    <cellStyle name="Style 17" xfId="467"/>
    <cellStyle name="Style 18" xfId="468"/>
    <cellStyle name="Style 19" xfId="469"/>
    <cellStyle name="Style 2" xfId="470"/>
    <cellStyle name="Style 2 2" xfId="587"/>
    <cellStyle name="Style 20" xfId="471"/>
    <cellStyle name="Style 21" xfId="472"/>
    <cellStyle name="Style 22" xfId="473"/>
    <cellStyle name="Style 23" xfId="474"/>
    <cellStyle name="Style 24" xfId="475"/>
    <cellStyle name="Style 25" xfId="476"/>
    <cellStyle name="Style 26" xfId="477"/>
    <cellStyle name="Style 26 2" xfId="588"/>
    <cellStyle name="Style 27" xfId="478"/>
    <cellStyle name="Style 28" xfId="479"/>
    <cellStyle name="Style 29" xfId="480"/>
    <cellStyle name="Style 3" xfId="481"/>
    <cellStyle name="Style 30" xfId="482"/>
    <cellStyle name="Style 31" xfId="483"/>
    <cellStyle name="Style 32" xfId="484"/>
    <cellStyle name="Style 33" xfId="485"/>
    <cellStyle name="Style 34" xfId="486"/>
    <cellStyle name="Style 35" xfId="487"/>
    <cellStyle name="Style 36" xfId="488"/>
    <cellStyle name="Style 36 2" xfId="591"/>
    <cellStyle name="Style 37" xfId="489"/>
    <cellStyle name="Style 38" xfId="490"/>
    <cellStyle name="Style 39" xfId="491"/>
    <cellStyle name="Style 4" xfId="492"/>
    <cellStyle name="Style 40" xfId="493"/>
    <cellStyle name="Style 41" xfId="494"/>
    <cellStyle name="Style 42" xfId="495"/>
    <cellStyle name="Style 43" xfId="496"/>
    <cellStyle name="Style 44" xfId="497"/>
    <cellStyle name="Style 45" xfId="498"/>
    <cellStyle name="Style 46" xfId="499"/>
    <cellStyle name="Style 47" xfId="500"/>
    <cellStyle name="Style 48" xfId="501"/>
    <cellStyle name="Style 49" xfId="502"/>
    <cellStyle name="Style 5" xfId="503"/>
    <cellStyle name="Style 50" xfId="504"/>
    <cellStyle name="Style 51" xfId="505"/>
    <cellStyle name="Style 52" xfId="506"/>
    <cellStyle name="Style 53" xfId="507"/>
    <cellStyle name="Style 54" xfId="508"/>
    <cellStyle name="Style 55" xfId="509"/>
    <cellStyle name="Style 56" xfId="510"/>
    <cellStyle name="Style 57" xfId="511"/>
    <cellStyle name="Style 58" xfId="512"/>
    <cellStyle name="Style 59" xfId="513"/>
    <cellStyle name="Style 6" xfId="514"/>
    <cellStyle name="Style 60" xfId="515"/>
    <cellStyle name="Style 61" xfId="516"/>
    <cellStyle name="Style 62" xfId="517"/>
    <cellStyle name="Style 7" xfId="518"/>
    <cellStyle name="Style 8" xfId="519"/>
    <cellStyle name="Style 9" xfId="520"/>
    <cellStyle name="subhead" xfId="521"/>
    <cellStyle name="Subtotal" xfId="522"/>
    <cellStyle name="T" xfId="52"/>
    <cellStyle name="T_Book1" xfId="523"/>
    <cellStyle name="T_Dien nuoc 01-04-08 ca VT" xfId="524"/>
    <cellStyle name="T_Don gia bo trai song to lich (Cau moi - duong 70)" xfId="525"/>
    <cellStyle name="T_VB phap luat-08-03" xfId="526"/>
    <cellStyle name="Text Indent A" xfId="527"/>
    <cellStyle name="Text Indent B" xfId="528"/>
    <cellStyle name="Text Indent C" xfId="529"/>
    <cellStyle name="Total" xfId="54" builtinId="25" customBuiltin="1"/>
    <cellStyle name="Total   Grand" xfId="55"/>
    <cellStyle name="Total   Grand Double" xfId="56"/>
    <cellStyle name="Total   Sub" xfId="57"/>
    <cellStyle name="Two d.p." xfId="58"/>
    <cellStyle name="th" xfId="53"/>
    <cellStyle name="þ_x001d_ð¤_x000c_¯þ_x0014__x000d_¨þU_x0001_À_x0004_ _x0015__x000f__x0001__x0001_" xfId="530"/>
    <cellStyle name="þ_x001d_ðÇ%Uý—&amp;Hý9_x0008_Ÿ_x0009_s_x000a__x0007__x0001__x0001_" xfId="531"/>
    <cellStyle name="þ_x001d_ðK_x000c_Fý_x001b__x000d_9ýU_x0001_Ð_x0008_¦)_x0007__x0001__x0001_" xfId="532"/>
    <cellStyle name="viet" xfId="59"/>
    <cellStyle name="viet2" xfId="60"/>
    <cellStyle name="vntxt1" xfId="533"/>
    <cellStyle name="vntxt2" xfId="534"/>
    <cellStyle name="vnhead1" xfId="535"/>
    <cellStyle name="vnhead3" xfId="536"/>
    <cellStyle name="Währung [0]_Compiling Utility Macros" xfId="61"/>
    <cellStyle name="Währung_Compiling Utility Macros" xfId="62"/>
    <cellStyle name="Walutowy [0]_Invoices2001Slovakia" xfId="537"/>
    <cellStyle name="Walutowy_Invoices2001Slovakia" xfId="538"/>
    <cellStyle name="xuan" xfId="539"/>
    <cellStyle name=" [0.00]_ Att. 1- Cover" xfId="78"/>
    <cellStyle name="_ Att. 1- Cover" xfId="79"/>
    <cellStyle name="?_ Att. 1- Cover" xfId="80"/>
    <cellStyle name="똿뗦먛귟 [0.00]_PRODUCT DETAIL Q1" xfId="63"/>
    <cellStyle name="똿뗦먛귟_PRODUCT DETAIL Q1" xfId="64"/>
    <cellStyle name="믅됞 [0.00]_PRODUCT DETAIL Q1" xfId="65"/>
    <cellStyle name="믅됞_PRODUCT DETAIL Q1" xfId="66"/>
    <cellStyle name="백분율_95" xfId="67"/>
    <cellStyle name="뷭?_BOOKSHIP" xfId="68"/>
    <cellStyle name="콤맀_Sheet1_총괄표 (수출입) (2)" xfId="540"/>
    <cellStyle name="콤마 [0]_ 비목별 월별기술 " xfId="541"/>
    <cellStyle name="콤마_ 비목별 월별기술 " xfId="542"/>
    <cellStyle name="통화 [0]_1202" xfId="72"/>
    <cellStyle name="통화_1202" xfId="73"/>
    <cellStyle name="표섀_변경(최종)" xfId="543"/>
    <cellStyle name="표준_(정보부문)월별인원계획" xfId="74"/>
    <cellStyle name="一般_00Q3902REV.1" xfId="69"/>
    <cellStyle name="千分位[0]_00Q3902REV.1" xfId="70"/>
    <cellStyle name="千分位_00Q3902REV.1" xfId="71"/>
    <cellStyle name="桁区切り_工費" xfId="544"/>
    <cellStyle name="標準_Standard" xfId="545"/>
    <cellStyle name="貨幣 [0]_00Q3902REV.1" xfId="75"/>
    <cellStyle name="貨幣[0]_BRE" xfId="76"/>
    <cellStyle name="貨幣_00Q3902REV.1" xfId="77"/>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2007B9"/>
      <color rgb="FF0030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Trang)\Cong%20viec\Ngoai\C.Huong\2005\HM\THANH\DD%20CA%20MAU\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0:I58"/>
  <sheetViews>
    <sheetView tabSelected="1" view="pageBreakPreview" topLeftCell="B1" zoomScaleNormal="100" zoomScaleSheetLayoutView="100" workbookViewId="0">
      <selection activeCell="B11" sqref="B11"/>
    </sheetView>
  </sheetViews>
  <sheetFormatPr defaultRowHeight="12.75"/>
  <cols>
    <col min="1" max="1" width="0.625" style="404" hidden="1" customWidth="1"/>
    <col min="2" max="2" width="71" style="404" customWidth="1"/>
    <col min="3" max="256" width="9" style="404"/>
    <col min="257" max="257" width="0" style="404" hidden="1" customWidth="1"/>
    <col min="258" max="258" width="69.125" style="404" customWidth="1"/>
    <col min="259" max="512" width="9" style="404"/>
    <col min="513" max="513" width="0" style="404" hidden="1" customWidth="1"/>
    <col min="514" max="514" width="69.125" style="404" customWidth="1"/>
    <col min="515" max="768" width="9" style="404"/>
    <col min="769" max="769" width="0" style="404" hidden="1" customWidth="1"/>
    <col min="770" max="770" width="69.125" style="404" customWidth="1"/>
    <col min="771" max="1024" width="9" style="404"/>
    <col min="1025" max="1025" width="0" style="404" hidden="1" customWidth="1"/>
    <col min="1026" max="1026" width="69.125" style="404" customWidth="1"/>
    <col min="1027" max="1280" width="9" style="404"/>
    <col min="1281" max="1281" width="0" style="404" hidden="1" customWidth="1"/>
    <col min="1282" max="1282" width="69.125" style="404" customWidth="1"/>
    <col min="1283" max="1536" width="9" style="404"/>
    <col min="1537" max="1537" width="0" style="404" hidden="1" customWidth="1"/>
    <col min="1538" max="1538" width="69.125" style="404" customWidth="1"/>
    <col min="1539" max="1792" width="9" style="404"/>
    <col min="1793" max="1793" width="0" style="404" hidden="1" customWidth="1"/>
    <col min="1794" max="1794" width="69.125" style="404" customWidth="1"/>
    <col min="1795" max="2048" width="9" style="404"/>
    <col min="2049" max="2049" width="0" style="404" hidden="1" customWidth="1"/>
    <col min="2050" max="2050" width="69.125" style="404" customWidth="1"/>
    <col min="2051" max="2304" width="9" style="404"/>
    <col min="2305" max="2305" width="0" style="404" hidden="1" customWidth="1"/>
    <col min="2306" max="2306" width="69.125" style="404" customWidth="1"/>
    <col min="2307" max="2560" width="9" style="404"/>
    <col min="2561" max="2561" width="0" style="404" hidden="1" customWidth="1"/>
    <col min="2562" max="2562" width="69.125" style="404" customWidth="1"/>
    <col min="2563" max="2816" width="9" style="404"/>
    <col min="2817" max="2817" width="0" style="404" hidden="1" customWidth="1"/>
    <col min="2818" max="2818" width="69.125" style="404" customWidth="1"/>
    <col min="2819" max="3072" width="9" style="404"/>
    <col min="3073" max="3073" width="0" style="404" hidden="1" customWidth="1"/>
    <col min="3074" max="3074" width="69.125" style="404" customWidth="1"/>
    <col min="3075" max="3328" width="9" style="404"/>
    <col min="3329" max="3329" width="0" style="404" hidden="1" customWidth="1"/>
    <col min="3330" max="3330" width="69.125" style="404" customWidth="1"/>
    <col min="3331" max="3584" width="9" style="404"/>
    <col min="3585" max="3585" width="0" style="404" hidden="1" customWidth="1"/>
    <col min="3586" max="3586" width="69.125" style="404" customWidth="1"/>
    <col min="3587" max="3840" width="9" style="404"/>
    <col min="3841" max="3841" width="0" style="404" hidden="1" customWidth="1"/>
    <col min="3842" max="3842" width="69.125" style="404" customWidth="1"/>
    <col min="3843" max="4096" width="9" style="404"/>
    <col min="4097" max="4097" width="0" style="404" hidden="1" customWidth="1"/>
    <col min="4098" max="4098" width="69.125" style="404" customWidth="1"/>
    <col min="4099" max="4352" width="9" style="404"/>
    <col min="4353" max="4353" width="0" style="404" hidden="1" customWidth="1"/>
    <col min="4354" max="4354" width="69.125" style="404" customWidth="1"/>
    <col min="4355" max="4608" width="9" style="404"/>
    <col min="4609" max="4609" width="0" style="404" hidden="1" customWidth="1"/>
    <col min="4610" max="4610" width="69.125" style="404" customWidth="1"/>
    <col min="4611" max="4864" width="9" style="404"/>
    <col min="4865" max="4865" width="0" style="404" hidden="1" customWidth="1"/>
    <col min="4866" max="4866" width="69.125" style="404" customWidth="1"/>
    <col min="4867" max="5120" width="9" style="404"/>
    <col min="5121" max="5121" width="0" style="404" hidden="1" customWidth="1"/>
    <col min="5122" max="5122" width="69.125" style="404" customWidth="1"/>
    <col min="5123" max="5376" width="9" style="404"/>
    <col min="5377" max="5377" width="0" style="404" hidden="1" customWidth="1"/>
    <col min="5378" max="5378" width="69.125" style="404" customWidth="1"/>
    <col min="5379" max="5632" width="9" style="404"/>
    <col min="5633" max="5633" width="0" style="404" hidden="1" customWidth="1"/>
    <col min="5634" max="5634" width="69.125" style="404" customWidth="1"/>
    <col min="5635" max="5888" width="9" style="404"/>
    <col min="5889" max="5889" width="0" style="404" hidden="1" customWidth="1"/>
    <col min="5890" max="5890" width="69.125" style="404" customWidth="1"/>
    <col min="5891" max="6144" width="9" style="404"/>
    <col min="6145" max="6145" width="0" style="404" hidden="1" customWidth="1"/>
    <col min="6146" max="6146" width="69.125" style="404" customWidth="1"/>
    <col min="6147" max="6400" width="9" style="404"/>
    <col min="6401" max="6401" width="0" style="404" hidden="1" customWidth="1"/>
    <col min="6402" max="6402" width="69.125" style="404" customWidth="1"/>
    <col min="6403" max="6656" width="9" style="404"/>
    <col min="6657" max="6657" width="0" style="404" hidden="1" customWidth="1"/>
    <col min="6658" max="6658" width="69.125" style="404" customWidth="1"/>
    <col min="6659" max="6912" width="9" style="404"/>
    <col min="6913" max="6913" width="0" style="404" hidden="1" customWidth="1"/>
    <col min="6914" max="6914" width="69.125" style="404" customWidth="1"/>
    <col min="6915" max="7168" width="9" style="404"/>
    <col min="7169" max="7169" width="0" style="404" hidden="1" customWidth="1"/>
    <col min="7170" max="7170" width="69.125" style="404" customWidth="1"/>
    <col min="7171" max="7424" width="9" style="404"/>
    <col min="7425" max="7425" width="0" style="404" hidden="1" customWidth="1"/>
    <col min="7426" max="7426" width="69.125" style="404" customWidth="1"/>
    <col min="7427" max="7680" width="9" style="404"/>
    <col min="7681" max="7681" width="0" style="404" hidden="1" customWidth="1"/>
    <col min="7682" max="7682" width="69.125" style="404" customWidth="1"/>
    <col min="7683" max="7936" width="9" style="404"/>
    <col min="7937" max="7937" width="0" style="404" hidden="1" customWidth="1"/>
    <col min="7938" max="7938" width="69.125" style="404" customWidth="1"/>
    <col min="7939" max="8192" width="9" style="404"/>
    <col min="8193" max="8193" width="0" style="404" hidden="1" customWidth="1"/>
    <col min="8194" max="8194" width="69.125" style="404" customWidth="1"/>
    <col min="8195" max="8448" width="9" style="404"/>
    <col min="8449" max="8449" width="0" style="404" hidden="1" customWidth="1"/>
    <col min="8450" max="8450" width="69.125" style="404" customWidth="1"/>
    <col min="8451" max="8704" width="9" style="404"/>
    <col min="8705" max="8705" width="0" style="404" hidden="1" customWidth="1"/>
    <col min="8706" max="8706" width="69.125" style="404" customWidth="1"/>
    <col min="8707" max="8960" width="9" style="404"/>
    <col min="8961" max="8961" width="0" style="404" hidden="1" customWidth="1"/>
    <col min="8962" max="8962" width="69.125" style="404" customWidth="1"/>
    <col min="8963" max="9216" width="9" style="404"/>
    <col min="9217" max="9217" width="0" style="404" hidden="1" customWidth="1"/>
    <col min="9218" max="9218" width="69.125" style="404" customWidth="1"/>
    <col min="9219" max="9472" width="9" style="404"/>
    <col min="9473" max="9473" width="0" style="404" hidden="1" customWidth="1"/>
    <col min="9474" max="9474" width="69.125" style="404" customWidth="1"/>
    <col min="9475" max="9728" width="9" style="404"/>
    <col min="9729" max="9729" width="0" style="404" hidden="1" customWidth="1"/>
    <col min="9730" max="9730" width="69.125" style="404" customWidth="1"/>
    <col min="9731" max="9984" width="9" style="404"/>
    <col min="9985" max="9985" width="0" style="404" hidden="1" customWidth="1"/>
    <col min="9986" max="9986" width="69.125" style="404" customWidth="1"/>
    <col min="9987" max="10240" width="9" style="404"/>
    <col min="10241" max="10241" width="0" style="404" hidden="1" customWidth="1"/>
    <col min="10242" max="10242" width="69.125" style="404" customWidth="1"/>
    <col min="10243" max="10496" width="9" style="404"/>
    <col min="10497" max="10497" width="0" style="404" hidden="1" customWidth="1"/>
    <col min="10498" max="10498" width="69.125" style="404" customWidth="1"/>
    <col min="10499" max="10752" width="9" style="404"/>
    <col min="10753" max="10753" width="0" style="404" hidden="1" customWidth="1"/>
    <col min="10754" max="10754" width="69.125" style="404" customWidth="1"/>
    <col min="10755" max="11008" width="9" style="404"/>
    <col min="11009" max="11009" width="0" style="404" hidden="1" customWidth="1"/>
    <col min="11010" max="11010" width="69.125" style="404" customWidth="1"/>
    <col min="11011" max="11264" width="9" style="404"/>
    <col min="11265" max="11265" width="0" style="404" hidden="1" customWidth="1"/>
    <col min="11266" max="11266" width="69.125" style="404" customWidth="1"/>
    <col min="11267" max="11520" width="9" style="404"/>
    <col min="11521" max="11521" width="0" style="404" hidden="1" customWidth="1"/>
    <col min="11522" max="11522" width="69.125" style="404" customWidth="1"/>
    <col min="11523" max="11776" width="9" style="404"/>
    <col min="11777" max="11777" width="0" style="404" hidden="1" customWidth="1"/>
    <col min="11778" max="11778" width="69.125" style="404" customWidth="1"/>
    <col min="11779" max="12032" width="9" style="404"/>
    <col min="12033" max="12033" width="0" style="404" hidden="1" customWidth="1"/>
    <col min="12034" max="12034" width="69.125" style="404" customWidth="1"/>
    <col min="12035" max="12288" width="9" style="404"/>
    <col min="12289" max="12289" width="0" style="404" hidden="1" customWidth="1"/>
    <col min="12290" max="12290" width="69.125" style="404" customWidth="1"/>
    <col min="12291" max="12544" width="9" style="404"/>
    <col min="12545" max="12545" width="0" style="404" hidden="1" customWidth="1"/>
    <col min="12546" max="12546" width="69.125" style="404" customWidth="1"/>
    <col min="12547" max="12800" width="9" style="404"/>
    <col min="12801" max="12801" width="0" style="404" hidden="1" customWidth="1"/>
    <col min="12802" max="12802" width="69.125" style="404" customWidth="1"/>
    <col min="12803" max="13056" width="9" style="404"/>
    <col min="13057" max="13057" width="0" style="404" hidden="1" customWidth="1"/>
    <col min="13058" max="13058" width="69.125" style="404" customWidth="1"/>
    <col min="13059" max="13312" width="9" style="404"/>
    <col min="13313" max="13313" width="0" style="404" hidden="1" customWidth="1"/>
    <col min="13314" max="13314" width="69.125" style="404" customWidth="1"/>
    <col min="13315" max="13568" width="9" style="404"/>
    <col min="13569" max="13569" width="0" style="404" hidden="1" customWidth="1"/>
    <col min="13570" max="13570" width="69.125" style="404" customWidth="1"/>
    <col min="13571" max="13824" width="9" style="404"/>
    <col min="13825" max="13825" width="0" style="404" hidden="1" customWidth="1"/>
    <col min="13826" max="13826" width="69.125" style="404" customWidth="1"/>
    <col min="13827" max="14080" width="9" style="404"/>
    <col min="14081" max="14081" width="0" style="404" hidden="1" customWidth="1"/>
    <col min="14082" max="14082" width="69.125" style="404" customWidth="1"/>
    <col min="14083" max="14336" width="9" style="404"/>
    <col min="14337" max="14337" width="0" style="404" hidden="1" customWidth="1"/>
    <col min="14338" max="14338" width="69.125" style="404" customWidth="1"/>
    <col min="14339" max="14592" width="9" style="404"/>
    <col min="14593" max="14593" width="0" style="404" hidden="1" customWidth="1"/>
    <col min="14594" max="14594" width="69.125" style="404" customWidth="1"/>
    <col min="14595" max="14848" width="9" style="404"/>
    <col min="14849" max="14849" width="0" style="404" hidden="1" customWidth="1"/>
    <col min="14850" max="14850" width="69.125" style="404" customWidth="1"/>
    <col min="14851" max="15104" width="9" style="404"/>
    <col min="15105" max="15105" width="0" style="404" hidden="1" customWidth="1"/>
    <col min="15106" max="15106" width="69.125" style="404" customWidth="1"/>
    <col min="15107" max="15360" width="9" style="404"/>
    <col min="15361" max="15361" width="0" style="404" hidden="1" customWidth="1"/>
    <col min="15362" max="15362" width="69.125" style="404" customWidth="1"/>
    <col min="15363" max="15616" width="9" style="404"/>
    <col min="15617" max="15617" width="0" style="404" hidden="1" customWidth="1"/>
    <col min="15618" max="15618" width="69.125" style="404" customWidth="1"/>
    <col min="15619" max="15872" width="9" style="404"/>
    <col min="15873" max="15873" width="0" style="404" hidden="1" customWidth="1"/>
    <col min="15874" max="15874" width="69.125" style="404" customWidth="1"/>
    <col min="15875" max="16128" width="9" style="404"/>
    <col min="16129" max="16129" width="0" style="404" hidden="1" customWidth="1"/>
    <col min="16130" max="16130" width="69.125" style="404" customWidth="1"/>
    <col min="16131" max="16384" width="9" style="404"/>
  </cols>
  <sheetData>
    <row r="20" spans="2:9" ht="18.75" customHeight="1"/>
    <row r="21" spans="2:9" ht="14.25" customHeight="1" thickBot="1"/>
    <row r="22" spans="2:9" ht="14.25" customHeight="1" thickTop="1">
      <c r="B22" s="405"/>
    </row>
    <row r="23" spans="2:9" ht="23.25" customHeight="1">
      <c r="B23" s="406" t="s">
        <v>47</v>
      </c>
      <c r="C23" s="407"/>
      <c r="D23" s="407"/>
      <c r="E23" s="407"/>
      <c r="F23" s="407"/>
      <c r="G23" s="407"/>
      <c r="H23" s="407"/>
      <c r="I23" s="407"/>
    </row>
    <row r="24" spans="2:9" ht="6" customHeight="1">
      <c r="B24" s="408"/>
      <c r="C24" s="407"/>
      <c r="D24" s="407"/>
      <c r="E24" s="407"/>
      <c r="F24" s="407"/>
      <c r="G24" s="407"/>
      <c r="H24" s="407"/>
      <c r="I24" s="407"/>
    </row>
    <row r="25" spans="2:9" ht="42" customHeight="1">
      <c r="B25" s="409" t="s">
        <v>613</v>
      </c>
      <c r="C25" s="407"/>
      <c r="D25" s="407"/>
      <c r="E25" s="407"/>
      <c r="F25" s="407"/>
      <c r="G25" s="407"/>
      <c r="H25" s="407"/>
      <c r="I25" s="407"/>
    </row>
    <row r="26" spans="2:9" ht="6.75" customHeight="1">
      <c r="B26" s="410"/>
      <c r="C26" s="407"/>
      <c r="D26" s="407"/>
      <c r="E26" s="407"/>
      <c r="F26" s="407"/>
      <c r="G26" s="407"/>
      <c r="H26" s="407"/>
      <c r="I26" s="407"/>
    </row>
    <row r="27" spans="2:9" ht="20.25" customHeight="1">
      <c r="B27" s="411" t="s">
        <v>848</v>
      </c>
      <c r="C27" s="407"/>
      <c r="D27" s="407"/>
      <c r="E27" s="407"/>
      <c r="F27" s="407"/>
      <c r="G27" s="407"/>
      <c r="H27" s="407"/>
      <c r="I27" s="407"/>
    </row>
    <row r="28" spans="2:9" ht="13.5" customHeight="1" thickBot="1">
      <c r="B28" s="412"/>
    </row>
    <row r="29" spans="2:9" ht="13.5" thickTop="1"/>
    <row r="44" ht="27.75" customHeight="1"/>
    <row r="54" spans="1:2" ht="7.5" customHeight="1"/>
    <row r="55" spans="1:2" ht="6" customHeight="1"/>
    <row r="56" spans="1:2" ht="34.5" customHeight="1"/>
    <row r="57" spans="1:2" ht="9.75" customHeight="1"/>
    <row r="58" spans="1:2" ht="20.25" customHeight="1">
      <c r="A58" s="413"/>
      <c r="B58" s="414" t="s">
        <v>869</v>
      </c>
    </row>
  </sheetData>
  <printOptions horizontalCentered="1"/>
  <pageMargins left="0.95" right="0.74803149606299213" top="0.39370078740157483" bottom="0.1968503937007874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AW76"/>
  <sheetViews>
    <sheetView topLeftCell="A13" zoomScaleNormal="100" zoomScaleSheetLayoutView="100" workbookViewId="0">
      <selection activeCell="AT40" sqref="AT40"/>
    </sheetView>
  </sheetViews>
  <sheetFormatPr defaultColWidth="0" defaultRowHeight="15.75"/>
  <cols>
    <col min="1" max="1" width="2.75" style="42" customWidth="1"/>
    <col min="2" max="2" width="0.5" style="42" customWidth="1"/>
    <col min="3" max="3" width="30.25" style="42" customWidth="1"/>
    <col min="4" max="4" width="0.25" style="42" customWidth="1"/>
    <col min="5" max="5" width="15.875" style="42" customWidth="1"/>
    <col min="6" max="11" width="15.875" style="657" hidden="1" customWidth="1"/>
    <col min="12" max="12" width="0.25" style="42" customWidth="1"/>
    <col min="13" max="13" width="16.625" style="42" customWidth="1"/>
    <col min="14" max="19" width="16.625" style="657" hidden="1" customWidth="1"/>
    <col min="20" max="20" width="0.25" style="42" customWidth="1"/>
    <col min="21" max="21" width="15.25" style="42" customWidth="1"/>
    <col min="22" max="27" width="15.25" style="657" hidden="1" customWidth="1"/>
    <col min="28" max="28" width="0.25" style="42" customWidth="1"/>
    <col min="29" max="29" width="14.875" style="42" customWidth="1"/>
    <col min="30" max="35" width="14.875" style="657" hidden="1" customWidth="1"/>
    <col min="36" max="36" width="0.25" style="42" customWidth="1"/>
    <col min="37" max="37" width="14.25" style="42" customWidth="1"/>
    <col min="38" max="43" width="14.25" style="657" hidden="1" customWidth="1"/>
    <col min="44" max="44" width="0.25" style="42" customWidth="1"/>
    <col min="45" max="45" width="15.75" style="42" customWidth="1"/>
    <col min="46" max="46" width="13.625" style="42" customWidth="1"/>
    <col min="47" max="47" width="9" style="42" customWidth="1"/>
    <col min="48" max="48" width="9" style="42" hidden="1"/>
    <col min="49" max="49" width="0" style="42" hidden="1"/>
    <col min="50" max="16384" width="9" style="42" hidden="1"/>
  </cols>
  <sheetData>
    <row r="1" spans="1:48" s="16" customFormat="1" ht="18" customHeight="1">
      <c r="A1" s="46" t="s">
        <v>141</v>
      </c>
      <c r="B1" s="46"/>
      <c r="C1" s="46"/>
      <c r="D1" s="46"/>
      <c r="E1" s="46"/>
      <c r="F1" s="647"/>
      <c r="G1" s="647"/>
      <c r="H1" s="647"/>
      <c r="I1" s="647"/>
      <c r="J1" s="647"/>
      <c r="K1" s="647"/>
      <c r="L1" s="46"/>
      <c r="M1" s="46"/>
      <c r="N1" s="647"/>
      <c r="O1" s="647"/>
      <c r="P1" s="647"/>
      <c r="Q1" s="647"/>
      <c r="R1" s="647"/>
      <c r="S1" s="647"/>
      <c r="T1" s="46"/>
      <c r="U1" s="46"/>
      <c r="V1" s="647"/>
      <c r="W1" s="647"/>
      <c r="X1" s="647"/>
      <c r="Y1" s="647"/>
      <c r="Z1" s="647"/>
      <c r="AA1" s="647"/>
      <c r="AB1" s="15"/>
      <c r="AC1" s="15"/>
      <c r="AD1" s="671"/>
      <c r="AE1" s="671"/>
      <c r="AF1" s="671"/>
      <c r="AG1" s="671"/>
      <c r="AH1" s="671"/>
      <c r="AI1" s="671"/>
      <c r="AJ1" s="17"/>
      <c r="AK1" s="18"/>
      <c r="AL1" s="676"/>
      <c r="AM1" s="676"/>
      <c r="AN1" s="676"/>
      <c r="AO1" s="676"/>
      <c r="AP1" s="676"/>
      <c r="AQ1" s="676"/>
      <c r="AS1" s="18" t="s">
        <v>68</v>
      </c>
    </row>
    <row r="2" spans="1:48" s="16" customFormat="1" ht="16.5" customHeight="1">
      <c r="A2" s="19" t="str">
        <f>'Ban CDKT'!A2</f>
        <v>Tầng 5 tháp C.E.O, Mễ Trì, Nam Từ Liêm, Hà Nội</v>
      </c>
      <c r="B2" s="20"/>
      <c r="C2" s="20"/>
      <c r="D2" s="21"/>
      <c r="E2" s="21"/>
      <c r="F2" s="648"/>
      <c r="G2" s="648"/>
      <c r="H2" s="648"/>
      <c r="I2" s="648"/>
      <c r="J2" s="648"/>
      <c r="K2" s="648"/>
      <c r="L2" s="21"/>
      <c r="M2" s="21"/>
      <c r="N2" s="648"/>
      <c r="O2" s="648"/>
      <c r="P2" s="648"/>
      <c r="Q2" s="648"/>
      <c r="R2" s="648"/>
      <c r="S2" s="648"/>
      <c r="T2" s="21"/>
      <c r="V2" s="653"/>
      <c r="W2" s="653"/>
      <c r="X2" s="653"/>
      <c r="Y2" s="653"/>
      <c r="Z2" s="653"/>
      <c r="AA2" s="653"/>
      <c r="AB2" s="22"/>
      <c r="AC2" s="22"/>
      <c r="AD2" s="672"/>
      <c r="AE2" s="672"/>
      <c r="AF2" s="672"/>
      <c r="AG2" s="672"/>
      <c r="AH2" s="672"/>
      <c r="AI2" s="672"/>
      <c r="AJ2" s="22"/>
      <c r="AK2" s="21"/>
      <c r="AL2" s="648"/>
      <c r="AM2" s="648"/>
      <c r="AN2" s="648"/>
      <c r="AO2" s="648"/>
      <c r="AP2" s="648"/>
      <c r="AQ2" s="648"/>
      <c r="AS2" s="21" t="str">
        <f>'Ban CDKT'!I2</f>
        <v>Quý 4 năm tài chính 2014</v>
      </c>
    </row>
    <row r="3" spans="1:48" s="107" customFormat="1" ht="16.5" customHeight="1">
      <c r="A3" s="103" t="str">
        <f>'Ban CDKT'!A3</f>
        <v>Tel: (84-4) 37 875 136          Fax: (84-4) 37 875 137</v>
      </c>
      <c r="B3" s="103"/>
      <c r="C3" s="103"/>
      <c r="D3" s="104"/>
      <c r="E3" s="104"/>
      <c r="F3" s="649"/>
      <c r="G3" s="649"/>
      <c r="H3" s="649"/>
      <c r="I3" s="649"/>
      <c r="J3" s="649"/>
      <c r="K3" s="649"/>
      <c r="L3" s="104"/>
      <c r="M3" s="104"/>
      <c r="N3" s="649"/>
      <c r="O3" s="649"/>
      <c r="P3" s="649"/>
      <c r="Q3" s="649"/>
      <c r="R3" s="649"/>
      <c r="S3" s="649"/>
      <c r="T3" s="104"/>
      <c r="U3" s="104"/>
      <c r="V3" s="649"/>
      <c r="W3" s="649"/>
      <c r="X3" s="649"/>
      <c r="Y3" s="649"/>
      <c r="Z3" s="649"/>
      <c r="AA3" s="649"/>
      <c r="AB3" s="104"/>
      <c r="AC3" s="104"/>
      <c r="AD3" s="649"/>
      <c r="AE3" s="649"/>
      <c r="AF3" s="649"/>
      <c r="AG3" s="649"/>
      <c r="AH3" s="649"/>
      <c r="AI3" s="649"/>
      <c r="AJ3" s="105"/>
      <c r="AK3" s="105"/>
      <c r="AL3" s="677"/>
      <c r="AM3" s="677"/>
      <c r="AN3" s="677"/>
      <c r="AO3" s="677"/>
      <c r="AP3" s="677"/>
      <c r="AQ3" s="677"/>
      <c r="AR3" s="105"/>
      <c r="AS3" s="106"/>
      <c r="AT3" s="105"/>
    </row>
    <row r="4" spans="1:48" s="16" customFormat="1" ht="17.25" customHeight="1">
      <c r="A4" s="23"/>
      <c r="B4" s="24"/>
      <c r="D4" s="25"/>
      <c r="E4" s="25"/>
      <c r="F4" s="650"/>
      <c r="G4" s="650"/>
      <c r="H4" s="650"/>
      <c r="I4" s="650"/>
      <c r="J4" s="650"/>
      <c r="K4" s="650"/>
      <c r="L4" s="25"/>
      <c r="M4" s="25"/>
      <c r="N4" s="650"/>
      <c r="O4" s="650"/>
      <c r="P4" s="650"/>
      <c r="Q4" s="650"/>
      <c r="R4" s="650"/>
      <c r="S4" s="650"/>
      <c r="T4" s="25"/>
      <c r="U4" s="25"/>
      <c r="V4" s="650"/>
      <c r="W4" s="650"/>
      <c r="X4" s="650"/>
      <c r="Y4" s="650"/>
      <c r="Z4" s="650"/>
      <c r="AA4" s="650"/>
      <c r="AB4" s="25"/>
      <c r="AC4" s="25"/>
      <c r="AD4" s="650"/>
      <c r="AE4" s="650"/>
      <c r="AF4" s="650"/>
      <c r="AG4" s="650"/>
      <c r="AH4" s="650"/>
      <c r="AI4" s="650"/>
      <c r="AK4" s="801" t="s">
        <v>639</v>
      </c>
      <c r="AL4" s="801"/>
      <c r="AM4" s="801"/>
      <c r="AN4" s="801"/>
      <c r="AO4" s="801"/>
      <c r="AP4" s="801"/>
      <c r="AQ4" s="801"/>
      <c r="AR4" s="801"/>
      <c r="AS4" s="801"/>
    </row>
    <row r="5" spans="1:48" s="16" customFormat="1" ht="18" customHeight="1">
      <c r="A5" s="802" t="s">
        <v>853</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row>
    <row r="6" spans="1:48" s="16" customFormat="1" ht="15.75" customHeight="1">
      <c r="A6" s="803"/>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row>
    <row r="7" spans="1:48" s="16" customFormat="1" ht="15.75" customHeight="1">
      <c r="A7" s="804"/>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row>
    <row r="8" spans="1:48" s="16" customFormat="1" ht="3" customHeight="1">
      <c r="A8" s="23"/>
      <c r="B8" s="24"/>
      <c r="D8" s="25"/>
      <c r="E8" s="25"/>
      <c r="F8" s="650"/>
      <c r="G8" s="650"/>
      <c r="H8" s="650"/>
      <c r="I8" s="650"/>
      <c r="J8" s="650"/>
      <c r="K8" s="650"/>
      <c r="L8" s="25"/>
      <c r="M8" s="25"/>
      <c r="N8" s="650"/>
      <c r="O8" s="650"/>
      <c r="P8" s="650"/>
      <c r="Q8" s="650"/>
      <c r="R8" s="650"/>
      <c r="S8" s="650"/>
      <c r="T8" s="25"/>
      <c r="U8" s="25"/>
      <c r="V8" s="650"/>
      <c r="W8" s="650"/>
      <c r="X8" s="650"/>
      <c r="Y8" s="650"/>
      <c r="Z8" s="650"/>
      <c r="AA8" s="650"/>
      <c r="AB8" s="25"/>
      <c r="AC8" s="25"/>
      <c r="AD8" s="650"/>
      <c r="AE8" s="650"/>
      <c r="AF8" s="650"/>
      <c r="AG8" s="650"/>
      <c r="AH8" s="650"/>
      <c r="AI8" s="650"/>
      <c r="AL8" s="653"/>
      <c r="AM8" s="653"/>
      <c r="AN8" s="653"/>
      <c r="AO8" s="653"/>
      <c r="AP8" s="653"/>
      <c r="AQ8" s="653"/>
    </row>
    <row r="9" spans="1:48" s="16" customFormat="1" ht="15" customHeight="1">
      <c r="A9" s="26" t="s">
        <v>591</v>
      </c>
      <c r="B9" s="24"/>
      <c r="C9" s="24" t="s">
        <v>69</v>
      </c>
      <c r="D9" s="25"/>
      <c r="E9" s="25"/>
      <c r="F9" s="650"/>
      <c r="G9" s="650"/>
      <c r="H9" s="650"/>
      <c r="I9" s="650"/>
      <c r="J9" s="650"/>
      <c r="K9" s="650"/>
      <c r="L9" s="25"/>
      <c r="M9" s="25"/>
      <c r="N9" s="650"/>
      <c r="O9" s="650"/>
      <c r="P9" s="650"/>
      <c r="Q9" s="650"/>
      <c r="R9" s="650"/>
      <c r="S9" s="650"/>
      <c r="T9" s="25"/>
      <c r="U9" s="25"/>
      <c r="V9" s="650"/>
      <c r="W9" s="650"/>
      <c r="X9" s="650"/>
      <c r="Y9" s="650"/>
      <c r="Z9" s="650"/>
      <c r="AA9" s="650"/>
      <c r="AB9" s="25"/>
      <c r="AC9" s="25"/>
      <c r="AD9" s="650"/>
      <c r="AE9" s="650"/>
      <c r="AF9" s="650"/>
      <c r="AG9" s="650"/>
      <c r="AH9" s="650"/>
      <c r="AI9" s="650"/>
      <c r="AJ9" s="25"/>
      <c r="AL9" s="653"/>
      <c r="AM9" s="653"/>
      <c r="AN9" s="653"/>
      <c r="AO9" s="653"/>
      <c r="AP9" s="653"/>
      <c r="AQ9" s="653"/>
      <c r="AS9" s="16" t="s">
        <v>397</v>
      </c>
    </row>
    <row r="10" spans="1:48" s="27" customFormat="1" ht="1.5" customHeight="1">
      <c r="A10" s="23"/>
      <c r="B10" s="17"/>
      <c r="D10" s="28"/>
      <c r="E10" s="28"/>
      <c r="F10" s="651"/>
      <c r="G10" s="651"/>
      <c r="H10" s="651"/>
      <c r="I10" s="651"/>
      <c r="J10" s="651"/>
      <c r="K10" s="651"/>
      <c r="L10" s="28"/>
      <c r="M10" s="28"/>
      <c r="N10" s="651"/>
      <c r="O10" s="651"/>
      <c r="P10" s="651"/>
      <c r="Q10" s="651"/>
      <c r="R10" s="651"/>
      <c r="S10" s="651"/>
      <c r="T10" s="28"/>
      <c r="U10" s="28"/>
      <c r="V10" s="651"/>
      <c r="W10" s="651"/>
      <c r="X10" s="651"/>
      <c r="Y10" s="651"/>
      <c r="Z10" s="651"/>
      <c r="AA10" s="651"/>
      <c r="AB10" s="28"/>
      <c r="AC10" s="28"/>
      <c r="AD10" s="651"/>
      <c r="AE10" s="651"/>
      <c r="AF10" s="651"/>
      <c r="AG10" s="651"/>
      <c r="AH10" s="651"/>
      <c r="AI10" s="651"/>
      <c r="AJ10" s="28"/>
      <c r="AL10" s="678"/>
      <c r="AM10" s="678"/>
      <c r="AN10" s="678"/>
      <c r="AO10" s="678"/>
      <c r="AP10" s="678"/>
      <c r="AQ10" s="678"/>
    </row>
    <row r="11" spans="1:48" s="16" customFormat="1" ht="30" customHeight="1">
      <c r="A11" s="23"/>
      <c r="B11" s="24"/>
      <c r="C11" s="29" t="s">
        <v>509</v>
      </c>
      <c r="E11" s="29" t="s">
        <v>127</v>
      </c>
      <c r="F11" s="652" t="s">
        <v>48</v>
      </c>
      <c r="G11" s="652" t="s">
        <v>49</v>
      </c>
      <c r="H11" s="652" t="s">
        <v>50</v>
      </c>
      <c r="I11" s="652" t="s">
        <v>51</v>
      </c>
      <c r="J11" s="652" t="s">
        <v>74</v>
      </c>
      <c r="K11" s="652" t="s">
        <v>197</v>
      </c>
      <c r="M11" s="29" t="s">
        <v>70</v>
      </c>
      <c r="N11" s="652" t="s">
        <v>48</v>
      </c>
      <c r="O11" s="652" t="s">
        <v>49</v>
      </c>
      <c r="P11" s="652" t="s">
        <v>50</v>
      </c>
      <c r="Q11" s="652" t="s">
        <v>51</v>
      </c>
      <c r="R11" s="652" t="s">
        <v>74</v>
      </c>
      <c r="S11" s="652" t="s">
        <v>596</v>
      </c>
      <c r="U11" s="29" t="s">
        <v>125</v>
      </c>
      <c r="V11" s="652" t="s">
        <v>48</v>
      </c>
      <c r="W11" s="652" t="s">
        <v>49</v>
      </c>
      <c r="X11" s="652" t="s">
        <v>50</v>
      </c>
      <c r="Y11" s="652" t="s">
        <v>51</v>
      </c>
      <c r="Z11" s="652" t="s">
        <v>74</v>
      </c>
      <c r="AA11" s="652" t="s">
        <v>596</v>
      </c>
      <c r="AB11" s="30"/>
      <c r="AC11" s="29" t="s">
        <v>350</v>
      </c>
      <c r="AD11" s="652" t="s">
        <v>48</v>
      </c>
      <c r="AE11" s="652" t="s">
        <v>49</v>
      </c>
      <c r="AF11" s="652" t="s">
        <v>50</v>
      </c>
      <c r="AG11" s="652" t="s">
        <v>51</v>
      </c>
      <c r="AH11" s="652" t="s">
        <v>74</v>
      </c>
      <c r="AI11" s="652" t="s">
        <v>596</v>
      </c>
      <c r="AJ11" s="30"/>
      <c r="AK11" s="29" t="s">
        <v>126</v>
      </c>
      <c r="AL11" s="652" t="s">
        <v>48</v>
      </c>
      <c r="AM11" s="652" t="s">
        <v>49</v>
      </c>
      <c r="AN11" s="652" t="s">
        <v>50</v>
      </c>
      <c r="AO11" s="652" t="s">
        <v>51</v>
      </c>
      <c r="AP11" s="652" t="s">
        <v>74</v>
      </c>
      <c r="AQ11" s="652" t="s">
        <v>596</v>
      </c>
      <c r="AS11" s="29" t="s">
        <v>508</v>
      </c>
      <c r="AT11" s="31"/>
      <c r="AU11" s="31"/>
      <c r="AV11" s="31"/>
    </row>
    <row r="12" spans="1:48" s="16" customFormat="1" ht="1.5" customHeight="1">
      <c r="A12" s="32"/>
      <c r="C12" s="33"/>
      <c r="F12" s="653"/>
      <c r="G12" s="653"/>
      <c r="H12" s="653"/>
      <c r="I12" s="653"/>
      <c r="J12" s="653"/>
      <c r="K12" s="653"/>
      <c r="M12" s="26"/>
      <c r="N12" s="666"/>
      <c r="O12" s="666"/>
      <c r="P12" s="666"/>
      <c r="Q12" s="666"/>
      <c r="R12" s="666"/>
      <c r="S12" s="666"/>
      <c r="U12" s="34"/>
      <c r="V12" s="669"/>
      <c r="W12" s="669"/>
      <c r="X12" s="669"/>
      <c r="Y12" s="669"/>
      <c r="Z12" s="669"/>
      <c r="AA12" s="669"/>
      <c r="AB12" s="34"/>
      <c r="AC12" s="34"/>
      <c r="AD12" s="669"/>
      <c r="AE12" s="669"/>
      <c r="AF12" s="669"/>
      <c r="AG12" s="669"/>
      <c r="AH12" s="669"/>
      <c r="AI12" s="669"/>
      <c r="AJ12" s="34"/>
      <c r="AL12" s="653"/>
      <c r="AM12" s="653"/>
      <c r="AN12" s="653"/>
      <c r="AO12" s="653"/>
      <c r="AP12" s="653"/>
      <c r="AQ12" s="653"/>
      <c r="AS12" s="35"/>
      <c r="AT12" s="31"/>
      <c r="AU12" s="31"/>
      <c r="AV12" s="31"/>
    </row>
    <row r="13" spans="1:48" s="38" customFormat="1" ht="15.75" customHeight="1">
      <c r="A13" s="36"/>
      <c r="B13" s="37"/>
      <c r="C13" s="24" t="s">
        <v>352</v>
      </c>
      <c r="D13" s="16"/>
      <c r="E13" s="16"/>
      <c r="F13" s="653"/>
      <c r="G13" s="653"/>
      <c r="H13" s="653"/>
      <c r="I13" s="653"/>
      <c r="J13" s="653"/>
      <c r="K13" s="653"/>
      <c r="L13" s="16"/>
      <c r="M13" s="16"/>
      <c r="N13" s="653"/>
      <c r="O13" s="653"/>
      <c r="P13" s="653"/>
      <c r="Q13" s="653"/>
      <c r="R13" s="653"/>
      <c r="S13" s="653"/>
      <c r="T13" s="16"/>
      <c r="U13" s="25"/>
      <c r="V13" s="650"/>
      <c r="W13" s="650"/>
      <c r="X13" s="650"/>
      <c r="Y13" s="650"/>
      <c r="Z13" s="650"/>
      <c r="AA13" s="650"/>
      <c r="AB13" s="25"/>
      <c r="AC13" s="25"/>
      <c r="AD13" s="650"/>
      <c r="AE13" s="650"/>
      <c r="AF13" s="650"/>
      <c r="AG13" s="650"/>
      <c r="AH13" s="650"/>
      <c r="AI13" s="650"/>
      <c r="AJ13" s="25"/>
      <c r="AK13" s="16"/>
      <c r="AL13" s="653"/>
      <c r="AM13" s="653"/>
      <c r="AN13" s="653"/>
      <c r="AO13" s="653"/>
      <c r="AP13" s="653"/>
      <c r="AQ13" s="653"/>
      <c r="AR13" s="16"/>
      <c r="AS13" s="16"/>
      <c r="AT13" s="31"/>
      <c r="AU13" s="31"/>
      <c r="AV13" s="31"/>
    </row>
    <row r="14" spans="1:48" s="38" customFormat="1" ht="15.75" customHeight="1">
      <c r="A14" s="36"/>
      <c r="B14" s="37"/>
      <c r="C14" s="39" t="s">
        <v>803</v>
      </c>
      <c r="D14" s="40"/>
      <c r="E14" s="25">
        <v>11221982165</v>
      </c>
      <c r="F14" s="650"/>
      <c r="G14" s="650"/>
      <c r="H14" s="650"/>
      <c r="I14" s="650"/>
      <c r="J14" s="650"/>
      <c r="K14" s="650"/>
      <c r="L14" s="25"/>
      <c r="M14" s="25">
        <v>11102909117</v>
      </c>
      <c r="N14" s="650"/>
      <c r="O14" s="650"/>
      <c r="P14" s="650"/>
      <c r="Q14" s="650"/>
      <c r="R14" s="650"/>
      <c r="S14" s="650"/>
      <c r="T14" s="25"/>
      <c r="U14" s="25">
        <v>3151986660</v>
      </c>
      <c r="V14" s="650"/>
      <c r="W14" s="650"/>
      <c r="X14" s="650"/>
      <c r="Y14" s="650"/>
      <c r="Z14" s="650"/>
      <c r="AA14" s="650"/>
      <c r="AB14" s="25"/>
      <c r="AC14" s="25">
        <v>2608613980</v>
      </c>
      <c r="AD14" s="650"/>
      <c r="AE14" s="650"/>
      <c r="AF14" s="673"/>
      <c r="AG14" s="650"/>
      <c r="AH14" s="650"/>
      <c r="AI14" s="650"/>
      <c r="AJ14" s="25"/>
      <c r="AK14" s="25">
        <v>1714317005</v>
      </c>
      <c r="AL14" s="650"/>
      <c r="AM14" s="650"/>
      <c r="AN14" s="650"/>
      <c r="AO14" s="650"/>
      <c r="AP14" s="650"/>
      <c r="AQ14" s="650"/>
      <c r="AR14" s="40"/>
      <c r="AS14" s="41">
        <f t="shared" ref="AS14:AS21" si="0">AK14+AC14+U14+M14+E14</f>
        <v>29799808927</v>
      </c>
      <c r="AT14" s="31"/>
      <c r="AU14" s="31"/>
      <c r="AV14" s="31"/>
    </row>
    <row r="15" spans="1:48" s="38" customFormat="1" ht="15.75" customHeight="1">
      <c r="A15" s="36"/>
      <c r="B15" s="37"/>
      <c r="C15" s="39" t="s">
        <v>344</v>
      </c>
      <c r="D15" s="25"/>
      <c r="E15" s="25">
        <f>SUM(F15:K15)</f>
        <v>91250000</v>
      </c>
      <c r="F15" s="650"/>
      <c r="G15" s="650"/>
      <c r="H15" s="650">
        <v>91250000</v>
      </c>
      <c r="I15" s="650"/>
      <c r="J15" s="650"/>
      <c r="K15" s="650"/>
      <c r="L15" s="25"/>
      <c r="M15" s="25">
        <v>3807330132</v>
      </c>
      <c r="N15" s="650">
        <v>0</v>
      </c>
      <c r="O15" s="650"/>
      <c r="P15" s="650">
        <f>120545455+3350004545</f>
        <v>3470550000</v>
      </c>
      <c r="Q15" s="650">
        <v>36000000</v>
      </c>
      <c r="R15" s="650">
        <v>0</v>
      </c>
      <c r="S15" s="650"/>
      <c r="T15" s="25"/>
      <c r="U15" s="25">
        <v>10292227272</v>
      </c>
      <c r="V15" s="650">
        <v>5537752727</v>
      </c>
      <c r="W15" s="650"/>
      <c r="X15" s="650">
        <v>667000000</v>
      </c>
      <c r="Y15" s="650">
        <v>760000000</v>
      </c>
      <c r="Z15" s="650"/>
      <c r="AA15" s="650">
        <v>1055709091</v>
      </c>
      <c r="AB15" s="25"/>
      <c r="AC15" s="25">
        <f t="shared" ref="AC15:AC21" si="1">SUM(AD15:AI15)</f>
        <v>37071400</v>
      </c>
      <c r="AD15" s="650">
        <v>37071400</v>
      </c>
      <c r="AE15" s="650"/>
      <c r="AF15" s="673"/>
      <c r="AG15" s="650"/>
      <c r="AH15" s="650">
        <v>0</v>
      </c>
      <c r="AI15" s="670">
        <v>0</v>
      </c>
      <c r="AJ15" s="25"/>
      <c r="AK15" s="25">
        <f t="shared" ref="AK15:AK21" si="2">SUM(AL15:AQ15)</f>
        <v>0</v>
      </c>
      <c r="AL15" s="650"/>
      <c r="AM15" s="650"/>
      <c r="AN15" s="650"/>
      <c r="AO15" s="650"/>
      <c r="AP15" s="650"/>
      <c r="AQ15" s="650"/>
      <c r="AR15" s="25"/>
      <c r="AS15" s="41">
        <f t="shared" si="0"/>
        <v>14227878804</v>
      </c>
      <c r="AT15" s="31"/>
      <c r="AU15" s="31"/>
      <c r="AV15" s="31"/>
    </row>
    <row r="16" spans="1:48" s="38" customFormat="1" ht="15.75" customHeight="1">
      <c r="A16" s="36"/>
      <c r="B16" s="37"/>
      <c r="C16" s="39" t="s">
        <v>71</v>
      </c>
      <c r="D16" s="25"/>
      <c r="E16" s="25">
        <f>SUM(F16:K16)</f>
        <v>0</v>
      </c>
      <c r="F16" s="650"/>
      <c r="G16" s="650"/>
      <c r="H16" s="650">
        <v>0</v>
      </c>
      <c r="I16" s="650"/>
      <c r="J16" s="650"/>
      <c r="K16" s="650"/>
      <c r="L16" s="25"/>
      <c r="M16" s="25">
        <f t="shared" ref="M16:M21" si="3">SUM(N16:S16)</f>
        <v>0</v>
      </c>
      <c r="N16" s="650"/>
      <c r="O16" s="650"/>
      <c r="P16" s="650"/>
      <c r="Q16" s="650"/>
      <c r="R16" s="650"/>
      <c r="S16" s="650"/>
      <c r="T16" s="25"/>
      <c r="U16" s="25">
        <f t="shared" ref="U16:U20" si="4">SUM(V16:AA16)</f>
        <v>0</v>
      </c>
      <c r="V16" s="650"/>
      <c r="W16" s="650"/>
      <c r="X16" s="650"/>
      <c r="Y16" s="650"/>
      <c r="Z16" s="650"/>
      <c r="AA16" s="650"/>
      <c r="AB16" s="25"/>
      <c r="AC16" s="25">
        <f t="shared" si="1"/>
        <v>0</v>
      </c>
      <c r="AD16" s="667"/>
      <c r="AE16" s="667"/>
      <c r="AF16" s="667"/>
      <c r="AG16" s="667"/>
      <c r="AH16" s="667"/>
      <c r="AI16" s="667"/>
      <c r="AJ16" s="25"/>
      <c r="AK16" s="25">
        <f t="shared" si="2"/>
        <v>0</v>
      </c>
      <c r="AL16" s="650"/>
      <c r="AM16" s="650"/>
      <c r="AN16" s="650"/>
      <c r="AO16" s="650"/>
      <c r="AP16" s="650"/>
      <c r="AQ16" s="650"/>
      <c r="AR16" s="25"/>
      <c r="AS16" s="41">
        <f t="shared" si="0"/>
        <v>0</v>
      </c>
      <c r="AT16" s="31"/>
      <c r="AU16" s="31"/>
      <c r="AV16" s="31"/>
    </row>
    <row r="17" spans="1:45" s="38" customFormat="1" ht="15.75" hidden="1" customHeight="1">
      <c r="A17" s="36"/>
      <c r="B17" s="37"/>
      <c r="C17" s="39" t="s">
        <v>72</v>
      </c>
      <c r="D17" s="25"/>
      <c r="E17" s="25">
        <f t="shared" ref="E17" si="5">SUM(F17:K17)</f>
        <v>0</v>
      </c>
      <c r="F17" s="650"/>
      <c r="G17" s="650"/>
      <c r="H17" s="650"/>
      <c r="I17" s="650"/>
      <c r="J17" s="650"/>
      <c r="K17" s="650"/>
      <c r="L17" s="25"/>
      <c r="M17" s="25">
        <f t="shared" si="3"/>
        <v>0</v>
      </c>
      <c r="N17" s="650"/>
      <c r="O17" s="650"/>
      <c r="P17" s="650"/>
      <c r="Q17" s="650"/>
      <c r="R17" s="650"/>
      <c r="S17" s="650"/>
      <c r="T17" s="25"/>
      <c r="U17" s="25">
        <f t="shared" si="4"/>
        <v>0</v>
      </c>
      <c r="V17" s="650"/>
      <c r="W17" s="650"/>
      <c r="X17" s="650"/>
      <c r="Y17" s="650"/>
      <c r="Z17" s="650"/>
      <c r="AA17" s="650"/>
      <c r="AB17" s="25"/>
      <c r="AC17" s="25">
        <f t="shared" si="1"/>
        <v>0</v>
      </c>
      <c r="AD17" s="650"/>
      <c r="AE17" s="650"/>
      <c r="AF17" s="650"/>
      <c r="AG17" s="650"/>
      <c r="AH17" s="650"/>
      <c r="AI17" s="650"/>
      <c r="AJ17" s="25"/>
      <c r="AK17" s="25">
        <f t="shared" si="2"/>
        <v>0</v>
      </c>
      <c r="AL17" s="650"/>
      <c r="AM17" s="650"/>
      <c r="AN17" s="650"/>
      <c r="AO17" s="650"/>
      <c r="AP17" s="650"/>
      <c r="AQ17" s="650"/>
      <c r="AR17" s="25"/>
      <c r="AS17" s="41">
        <f t="shared" si="0"/>
        <v>0</v>
      </c>
    </row>
    <row r="18" spans="1:45" s="38" customFormat="1" ht="15.75" customHeight="1">
      <c r="A18" s="36"/>
      <c r="B18" s="37"/>
      <c r="C18" s="39" t="s">
        <v>347</v>
      </c>
      <c r="D18" s="25"/>
      <c r="E18" s="25">
        <f>SUM(F18:K18)</f>
        <v>20540000</v>
      </c>
      <c r="F18" s="650">
        <v>20540000</v>
      </c>
      <c r="G18" s="650"/>
      <c r="H18" s="650"/>
      <c r="I18" s="650">
        <v>0</v>
      </c>
      <c r="J18" s="650"/>
      <c r="K18" s="650"/>
      <c r="L18" s="25"/>
      <c r="M18" s="25">
        <f t="shared" si="3"/>
        <v>0</v>
      </c>
      <c r="N18" s="650"/>
      <c r="O18" s="650"/>
      <c r="P18" s="650"/>
      <c r="Q18" s="650"/>
      <c r="R18" s="650"/>
      <c r="S18" s="650"/>
      <c r="T18" s="25"/>
      <c r="U18" s="25">
        <v>0</v>
      </c>
      <c r="V18" s="650"/>
      <c r="W18" s="650"/>
      <c r="X18" s="650"/>
      <c r="Y18" s="650">
        <v>17220000</v>
      </c>
      <c r="Z18" s="650"/>
      <c r="AA18" s="650"/>
      <c r="AB18" s="25"/>
      <c r="AC18" s="25">
        <f t="shared" si="1"/>
        <v>0</v>
      </c>
      <c r="AD18" s="650">
        <v>0</v>
      </c>
      <c r="AE18" s="650"/>
      <c r="AF18" s="650"/>
      <c r="AG18" s="650"/>
      <c r="AH18" s="650"/>
      <c r="AI18" s="650"/>
      <c r="AJ18" s="25"/>
      <c r="AK18" s="25">
        <f t="shared" si="2"/>
        <v>0</v>
      </c>
      <c r="AL18" s="650"/>
      <c r="AM18" s="650"/>
      <c r="AN18" s="650"/>
      <c r="AO18" s="650"/>
      <c r="AP18" s="650"/>
      <c r="AQ18" s="650"/>
      <c r="AR18" s="25"/>
      <c r="AS18" s="41">
        <f t="shared" si="0"/>
        <v>20540000</v>
      </c>
    </row>
    <row r="19" spans="1:45" s="38" customFormat="1" ht="15.75" hidden="1" customHeight="1">
      <c r="A19" s="36"/>
      <c r="B19" s="37"/>
      <c r="C19" s="39" t="s">
        <v>73</v>
      </c>
      <c r="D19" s="25"/>
      <c r="E19" s="25">
        <f t="shared" ref="E19:E20" si="6">SUM(F19:K19)</f>
        <v>0</v>
      </c>
      <c r="F19" s="650"/>
      <c r="G19" s="650"/>
      <c r="H19" s="650"/>
      <c r="I19" s="650"/>
      <c r="J19" s="650"/>
      <c r="K19" s="650"/>
      <c r="L19" s="25"/>
      <c r="M19" s="25">
        <f t="shared" si="3"/>
        <v>0</v>
      </c>
      <c r="N19" s="650"/>
      <c r="O19" s="650"/>
      <c r="P19" s="650"/>
      <c r="Q19" s="650"/>
      <c r="R19" s="650"/>
      <c r="S19" s="650"/>
      <c r="T19" s="25"/>
      <c r="U19" s="25">
        <f t="shared" si="4"/>
        <v>0</v>
      </c>
      <c r="V19" s="650"/>
      <c r="W19" s="650"/>
      <c r="X19" s="650"/>
      <c r="Y19" s="650"/>
      <c r="Z19" s="650"/>
      <c r="AA19" s="650"/>
      <c r="AB19" s="25"/>
      <c r="AC19" s="25">
        <f t="shared" si="1"/>
        <v>0</v>
      </c>
      <c r="AD19" s="650"/>
      <c r="AE19" s="650"/>
      <c r="AF19" s="650"/>
      <c r="AG19" s="650"/>
      <c r="AH19" s="650"/>
      <c r="AI19" s="650"/>
      <c r="AJ19" s="25"/>
      <c r="AK19" s="25">
        <f t="shared" si="2"/>
        <v>0</v>
      </c>
      <c r="AL19" s="650"/>
      <c r="AM19" s="650"/>
      <c r="AN19" s="650"/>
      <c r="AO19" s="650"/>
      <c r="AP19" s="650"/>
      <c r="AQ19" s="650"/>
      <c r="AR19" s="25"/>
      <c r="AS19" s="41">
        <f t="shared" si="0"/>
        <v>0</v>
      </c>
    </row>
    <row r="20" spans="1:45" s="38" customFormat="1" ht="15.75" customHeight="1">
      <c r="A20" s="36"/>
      <c r="B20" s="37"/>
      <c r="C20" s="39" t="s">
        <v>351</v>
      </c>
      <c r="D20" s="25"/>
      <c r="E20" s="25">
        <f t="shared" si="6"/>
        <v>0</v>
      </c>
      <c r="F20" s="650"/>
      <c r="G20" s="650">
        <v>0</v>
      </c>
      <c r="H20" s="650"/>
      <c r="I20" s="650"/>
      <c r="J20" s="650"/>
      <c r="K20" s="650"/>
      <c r="L20" s="25"/>
      <c r="M20" s="25">
        <f>SUM(N20:S20)</f>
        <v>-1270476191</v>
      </c>
      <c r="N20" s="650"/>
      <c r="O20" s="650">
        <v>0</v>
      </c>
      <c r="P20" s="650">
        <v>-1270476191</v>
      </c>
      <c r="Q20" s="650">
        <v>0</v>
      </c>
      <c r="R20" s="650"/>
      <c r="S20" s="650"/>
      <c r="T20" s="25"/>
      <c r="U20" s="25">
        <f t="shared" si="4"/>
        <v>0</v>
      </c>
      <c r="V20" s="650">
        <v>0</v>
      </c>
      <c r="W20" s="650">
        <v>0</v>
      </c>
      <c r="X20" s="650"/>
      <c r="Y20" s="650"/>
      <c r="Z20" s="650"/>
      <c r="AA20" s="650"/>
      <c r="AB20" s="25"/>
      <c r="AC20" s="25">
        <f t="shared" si="1"/>
        <v>0</v>
      </c>
      <c r="AD20" s="674">
        <v>0</v>
      </c>
      <c r="AE20" s="650">
        <v>0</v>
      </c>
      <c r="AF20" s="650"/>
      <c r="AG20" s="650"/>
      <c r="AH20" s="650"/>
      <c r="AI20" s="650"/>
      <c r="AJ20" s="25"/>
      <c r="AK20" s="25">
        <f t="shared" si="2"/>
        <v>0</v>
      </c>
      <c r="AL20" s="650"/>
      <c r="AM20" s="650">
        <v>0</v>
      </c>
      <c r="AN20" s="650"/>
      <c r="AO20" s="650"/>
      <c r="AP20" s="650"/>
      <c r="AQ20" s="650"/>
      <c r="AR20" s="25"/>
      <c r="AS20" s="41">
        <f t="shared" si="0"/>
        <v>-1270476191</v>
      </c>
    </row>
    <row r="21" spans="1:45" s="38" customFormat="1" ht="15.75" customHeight="1">
      <c r="A21" s="36"/>
      <c r="B21" s="37"/>
      <c r="C21" s="39" t="s">
        <v>792</v>
      </c>
      <c r="D21" s="25"/>
      <c r="E21" s="25">
        <f>SUM(F21:K21)</f>
        <v>0</v>
      </c>
      <c r="F21" s="650">
        <v>0</v>
      </c>
      <c r="G21" s="650"/>
      <c r="H21" s="650"/>
      <c r="I21" s="650"/>
      <c r="J21" s="650"/>
      <c r="K21" s="650"/>
      <c r="L21" s="25"/>
      <c r="M21" s="25">
        <f t="shared" si="3"/>
        <v>-97107800</v>
      </c>
      <c r="N21" s="667">
        <v>0</v>
      </c>
      <c r="O21" s="667"/>
      <c r="P21" s="667">
        <v>0</v>
      </c>
      <c r="Q21" s="667">
        <v>0</v>
      </c>
      <c r="R21" s="667">
        <v>-97107800</v>
      </c>
      <c r="S21" s="667"/>
      <c r="T21" s="25"/>
      <c r="U21" s="25">
        <f>SUM(V21:AA21)</f>
        <v>0</v>
      </c>
      <c r="V21" s="650">
        <v>0</v>
      </c>
      <c r="W21" s="650"/>
      <c r="X21" s="650"/>
      <c r="Y21" s="650">
        <v>0</v>
      </c>
      <c r="Z21" s="650"/>
      <c r="AA21" s="650"/>
      <c r="AB21" s="25"/>
      <c r="AC21" s="25">
        <f t="shared" si="1"/>
        <v>-20540000</v>
      </c>
      <c r="AD21" s="674">
        <v>-20540000</v>
      </c>
      <c r="AE21" s="674"/>
      <c r="AF21" s="674">
        <v>0</v>
      </c>
      <c r="AG21" s="674">
        <v>0</v>
      </c>
      <c r="AH21" s="674">
        <v>0</v>
      </c>
      <c r="AI21" s="670">
        <v>0</v>
      </c>
      <c r="AJ21" s="25"/>
      <c r="AK21" s="25">
        <f t="shared" si="2"/>
        <v>0</v>
      </c>
      <c r="AL21" s="650"/>
      <c r="AM21" s="650"/>
      <c r="AN21" s="650">
        <v>0</v>
      </c>
      <c r="AO21" s="650"/>
      <c r="AP21" s="650"/>
      <c r="AQ21" s="650"/>
      <c r="AR21" s="25"/>
      <c r="AS21" s="41">
        <f t="shared" si="0"/>
        <v>-117647800</v>
      </c>
    </row>
    <row r="22" spans="1:45" s="16" customFormat="1" ht="15.75" customHeight="1">
      <c r="A22" s="32"/>
      <c r="C22" s="39" t="s">
        <v>855</v>
      </c>
      <c r="D22" s="40"/>
      <c r="E22" s="25">
        <f>SUM(E14:E21)</f>
        <v>11333772165</v>
      </c>
      <c r="F22" s="650"/>
      <c r="G22" s="650"/>
      <c r="H22" s="650"/>
      <c r="I22" s="650"/>
      <c r="J22" s="650"/>
      <c r="K22" s="650"/>
      <c r="L22" s="25"/>
      <c r="M22" s="25">
        <f>SUM(M14:M21)</f>
        <v>13542655258</v>
      </c>
      <c r="N22" s="650"/>
      <c r="O22" s="650"/>
      <c r="P22" s="650"/>
      <c r="Q22" s="650"/>
      <c r="R22" s="650"/>
      <c r="S22" s="650"/>
      <c r="T22" s="25"/>
      <c r="U22" s="25">
        <f>SUM(U14:U21)</f>
        <v>13444213932</v>
      </c>
      <c r="V22" s="650"/>
      <c r="W22" s="650"/>
      <c r="X22" s="650"/>
      <c r="Y22" s="650"/>
      <c r="Z22" s="650"/>
      <c r="AA22" s="650"/>
      <c r="AB22" s="25"/>
      <c r="AC22" s="25">
        <f>SUM(AC14:AC21)</f>
        <v>2625145380</v>
      </c>
      <c r="AD22" s="650"/>
      <c r="AE22" s="650"/>
      <c r="AF22" s="650"/>
      <c r="AG22" s="650"/>
      <c r="AH22" s="650"/>
      <c r="AI22" s="650"/>
      <c r="AJ22" s="25"/>
      <c r="AK22" s="25">
        <f>SUM(AK14:AK21)</f>
        <v>1714317005</v>
      </c>
      <c r="AL22" s="650"/>
      <c r="AM22" s="650"/>
      <c r="AN22" s="650"/>
      <c r="AO22" s="650"/>
      <c r="AP22" s="650"/>
      <c r="AQ22" s="650"/>
      <c r="AR22" s="40"/>
      <c r="AS22" s="41">
        <f>AK22+AC22+U22+M22+E22</f>
        <v>42660103740</v>
      </c>
    </row>
    <row r="23" spans="1:45" ht="1.5" customHeight="1">
      <c r="C23" s="39"/>
      <c r="D23" s="25"/>
      <c r="E23" s="25"/>
      <c r="F23" s="650"/>
      <c r="G23" s="650"/>
      <c r="H23" s="650"/>
      <c r="I23" s="650"/>
      <c r="J23" s="650"/>
      <c r="K23" s="650"/>
      <c r="L23" s="25"/>
      <c r="M23" s="25"/>
      <c r="N23" s="650"/>
      <c r="O23" s="650"/>
      <c r="P23" s="650"/>
      <c r="Q23" s="650"/>
      <c r="R23" s="650"/>
      <c r="S23" s="650"/>
      <c r="T23" s="25"/>
      <c r="U23" s="25"/>
      <c r="V23" s="650"/>
      <c r="W23" s="650"/>
      <c r="X23" s="650"/>
      <c r="Y23" s="650"/>
      <c r="Z23" s="650"/>
      <c r="AA23" s="650"/>
      <c r="AB23" s="25"/>
      <c r="AC23" s="25"/>
      <c r="AD23" s="650"/>
      <c r="AE23" s="650"/>
      <c r="AF23" s="650"/>
      <c r="AG23" s="650"/>
      <c r="AH23" s="650"/>
      <c r="AI23" s="650"/>
      <c r="AJ23" s="25"/>
      <c r="AK23" s="25"/>
      <c r="AL23" s="650"/>
      <c r="AM23" s="650"/>
      <c r="AN23" s="650"/>
      <c r="AO23" s="650"/>
      <c r="AP23" s="650"/>
      <c r="AQ23" s="650"/>
      <c r="AR23" s="25"/>
      <c r="AS23" s="41"/>
    </row>
    <row r="24" spans="1:45" ht="15.75" customHeight="1">
      <c r="C24" s="24" t="s">
        <v>467</v>
      </c>
      <c r="D24" s="25"/>
      <c r="E24" s="25"/>
      <c r="F24" s="650"/>
      <c r="G24" s="650"/>
      <c r="H24" s="650"/>
      <c r="I24" s="650"/>
      <c r="J24" s="650"/>
      <c r="K24" s="650"/>
      <c r="L24" s="25"/>
      <c r="M24" s="25"/>
      <c r="N24" s="650"/>
      <c r="O24" s="650"/>
      <c r="P24" s="650"/>
      <c r="Q24" s="650"/>
      <c r="R24" s="650"/>
      <c r="S24" s="650"/>
      <c r="T24" s="25"/>
      <c r="U24" s="25"/>
      <c r="V24" s="650"/>
      <c r="W24" s="650"/>
      <c r="X24" s="650"/>
      <c r="Y24" s="650"/>
      <c r="Z24" s="650"/>
      <c r="AA24" s="650"/>
      <c r="AB24" s="25"/>
      <c r="AC24" s="25"/>
      <c r="AD24" s="650"/>
      <c r="AE24" s="650"/>
      <c r="AF24" s="650"/>
      <c r="AG24" s="650"/>
      <c r="AH24" s="650"/>
      <c r="AI24" s="650"/>
      <c r="AJ24" s="25"/>
      <c r="AK24" s="25"/>
      <c r="AL24" s="650"/>
      <c r="AM24" s="650"/>
      <c r="AN24" s="650"/>
      <c r="AO24" s="650"/>
      <c r="AP24" s="650"/>
      <c r="AQ24" s="650"/>
      <c r="AR24" s="25"/>
      <c r="AS24" s="41"/>
    </row>
    <row r="25" spans="1:45" ht="15.75" customHeight="1">
      <c r="C25" s="39" t="s">
        <v>803</v>
      </c>
      <c r="D25" s="40"/>
      <c r="E25" s="25">
        <v>2021223676.23333</v>
      </c>
      <c r="F25" s="650">
        <v>1270371142</v>
      </c>
      <c r="G25" s="650"/>
      <c r="H25" s="650">
        <v>691678770</v>
      </c>
      <c r="I25" s="650"/>
      <c r="J25" s="650"/>
      <c r="K25" s="650"/>
      <c r="L25" s="25">
        <v>0</v>
      </c>
      <c r="M25" s="25">
        <v>5428464605</v>
      </c>
      <c r="N25" s="650"/>
      <c r="O25" s="650"/>
      <c r="P25" s="650">
        <v>5571189147</v>
      </c>
      <c r="Q25" s="650">
        <v>17721211</v>
      </c>
      <c r="R25" s="650"/>
      <c r="S25" s="650"/>
      <c r="T25" s="25">
        <v>0</v>
      </c>
      <c r="U25" s="25">
        <v>1108190685.166667</v>
      </c>
      <c r="V25" s="650"/>
      <c r="W25" s="650"/>
      <c r="X25" s="650"/>
      <c r="Y25" s="650">
        <v>488500007</v>
      </c>
      <c r="Z25" s="650"/>
      <c r="AA25" s="650"/>
      <c r="AB25" s="25"/>
      <c r="AC25" s="25">
        <v>1098411130.3333333</v>
      </c>
      <c r="AD25" s="650">
        <v>867486376</v>
      </c>
      <c r="AE25" s="650"/>
      <c r="AF25" s="673"/>
      <c r="AG25" s="650"/>
      <c r="AH25" s="650"/>
      <c r="AI25" s="650"/>
      <c r="AJ25" s="25">
        <v>0</v>
      </c>
      <c r="AK25" s="25">
        <v>1289202664</v>
      </c>
      <c r="AL25" s="650">
        <v>1125302664</v>
      </c>
      <c r="AM25" s="650"/>
      <c r="AN25" s="650"/>
      <c r="AO25" s="650"/>
      <c r="AP25" s="650"/>
      <c r="AQ25" s="650"/>
      <c r="AR25" s="40"/>
      <c r="AS25" s="41">
        <f>E25+M25+U25+AC25+AK25-1</f>
        <v>10945492759.73333</v>
      </c>
    </row>
    <row r="26" spans="1:45" s="102" customFormat="1" ht="15.75" customHeight="1">
      <c r="C26" s="479" t="s">
        <v>345</v>
      </c>
      <c r="D26" s="43"/>
      <c r="E26" s="25">
        <v>626428082</v>
      </c>
      <c r="F26" s="654">
        <f>199533350+99766675</f>
        <v>299300025</v>
      </c>
      <c r="G26" s="654">
        <v>0</v>
      </c>
      <c r="H26" s="654">
        <f>72151897+72151905+41528790</f>
        <v>185832592</v>
      </c>
      <c r="I26" s="654"/>
      <c r="J26" s="654"/>
      <c r="K26" s="654"/>
      <c r="L26" s="43"/>
      <c r="M26" s="25">
        <v>1427996615</v>
      </c>
      <c r="N26" s="654">
        <v>0</v>
      </c>
      <c r="O26" s="654">
        <v>0</v>
      </c>
      <c r="P26" s="654">
        <f>308726956+307422999+379787042</f>
        <v>995936997</v>
      </c>
      <c r="Q26" s="654">
        <f>7127272+5606061</f>
        <v>12733333</v>
      </c>
      <c r="R26" s="654">
        <v>0</v>
      </c>
      <c r="S26" s="654"/>
      <c r="T26" s="43"/>
      <c r="U26" s="25">
        <v>1045223162</v>
      </c>
      <c r="V26" s="654">
        <v>211511388</v>
      </c>
      <c r="W26" s="654">
        <v>0</v>
      </c>
      <c r="X26" s="654">
        <f>49319652+55583328+22031310</f>
        <v>126934290</v>
      </c>
      <c r="Y26" s="654">
        <f>172333332+91018334</f>
        <v>263351666</v>
      </c>
      <c r="Z26" s="654">
        <f>21428574+10714287</f>
        <v>32142861</v>
      </c>
      <c r="AA26" s="670">
        <f>2896182+16110717</f>
        <v>19006899</v>
      </c>
      <c r="AB26" s="43"/>
      <c r="AC26" s="25">
        <v>422653701</v>
      </c>
      <c r="AD26" s="654">
        <v>364653915</v>
      </c>
      <c r="AE26" s="654">
        <v>0</v>
      </c>
      <c r="AF26" s="654">
        <v>0</v>
      </c>
      <c r="AG26" s="654">
        <v>0</v>
      </c>
      <c r="AH26" s="654">
        <f>2726802+1363401</f>
        <v>4090203</v>
      </c>
      <c r="AI26" s="670">
        <f>17360388+8680194</f>
        <v>26040582</v>
      </c>
      <c r="AJ26" s="43"/>
      <c r="AK26" s="25">
        <v>310083401</v>
      </c>
      <c r="AL26" s="654">
        <f>155041700</f>
        <v>155041700</v>
      </c>
      <c r="AM26" s="654">
        <v>0</v>
      </c>
      <c r="AN26" s="654">
        <v>0</v>
      </c>
      <c r="AO26" s="654"/>
      <c r="AP26" s="654"/>
      <c r="AQ26" s="654"/>
      <c r="AR26" s="43"/>
      <c r="AS26" s="480">
        <f>E26+M26+U26+AC26+AK26</f>
        <v>3832384961</v>
      </c>
    </row>
    <row r="27" spans="1:45" ht="15.75" hidden="1" customHeight="1">
      <c r="C27" s="39" t="s">
        <v>72</v>
      </c>
      <c r="D27" s="25"/>
      <c r="E27" s="25">
        <f t="shared" ref="E27:E31" si="7">SUM(F27:K27)</f>
        <v>0</v>
      </c>
      <c r="F27" s="650"/>
      <c r="G27" s="650"/>
      <c r="H27" s="650"/>
      <c r="I27" s="650"/>
      <c r="J27" s="650"/>
      <c r="K27" s="650"/>
      <c r="L27" s="25"/>
      <c r="M27" s="25">
        <f t="shared" ref="M27:M29" si="8">SUM(N27:S27)</f>
        <v>0</v>
      </c>
      <c r="N27" s="650"/>
      <c r="O27" s="650"/>
      <c r="P27" s="650"/>
      <c r="Q27" s="650"/>
      <c r="R27" s="650"/>
      <c r="S27" s="650"/>
      <c r="T27" s="25"/>
      <c r="U27" s="25">
        <f t="shared" ref="U27:U30" si="9">SUM(V27:AA27)</f>
        <v>0</v>
      </c>
      <c r="V27" s="650"/>
      <c r="W27" s="650"/>
      <c r="X27" s="650"/>
      <c r="Y27" s="650"/>
      <c r="Z27" s="650"/>
      <c r="AA27" s="650"/>
      <c r="AB27" s="25"/>
      <c r="AC27" s="25">
        <f t="shared" ref="AC27:AC31" si="10">SUM(AD27:AI27)</f>
        <v>0</v>
      </c>
      <c r="AD27" s="650"/>
      <c r="AE27" s="650"/>
      <c r="AF27" s="650"/>
      <c r="AG27" s="650"/>
      <c r="AH27" s="650"/>
      <c r="AI27" s="650"/>
      <c r="AJ27" s="25"/>
      <c r="AK27" s="25">
        <f t="shared" ref="AK27:AK30" si="11">SUM(AL27:AQ27)</f>
        <v>0</v>
      </c>
      <c r="AL27" s="650"/>
      <c r="AM27" s="650"/>
      <c r="AN27" s="650"/>
      <c r="AO27" s="650"/>
      <c r="AP27" s="650"/>
      <c r="AQ27" s="650"/>
      <c r="AR27" s="25"/>
      <c r="AS27" s="41">
        <f t="shared" ref="AS27:AS29" si="12">E27+M27+U27+AC27+AK27</f>
        <v>0</v>
      </c>
    </row>
    <row r="28" spans="1:45" ht="15.75" hidden="1" customHeight="1">
      <c r="C28" s="39" t="s">
        <v>347</v>
      </c>
      <c r="D28" s="25"/>
      <c r="E28" s="25">
        <f t="shared" si="7"/>
        <v>0</v>
      </c>
      <c r="F28" s="650"/>
      <c r="G28" s="650"/>
      <c r="H28" s="650"/>
      <c r="I28" s="650"/>
      <c r="J28" s="650"/>
      <c r="K28" s="650"/>
      <c r="L28" s="25"/>
      <c r="M28" s="25">
        <f t="shared" si="8"/>
        <v>0</v>
      </c>
      <c r="N28" s="650"/>
      <c r="O28" s="650"/>
      <c r="P28" s="650"/>
      <c r="Q28" s="650"/>
      <c r="R28" s="650"/>
      <c r="S28" s="650"/>
      <c r="T28" s="25"/>
      <c r="U28" s="25">
        <f t="shared" si="9"/>
        <v>0</v>
      </c>
      <c r="V28" s="650"/>
      <c r="W28" s="650"/>
      <c r="X28" s="650"/>
      <c r="Y28" s="650"/>
      <c r="Z28" s="650"/>
      <c r="AA28" s="650"/>
      <c r="AB28" s="25"/>
      <c r="AC28" s="25">
        <f t="shared" si="10"/>
        <v>0</v>
      </c>
      <c r="AD28" s="650"/>
      <c r="AE28" s="650"/>
      <c r="AF28" s="650"/>
      <c r="AG28" s="650"/>
      <c r="AH28" s="650"/>
      <c r="AI28" s="650"/>
      <c r="AJ28" s="25"/>
      <c r="AK28" s="25">
        <f t="shared" si="11"/>
        <v>0</v>
      </c>
      <c r="AL28" s="650"/>
      <c r="AM28" s="650"/>
      <c r="AN28" s="650"/>
      <c r="AO28" s="650"/>
      <c r="AP28" s="650"/>
      <c r="AQ28" s="650"/>
      <c r="AR28" s="25"/>
      <c r="AS28" s="41">
        <f t="shared" si="12"/>
        <v>0</v>
      </c>
    </row>
    <row r="29" spans="1:45" ht="15.75" hidden="1" customHeight="1">
      <c r="C29" s="39" t="s">
        <v>73</v>
      </c>
      <c r="D29" s="25"/>
      <c r="E29" s="25">
        <f t="shared" si="7"/>
        <v>0</v>
      </c>
      <c r="F29" s="650"/>
      <c r="G29" s="650"/>
      <c r="H29" s="650"/>
      <c r="I29" s="650"/>
      <c r="J29" s="650"/>
      <c r="K29" s="650"/>
      <c r="L29" s="25"/>
      <c r="M29" s="25">
        <f t="shared" si="8"/>
        <v>0</v>
      </c>
      <c r="N29" s="650"/>
      <c r="O29" s="650"/>
      <c r="P29" s="650"/>
      <c r="Q29" s="650"/>
      <c r="R29" s="650"/>
      <c r="S29" s="650"/>
      <c r="T29" s="25"/>
      <c r="U29" s="25">
        <f t="shared" si="9"/>
        <v>0</v>
      </c>
      <c r="V29" s="650"/>
      <c r="W29" s="650"/>
      <c r="X29" s="650"/>
      <c r="Y29" s="650"/>
      <c r="Z29" s="650"/>
      <c r="AA29" s="650"/>
      <c r="AB29" s="25"/>
      <c r="AC29" s="25">
        <f t="shared" si="10"/>
        <v>0</v>
      </c>
      <c r="AD29" s="650"/>
      <c r="AE29" s="650"/>
      <c r="AF29" s="650"/>
      <c r="AG29" s="650"/>
      <c r="AH29" s="650"/>
      <c r="AI29" s="650"/>
      <c r="AJ29" s="25"/>
      <c r="AK29" s="25">
        <f t="shared" si="11"/>
        <v>0</v>
      </c>
      <c r="AL29" s="650"/>
      <c r="AM29" s="650"/>
      <c r="AN29" s="650"/>
      <c r="AO29" s="650"/>
      <c r="AP29" s="650"/>
      <c r="AQ29" s="650"/>
      <c r="AR29" s="25"/>
      <c r="AS29" s="41">
        <f t="shared" si="12"/>
        <v>0</v>
      </c>
    </row>
    <row r="30" spans="1:45" ht="15.75" customHeight="1">
      <c r="C30" s="39" t="s">
        <v>351</v>
      </c>
      <c r="D30" s="25"/>
      <c r="E30" s="25">
        <f>SUM(F30:K30)</f>
        <v>0</v>
      </c>
      <c r="F30" s="650"/>
      <c r="G30" s="650">
        <v>0</v>
      </c>
      <c r="H30" s="650"/>
      <c r="I30" s="650"/>
      <c r="J30" s="650"/>
      <c r="K30" s="650"/>
      <c r="L30" s="25"/>
      <c r="M30" s="25">
        <f>SUM(N30:S30)</f>
        <v>-1270476191</v>
      </c>
      <c r="N30" s="650"/>
      <c r="O30" s="650">
        <v>0</v>
      </c>
      <c r="P30" s="650">
        <v>-1270476191</v>
      </c>
      <c r="Q30" s="650">
        <v>0</v>
      </c>
      <c r="R30" s="650"/>
      <c r="S30" s="650"/>
      <c r="T30" s="25"/>
      <c r="U30" s="25">
        <f t="shared" si="9"/>
        <v>0</v>
      </c>
      <c r="V30" s="650">
        <v>0</v>
      </c>
      <c r="W30" s="650">
        <v>0</v>
      </c>
      <c r="X30" s="650"/>
      <c r="Y30" s="650"/>
      <c r="Z30" s="650"/>
      <c r="AA30" s="650"/>
      <c r="AB30" s="25"/>
      <c r="AC30" s="25">
        <f t="shared" si="10"/>
        <v>0</v>
      </c>
      <c r="AD30" s="667"/>
      <c r="AE30" s="650">
        <v>0</v>
      </c>
      <c r="AF30" s="650"/>
      <c r="AG30" s="650"/>
      <c r="AH30" s="650"/>
      <c r="AI30" s="650"/>
      <c r="AJ30" s="25"/>
      <c r="AK30" s="25">
        <f t="shared" si="11"/>
        <v>0</v>
      </c>
      <c r="AL30" s="650"/>
      <c r="AM30" s="650">
        <v>0</v>
      </c>
      <c r="AN30" s="650"/>
      <c r="AO30" s="650"/>
      <c r="AP30" s="650"/>
      <c r="AQ30" s="650"/>
      <c r="AR30" s="25"/>
      <c r="AS30" s="41">
        <f>E30+M30+U30+AC30+AK30</f>
        <v>-1270476191</v>
      </c>
    </row>
    <row r="31" spans="1:45" ht="15.75" customHeight="1">
      <c r="C31" s="39" t="s">
        <v>792</v>
      </c>
      <c r="D31" s="25"/>
      <c r="E31" s="25">
        <f t="shared" si="7"/>
        <v>0</v>
      </c>
      <c r="F31" s="650"/>
      <c r="G31" s="650"/>
      <c r="H31" s="650">
        <v>0</v>
      </c>
      <c r="I31" s="650"/>
      <c r="J31" s="650"/>
      <c r="K31" s="650"/>
      <c r="L31" s="25"/>
      <c r="M31" s="25">
        <f>SUM(N31:S31)</f>
        <v>-97107800</v>
      </c>
      <c r="N31" s="654">
        <v>0</v>
      </c>
      <c r="O31" s="654"/>
      <c r="P31" s="654">
        <v>0</v>
      </c>
      <c r="Q31" s="654">
        <v>0</v>
      </c>
      <c r="R31" s="654">
        <v>-97107800</v>
      </c>
      <c r="S31" s="654"/>
      <c r="T31" s="25"/>
      <c r="U31" s="25">
        <v>0</v>
      </c>
      <c r="V31" s="650"/>
      <c r="W31" s="650"/>
      <c r="X31" s="650"/>
      <c r="Y31" s="650">
        <v>-20388889</v>
      </c>
      <c r="Z31" s="650"/>
      <c r="AA31" s="650"/>
      <c r="AB31" s="25"/>
      <c r="AC31" s="25">
        <f t="shared" si="10"/>
        <v>0</v>
      </c>
      <c r="AD31" s="667">
        <v>0</v>
      </c>
      <c r="AE31" s="667"/>
      <c r="AF31" s="667">
        <v>0</v>
      </c>
      <c r="AG31" s="667">
        <v>0</v>
      </c>
      <c r="AH31" s="667">
        <v>0</v>
      </c>
      <c r="AI31" s="675">
        <v>0</v>
      </c>
      <c r="AJ31" s="25"/>
      <c r="AK31" s="25">
        <f>SUM(AL31:AQ31)</f>
        <v>0</v>
      </c>
      <c r="AL31" s="650"/>
      <c r="AM31" s="650"/>
      <c r="AN31" s="650">
        <v>0</v>
      </c>
      <c r="AO31" s="650"/>
      <c r="AP31" s="650"/>
      <c r="AQ31" s="650"/>
      <c r="AR31" s="25"/>
      <c r="AS31" s="41">
        <f>E31+M31+U31+AC31+AK31</f>
        <v>-97107800</v>
      </c>
    </row>
    <row r="32" spans="1:45" ht="15.75" customHeight="1">
      <c r="C32" s="39" t="s">
        <v>812</v>
      </c>
      <c r="D32" s="40"/>
      <c r="E32" s="25">
        <f>SUM(E25:E31)</f>
        <v>2647651758.2333298</v>
      </c>
      <c r="F32" s="25">
        <f>SUM(F25:F31)</f>
        <v>1569671167</v>
      </c>
      <c r="G32" s="25">
        <f t="shared" ref="G32:K32" si="13">SUM(G25:G31)</f>
        <v>0</v>
      </c>
      <c r="H32" s="25">
        <f t="shared" si="13"/>
        <v>877511362</v>
      </c>
      <c r="I32" s="25">
        <f t="shared" si="13"/>
        <v>0</v>
      </c>
      <c r="J32" s="25">
        <f t="shared" si="13"/>
        <v>0</v>
      </c>
      <c r="K32" s="25">
        <f t="shared" si="13"/>
        <v>0</v>
      </c>
      <c r="L32" s="25">
        <f t="shared" ref="L32:AJ32" si="14">SUM(L25:L31)</f>
        <v>0</v>
      </c>
      <c r="M32" s="25">
        <f>SUM(M25:M31)</f>
        <v>5488877229</v>
      </c>
      <c r="N32" s="25">
        <f t="shared" ref="N32:S32" si="15">SUM(N25:N31)</f>
        <v>0</v>
      </c>
      <c r="O32" s="25">
        <f t="shared" si="15"/>
        <v>0</v>
      </c>
      <c r="P32" s="25">
        <f t="shared" si="15"/>
        <v>5296649953</v>
      </c>
      <c r="Q32" s="25">
        <f t="shared" si="15"/>
        <v>30454544</v>
      </c>
      <c r="R32" s="25">
        <f t="shared" si="15"/>
        <v>-97107800</v>
      </c>
      <c r="S32" s="25">
        <f t="shared" si="15"/>
        <v>0</v>
      </c>
      <c r="T32" s="25">
        <f t="shared" si="14"/>
        <v>0</v>
      </c>
      <c r="U32" s="25">
        <f>SUM(U25:U31)</f>
        <v>2153413847.166667</v>
      </c>
      <c r="V32" s="25">
        <f t="shared" si="14"/>
        <v>211511388</v>
      </c>
      <c r="W32" s="25">
        <f t="shared" si="14"/>
        <v>0</v>
      </c>
      <c r="X32" s="25">
        <f t="shared" si="14"/>
        <v>126934290</v>
      </c>
      <c r="Y32" s="25">
        <f t="shared" si="14"/>
        <v>731462784</v>
      </c>
      <c r="Z32" s="25">
        <f t="shared" si="14"/>
        <v>32142861</v>
      </c>
      <c r="AA32" s="25">
        <f t="shared" si="14"/>
        <v>19006899</v>
      </c>
      <c r="AB32" s="25"/>
      <c r="AC32" s="25">
        <f t="shared" si="14"/>
        <v>1521064831.3333333</v>
      </c>
      <c r="AD32" s="25">
        <f t="shared" si="14"/>
        <v>1232140291</v>
      </c>
      <c r="AE32" s="25">
        <f t="shared" si="14"/>
        <v>0</v>
      </c>
      <c r="AF32" s="25">
        <f t="shared" si="14"/>
        <v>0</v>
      </c>
      <c r="AG32" s="25">
        <f t="shared" si="14"/>
        <v>0</v>
      </c>
      <c r="AH32" s="25">
        <f t="shared" si="14"/>
        <v>4090203</v>
      </c>
      <c r="AI32" s="25">
        <f t="shared" si="14"/>
        <v>26040582</v>
      </c>
      <c r="AJ32" s="25">
        <f t="shared" si="14"/>
        <v>0</v>
      </c>
      <c r="AK32" s="25">
        <f>SUM(AK25:AK31)</f>
        <v>1599286065</v>
      </c>
      <c r="AL32" s="25">
        <f t="shared" ref="AL32:AR32" si="16">SUM(AL25:AL31)</f>
        <v>1280344364</v>
      </c>
      <c r="AM32" s="25">
        <f t="shared" si="16"/>
        <v>0</v>
      </c>
      <c r="AN32" s="25">
        <f t="shared" si="16"/>
        <v>0</v>
      </c>
      <c r="AO32" s="25">
        <f t="shared" si="16"/>
        <v>0</v>
      </c>
      <c r="AP32" s="25">
        <f t="shared" si="16"/>
        <v>0</v>
      </c>
      <c r="AQ32" s="25">
        <f t="shared" si="16"/>
        <v>0</v>
      </c>
      <c r="AR32" s="25">
        <f t="shared" si="16"/>
        <v>0</v>
      </c>
      <c r="AS32" s="41">
        <f>E32+M32+U32+AC32+AK32-1</f>
        <v>13410293729.733332</v>
      </c>
    </row>
    <row r="33" spans="3:45" ht="2.25" customHeight="1">
      <c r="C33" s="39"/>
      <c r="D33" s="25"/>
      <c r="E33" s="25"/>
      <c r="F33" s="650"/>
      <c r="G33" s="650"/>
      <c r="H33" s="650"/>
      <c r="I33" s="650"/>
      <c r="J33" s="650"/>
      <c r="K33" s="650"/>
      <c r="L33" s="25"/>
      <c r="M33" s="25"/>
      <c r="N33" s="650"/>
      <c r="O33" s="650"/>
      <c r="P33" s="650"/>
      <c r="Q33" s="650"/>
      <c r="R33" s="650"/>
      <c r="S33" s="650"/>
      <c r="T33" s="25"/>
      <c r="U33" s="25"/>
      <c r="V33" s="650"/>
      <c r="W33" s="650"/>
      <c r="X33" s="650"/>
      <c r="Y33" s="650"/>
      <c r="Z33" s="650"/>
      <c r="AA33" s="650"/>
      <c r="AB33" s="25"/>
      <c r="AC33" s="25"/>
      <c r="AD33" s="650"/>
      <c r="AE33" s="650"/>
      <c r="AF33" s="650"/>
      <c r="AG33" s="650"/>
      <c r="AH33" s="650"/>
      <c r="AI33" s="650"/>
      <c r="AJ33" s="25"/>
      <c r="AK33" s="25"/>
      <c r="AL33" s="650"/>
      <c r="AM33" s="650"/>
      <c r="AN33" s="650"/>
      <c r="AO33" s="650"/>
      <c r="AP33" s="650"/>
      <c r="AQ33" s="650"/>
      <c r="AR33" s="25"/>
      <c r="AS33" s="25"/>
    </row>
    <row r="34" spans="3:45" ht="15.75" customHeight="1">
      <c r="C34" s="24" t="s">
        <v>349</v>
      </c>
      <c r="D34" s="25"/>
      <c r="E34" s="25"/>
      <c r="F34" s="650"/>
      <c r="G34" s="650"/>
      <c r="H34" s="650"/>
      <c r="I34" s="650"/>
      <c r="J34" s="650"/>
      <c r="K34" s="650"/>
      <c r="L34" s="25"/>
      <c r="M34" s="25"/>
      <c r="N34" s="650"/>
      <c r="O34" s="650"/>
      <c r="P34" s="650"/>
      <c r="Q34" s="650"/>
      <c r="R34" s="650"/>
      <c r="S34" s="650"/>
      <c r="T34" s="25"/>
      <c r="U34" s="25"/>
      <c r="V34" s="650"/>
      <c r="W34" s="650"/>
      <c r="X34" s="650"/>
      <c r="Y34" s="650"/>
      <c r="Z34" s="650"/>
      <c r="AA34" s="650"/>
      <c r="AB34" s="25"/>
      <c r="AC34" s="25"/>
      <c r="AD34" s="650"/>
      <c r="AE34" s="650"/>
      <c r="AF34" s="650"/>
      <c r="AG34" s="650"/>
      <c r="AH34" s="650"/>
      <c r="AI34" s="650"/>
      <c r="AJ34" s="25"/>
      <c r="AK34" s="25"/>
      <c r="AL34" s="650"/>
      <c r="AM34" s="650"/>
      <c r="AN34" s="650"/>
      <c r="AO34" s="650"/>
      <c r="AP34" s="650"/>
      <c r="AQ34" s="650"/>
      <c r="AR34" s="25"/>
      <c r="AS34" s="25"/>
    </row>
    <row r="35" spans="3:45" s="44" customFormat="1" ht="15.75" customHeight="1">
      <c r="C35" s="45" t="s">
        <v>804</v>
      </c>
      <c r="D35" s="41"/>
      <c r="E35" s="41">
        <f>E14-E25</f>
        <v>9200758488.7666702</v>
      </c>
      <c r="F35" s="655">
        <f t="shared" ref="F35:AS35" si="17">F14-F25</f>
        <v>-1270371142</v>
      </c>
      <c r="G35" s="655">
        <f t="shared" si="17"/>
        <v>0</v>
      </c>
      <c r="H35" s="655">
        <f t="shared" si="17"/>
        <v>-691678770</v>
      </c>
      <c r="I35" s="655">
        <f t="shared" si="17"/>
        <v>0</v>
      </c>
      <c r="J35" s="655"/>
      <c r="K35" s="655">
        <f t="shared" si="17"/>
        <v>0</v>
      </c>
      <c r="L35" s="41">
        <f t="shared" si="17"/>
        <v>0</v>
      </c>
      <c r="M35" s="41">
        <f t="shared" si="17"/>
        <v>5674444512</v>
      </c>
      <c r="N35" s="655">
        <f t="shared" si="17"/>
        <v>0</v>
      </c>
      <c r="O35" s="655">
        <f t="shared" si="17"/>
        <v>0</v>
      </c>
      <c r="P35" s="655">
        <f t="shared" si="17"/>
        <v>-5571189147</v>
      </c>
      <c r="Q35" s="655">
        <f t="shared" si="17"/>
        <v>-17721211</v>
      </c>
      <c r="R35" s="655"/>
      <c r="S35" s="655">
        <f t="shared" si="17"/>
        <v>0</v>
      </c>
      <c r="T35" s="41">
        <f t="shared" si="17"/>
        <v>0</v>
      </c>
      <c r="U35" s="41">
        <f t="shared" si="17"/>
        <v>2043795974.833333</v>
      </c>
      <c r="V35" s="655">
        <f t="shared" si="17"/>
        <v>0</v>
      </c>
      <c r="W35" s="655">
        <f t="shared" si="17"/>
        <v>0</v>
      </c>
      <c r="X35" s="655">
        <f t="shared" si="17"/>
        <v>0</v>
      </c>
      <c r="Y35" s="655">
        <f t="shared" si="17"/>
        <v>-488500007</v>
      </c>
      <c r="Z35" s="655"/>
      <c r="AA35" s="655">
        <f t="shared" si="17"/>
        <v>0</v>
      </c>
      <c r="AB35" s="41">
        <f t="shared" si="17"/>
        <v>0</v>
      </c>
      <c r="AC35" s="41">
        <f t="shared" si="17"/>
        <v>1510202849.6666667</v>
      </c>
      <c r="AD35" s="655">
        <f t="shared" si="17"/>
        <v>-867486376</v>
      </c>
      <c r="AE35" s="655">
        <f t="shared" si="17"/>
        <v>0</v>
      </c>
      <c r="AF35" s="655">
        <f t="shared" si="17"/>
        <v>0</v>
      </c>
      <c r="AG35" s="655">
        <f t="shared" si="17"/>
        <v>0</v>
      </c>
      <c r="AH35" s="655"/>
      <c r="AI35" s="655">
        <f t="shared" si="17"/>
        <v>0</v>
      </c>
      <c r="AJ35" s="41">
        <f t="shared" si="17"/>
        <v>0</v>
      </c>
      <c r="AK35" s="41">
        <f t="shared" si="17"/>
        <v>425114341</v>
      </c>
      <c r="AL35" s="655">
        <f t="shared" si="17"/>
        <v>-1125302664</v>
      </c>
      <c r="AM35" s="655">
        <f t="shared" si="17"/>
        <v>0</v>
      </c>
      <c r="AN35" s="655">
        <f t="shared" si="17"/>
        <v>0</v>
      </c>
      <c r="AO35" s="655">
        <f t="shared" si="17"/>
        <v>0</v>
      </c>
      <c r="AP35" s="655"/>
      <c r="AQ35" s="655">
        <f t="shared" si="17"/>
        <v>0</v>
      </c>
      <c r="AR35" s="41">
        <f t="shared" si="17"/>
        <v>0</v>
      </c>
      <c r="AS35" s="41">
        <f t="shared" si="17"/>
        <v>18854316167.26667</v>
      </c>
    </row>
    <row r="36" spans="3:45" s="44" customFormat="1" ht="15.75" customHeight="1">
      <c r="C36" s="45" t="s">
        <v>856</v>
      </c>
      <c r="D36" s="41"/>
      <c r="E36" s="41">
        <f>E22-E32</f>
        <v>8686120406.7666702</v>
      </c>
      <c r="F36" s="655">
        <f t="shared" ref="F36:AR36" si="18">F22-F32</f>
        <v>-1569671167</v>
      </c>
      <c r="G36" s="655">
        <f t="shared" si="18"/>
        <v>0</v>
      </c>
      <c r="H36" s="655">
        <f t="shared" si="18"/>
        <v>-877511362</v>
      </c>
      <c r="I36" s="655">
        <f t="shared" si="18"/>
        <v>0</v>
      </c>
      <c r="J36" s="655"/>
      <c r="K36" s="655">
        <f t="shared" si="18"/>
        <v>0</v>
      </c>
      <c r="L36" s="41">
        <f t="shared" si="18"/>
        <v>0</v>
      </c>
      <c r="M36" s="41">
        <f t="shared" si="18"/>
        <v>8053778029</v>
      </c>
      <c r="N36" s="655">
        <f t="shared" si="18"/>
        <v>0</v>
      </c>
      <c r="O36" s="655">
        <f t="shared" si="18"/>
        <v>0</v>
      </c>
      <c r="P36" s="655">
        <f t="shared" si="18"/>
        <v>-5296649953</v>
      </c>
      <c r="Q36" s="655">
        <f t="shared" si="18"/>
        <v>-30454544</v>
      </c>
      <c r="R36" s="655"/>
      <c r="S36" s="655">
        <f t="shared" si="18"/>
        <v>0</v>
      </c>
      <c r="T36" s="41">
        <f t="shared" si="18"/>
        <v>0</v>
      </c>
      <c r="U36" s="41">
        <f t="shared" si="18"/>
        <v>11290800084.833332</v>
      </c>
      <c r="V36" s="655">
        <f t="shared" si="18"/>
        <v>-211511388</v>
      </c>
      <c r="W36" s="655">
        <f t="shared" si="18"/>
        <v>0</v>
      </c>
      <c r="X36" s="655">
        <f t="shared" si="18"/>
        <v>-126934290</v>
      </c>
      <c r="Y36" s="655">
        <f t="shared" si="18"/>
        <v>-731462784</v>
      </c>
      <c r="Z36" s="655"/>
      <c r="AA36" s="655">
        <f t="shared" si="18"/>
        <v>-19006899</v>
      </c>
      <c r="AB36" s="41">
        <f t="shared" si="18"/>
        <v>0</v>
      </c>
      <c r="AC36" s="41">
        <f t="shared" si="18"/>
        <v>1104080548.6666667</v>
      </c>
      <c r="AD36" s="655">
        <f t="shared" si="18"/>
        <v>-1232140291</v>
      </c>
      <c r="AE36" s="655">
        <f t="shared" si="18"/>
        <v>0</v>
      </c>
      <c r="AF36" s="655">
        <f t="shared" si="18"/>
        <v>0</v>
      </c>
      <c r="AG36" s="655">
        <f t="shared" si="18"/>
        <v>0</v>
      </c>
      <c r="AH36" s="655"/>
      <c r="AI36" s="655">
        <f t="shared" si="18"/>
        <v>-26040582</v>
      </c>
      <c r="AJ36" s="41">
        <f t="shared" si="18"/>
        <v>0</v>
      </c>
      <c r="AK36" s="41">
        <f t="shared" si="18"/>
        <v>115030940</v>
      </c>
      <c r="AL36" s="655">
        <f t="shared" si="18"/>
        <v>-1280344364</v>
      </c>
      <c r="AM36" s="655">
        <f t="shared" si="18"/>
        <v>0</v>
      </c>
      <c r="AN36" s="655">
        <f t="shared" si="18"/>
        <v>0</v>
      </c>
      <c r="AO36" s="655">
        <f t="shared" si="18"/>
        <v>0</v>
      </c>
      <c r="AP36" s="655"/>
      <c r="AQ36" s="655">
        <f t="shared" si="18"/>
        <v>0</v>
      </c>
      <c r="AR36" s="41">
        <f t="shared" si="18"/>
        <v>0</v>
      </c>
      <c r="AS36" s="41">
        <f>AS22-AS32</f>
        <v>29249810010.26667</v>
      </c>
    </row>
    <row r="37" spans="3:45" s="44" customFormat="1" ht="15.75" customHeight="1">
      <c r="C37" s="45"/>
      <c r="D37" s="41"/>
      <c r="E37" s="41"/>
      <c r="F37" s="655"/>
      <c r="G37" s="655"/>
      <c r="H37" s="655"/>
      <c r="I37" s="655"/>
      <c r="J37" s="655"/>
      <c r="K37" s="655"/>
      <c r="L37" s="41"/>
      <c r="M37" s="41"/>
      <c r="N37" s="655"/>
      <c r="O37" s="655"/>
      <c r="P37" s="655"/>
      <c r="Q37" s="655"/>
      <c r="R37" s="655"/>
      <c r="S37" s="655"/>
      <c r="T37" s="41"/>
      <c r="U37" s="41"/>
      <c r="V37" s="655"/>
      <c r="W37" s="655"/>
      <c r="X37" s="655"/>
      <c r="Y37" s="655"/>
      <c r="Z37" s="655"/>
      <c r="AA37" s="655"/>
      <c r="AB37" s="41"/>
      <c r="AC37" s="41"/>
      <c r="AD37" s="655"/>
      <c r="AE37" s="655"/>
      <c r="AF37" s="655"/>
      <c r="AG37" s="655"/>
      <c r="AH37" s="655"/>
      <c r="AI37" s="655"/>
      <c r="AJ37" s="41"/>
      <c r="AK37" s="41"/>
      <c r="AL37" s="655"/>
      <c r="AM37" s="655"/>
      <c r="AN37" s="655"/>
      <c r="AO37" s="655"/>
      <c r="AP37" s="655"/>
      <c r="AQ37" s="655"/>
      <c r="AR37" s="41"/>
      <c r="AS37" s="41"/>
    </row>
    <row r="38" spans="3:45" s="102" customFormat="1" ht="12.75" customHeight="1">
      <c r="C38" s="551"/>
      <c r="D38" s="43"/>
      <c r="E38" s="43"/>
      <c r="F38" s="654"/>
      <c r="G38" s="654"/>
      <c r="H38" s="654"/>
      <c r="I38" s="654"/>
      <c r="J38" s="654"/>
      <c r="K38" s="654"/>
      <c r="L38" s="43"/>
      <c r="M38" s="43"/>
      <c r="N38" s="654"/>
      <c r="O38" s="654"/>
      <c r="P38" s="654"/>
      <c r="Q38" s="654"/>
      <c r="R38" s="654"/>
      <c r="S38" s="654"/>
      <c r="T38" s="43"/>
      <c r="U38" s="43"/>
      <c r="V38" s="654"/>
      <c r="W38" s="654"/>
      <c r="X38" s="654"/>
      <c r="Y38" s="654"/>
      <c r="Z38" s="654"/>
      <c r="AA38" s="654"/>
      <c r="AB38" s="43"/>
      <c r="AC38" s="43"/>
      <c r="AD38" s="654"/>
      <c r="AE38" s="654"/>
      <c r="AF38" s="654"/>
      <c r="AG38" s="654"/>
      <c r="AH38" s="654"/>
      <c r="AI38" s="654"/>
      <c r="AJ38" s="43"/>
      <c r="AK38" s="480"/>
      <c r="AL38" s="679"/>
      <c r="AM38" s="679"/>
      <c r="AN38" s="679"/>
      <c r="AO38" s="679"/>
      <c r="AP38" s="679"/>
      <c r="AQ38" s="679"/>
    </row>
    <row r="39" spans="3:45" s="102" customFormat="1">
      <c r="C39" s="552"/>
      <c r="F39" s="656" t="s">
        <v>832</v>
      </c>
      <c r="G39" s="701">
        <f>F32+N32+Q49</f>
        <v>1569671167</v>
      </c>
      <c r="H39" s="656"/>
      <c r="I39" s="656"/>
      <c r="J39" s="656"/>
      <c r="K39" s="656"/>
      <c r="N39" s="656"/>
      <c r="O39" s="656"/>
      <c r="P39" s="656"/>
      <c r="Q39" s="656"/>
      <c r="R39" s="656"/>
      <c r="S39" s="656"/>
      <c r="V39" s="656"/>
      <c r="W39" s="656"/>
      <c r="X39" s="656"/>
      <c r="Y39" s="656"/>
      <c r="Z39" s="656"/>
      <c r="AA39" s="656"/>
      <c r="AD39" s="656"/>
      <c r="AE39" s="656"/>
      <c r="AF39" s="656"/>
      <c r="AG39" s="656"/>
      <c r="AH39" s="656"/>
      <c r="AI39" s="656"/>
      <c r="AL39" s="656"/>
      <c r="AM39" s="656"/>
      <c r="AN39" s="656"/>
      <c r="AO39" s="656"/>
      <c r="AP39" s="656"/>
      <c r="AQ39" s="656"/>
    </row>
    <row r="40" spans="3:45" ht="31.5" customHeight="1">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row>
    <row r="41" spans="3:45">
      <c r="C41" s="567"/>
    </row>
    <row r="42" spans="3:45">
      <c r="C42" s="567"/>
    </row>
    <row r="50" spans="3:45">
      <c r="C50" s="42" t="s">
        <v>766</v>
      </c>
    </row>
    <row r="51" spans="3:45">
      <c r="C51" s="555" t="s">
        <v>773</v>
      </c>
      <c r="D51" s="357"/>
      <c r="E51" s="357"/>
      <c r="F51" s="658"/>
      <c r="G51" s="658"/>
      <c r="H51" s="658"/>
      <c r="I51" s="659"/>
      <c r="J51" s="658"/>
      <c r="K51" s="658"/>
      <c r="L51" s="357"/>
      <c r="M51" s="556"/>
      <c r="N51" s="658"/>
      <c r="O51" s="658"/>
      <c r="AC51" s="554">
        <v>8158132883</v>
      </c>
    </row>
    <row r="52" spans="3:45">
      <c r="C52" s="555" t="s">
        <v>774</v>
      </c>
      <c r="D52" s="357"/>
      <c r="E52" s="357"/>
      <c r="F52" s="658"/>
      <c r="G52" s="658"/>
      <c r="H52" s="658"/>
      <c r="I52" s="659"/>
      <c r="J52" s="658"/>
      <c r="K52" s="658"/>
      <c r="L52" s="357"/>
      <c r="M52" s="556"/>
      <c r="N52" s="658"/>
      <c r="O52" s="658"/>
      <c r="AC52" s="554">
        <v>176201722</v>
      </c>
    </row>
    <row r="53" spans="3:45">
      <c r="C53" s="805" t="s">
        <v>775</v>
      </c>
      <c r="D53" s="805"/>
      <c r="E53" s="805"/>
      <c r="F53" s="805"/>
      <c r="G53" s="805"/>
      <c r="H53" s="805"/>
      <c r="I53" s="805"/>
      <c r="J53" s="805"/>
      <c r="K53" s="805"/>
      <c r="L53" s="805"/>
      <c r="M53" s="805"/>
      <c r="N53" s="805"/>
      <c r="O53" s="805"/>
      <c r="AC53" s="554">
        <f>SUM(AC51:AC52)</f>
        <v>8334334605</v>
      </c>
    </row>
    <row r="54" spans="3:45">
      <c r="C54" s="557" t="s">
        <v>776</v>
      </c>
      <c r="D54" s="558"/>
      <c r="E54" s="558"/>
      <c r="F54" s="660"/>
      <c r="G54" s="660"/>
      <c r="H54" s="660"/>
      <c r="I54" s="660"/>
      <c r="J54" s="660"/>
      <c r="K54" s="660"/>
      <c r="L54" s="558"/>
      <c r="M54" s="558"/>
      <c r="N54" s="660"/>
      <c r="O54" s="660"/>
      <c r="AS54" s="554">
        <v>232399090</v>
      </c>
    </row>
    <row r="55" spans="3:45">
      <c r="C55" s="557" t="s">
        <v>777</v>
      </c>
      <c r="D55" s="558"/>
      <c r="E55" s="558"/>
      <c r="F55" s="660"/>
      <c r="G55" s="660"/>
      <c r="H55" s="660"/>
      <c r="I55" s="660"/>
      <c r="J55" s="660"/>
      <c r="K55" s="660"/>
      <c r="L55" s="558"/>
      <c r="M55" s="558"/>
      <c r="N55" s="660"/>
      <c r="O55" s="660"/>
      <c r="AS55" s="554">
        <v>93378517</v>
      </c>
    </row>
    <row r="56" spans="3:45">
      <c r="AS56" s="554">
        <v>500327187</v>
      </c>
    </row>
    <row r="57" spans="3:45">
      <c r="C57" s="42" t="s">
        <v>772</v>
      </c>
      <c r="AS57" s="568">
        <f>SUM(AS54:AS56)</f>
        <v>826104794</v>
      </c>
    </row>
    <row r="58" spans="3:45">
      <c r="C58" s="529" t="s">
        <v>778</v>
      </c>
      <c r="D58" s="47"/>
      <c r="E58" s="176"/>
      <c r="F58" s="661"/>
      <c r="G58" s="661"/>
      <c r="H58" s="662"/>
      <c r="I58" s="663"/>
      <c r="J58" s="662"/>
      <c r="K58" s="663"/>
    </row>
    <row r="59" spans="3:45">
      <c r="C59" s="807" t="s">
        <v>775</v>
      </c>
      <c r="D59" s="807"/>
      <c r="E59" s="807"/>
      <c r="F59" s="807"/>
      <c r="G59" s="807"/>
      <c r="H59" s="807"/>
      <c r="I59" s="807"/>
      <c r="J59" s="807"/>
      <c r="K59" s="807"/>
    </row>
    <row r="60" spans="3:45">
      <c r="C60" s="807" t="s">
        <v>779</v>
      </c>
      <c r="D60" s="807"/>
      <c r="E60" s="807"/>
      <c r="F60" s="807"/>
      <c r="G60" s="807"/>
      <c r="H60" s="807"/>
      <c r="I60" s="807"/>
      <c r="J60" s="807"/>
      <c r="K60" s="807"/>
    </row>
    <row r="61" spans="3:45">
      <c r="C61" s="559" t="s">
        <v>780</v>
      </c>
      <c r="D61" s="559"/>
      <c r="E61" s="559"/>
      <c r="F61" s="664"/>
      <c r="G61" s="664"/>
      <c r="H61" s="664"/>
      <c r="I61" s="664"/>
      <c r="J61" s="664"/>
      <c r="K61" s="664"/>
    </row>
    <row r="63" spans="3:45">
      <c r="C63" s="42" t="s">
        <v>786</v>
      </c>
    </row>
    <row r="64" spans="3:45">
      <c r="C64" s="560" t="s">
        <v>781</v>
      </c>
      <c r="D64" s="459"/>
      <c r="E64" s="459"/>
      <c r="F64" s="665"/>
      <c r="G64" s="665"/>
      <c r="H64" s="665"/>
      <c r="I64" s="665"/>
      <c r="J64" s="665"/>
      <c r="K64" s="665"/>
      <c r="L64" s="459"/>
      <c r="M64" s="561"/>
      <c r="N64" s="665"/>
      <c r="O64" s="668"/>
    </row>
    <row r="65" spans="3:15">
      <c r="C65" s="560" t="s">
        <v>782</v>
      </c>
      <c r="D65" s="459"/>
      <c r="E65" s="459"/>
      <c r="F65" s="665"/>
      <c r="G65" s="665"/>
      <c r="H65" s="665"/>
      <c r="I65" s="665"/>
      <c r="J65" s="665"/>
      <c r="K65" s="665"/>
      <c r="L65" s="459"/>
      <c r="M65" s="459"/>
      <c r="N65" s="665"/>
      <c r="O65" s="665"/>
    </row>
    <row r="66" spans="3:15">
      <c r="C66" s="808" t="s">
        <v>783</v>
      </c>
      <c r="D66" s="809"/>
      <c r="E66" s="809"/>
      <c r="F66" s="809"/>
      <c r="G66" s="809"/>
      <c r="H66" s="809"/>
      <c r="I66" s="809"/>
      <c r="J66" s="809"/>
      <c r="K66" s="809"/>
      <c r="L66" s="809"/>
      <c r="M66" s="809"/>
      <c r="N66" s="809"/>
      <c r="O66" s="809"/>
    </row>
    <row r="67" spans="3:15">
      <c r="C67" s="808" t="s">
        <v>784</v>
      </c>
      <c r="D67" s="809"/>
      <c r="E67" s="809"/>
      <c r="F67" s="809"/>
      <c r="G67" s="809"/>
      <c r="H67" s="809"/>
      <c r="I67" s="809"/>
      <c r="J67" s="809"/>
      <c r="K67" s="809"/>
      <c r="L67" s="809"/>
      <c r="M67" s="809"/>
      <c r="N67" s="809"/>
      <c r="O67" s="809"/>
    </row>
    <row r="68" spans="3:15">
      <c r="C68" s="808" t="s">
        <v>785</v>
      </c>
      <c r="D68" s="809"/>
      <c r="E68" s="809"/>
      <c r="F68" s="809"/>
      <c r="G68" s="809"/>
      <c r="H68" s="809"/>
      <c r="I68" s="809"/>
      <c r="J68" s="809"/>
      <c r="K68" s="809"/>
      <c r="L68" s="809"/>
      <c r="M68" s="809"/>
      <c r="N68" s="809"/>
      <c r="O68" s="809"/>
    </row>
    <row r="76" spans="3:15">
      <c r="C76" s="42" t="s">
        <v>793</v>
      </c>
    </row>
  </sheetData>
  <mergeCells count="11">
    <mergeCell ref="C59:K59"/>
    <mergeCell ref="C60:K60"/>
    <mergeCell ref="C66:O66"/>
    <mergeCell ref="C67:O67"/>
    <mergeCell ref="C68:O68"/>
    <mergeCell ref="AK4:AS4"/>
    <mergeCell ref="A5:AS5"/>
    <mergeCell ref="A6:AS6"/>
    <mergeCell ref="A7:AS7"/>
    <mergeCell ref="C53:O53"/>
    <mergeCell ref="C40:AS40"/>
  </mergeCells>
  <phoneticPr fontId="57" type="noConversion"/>
  <pageMargins left="0.39370078740157499" right="0.35433070866141703" top="0.48" bottom="0.2" header="0.59" footer="0.2"/>
  <pageSetup paperSize="9" firstPageNumber="9" orientation="landscape" useFirstPageNumber="1"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36"/>
  <sheetViews>
    <sheetView workbookViewId="0">
      <selection activeCell="G17" sqref="G17"/>
    </sheetView>
  </sheetViews>
  <sheetFormatPr defaultRowHeight="15"/>
  <cols>
    <col min="1" max="2" width="9" style="2"/>
    <col min="3" max="3" width="18.375" style="48" bestFit="1" customWidth="1"/>
    <col min="4" max="4" width="18.25" style="48" bestFit="1" customWidth="1"/>
    <col min="5" max="5" width="20.25" style="48" bestFit="1" customWidth="1"/>
    <col min="6" max="6" width="12.5" style="48" bestFit="1" customWidth="1"/>
    <col min="7" max="7" width="21.25" style="48" bestFit="1" customWidth="1"/>
    <col min="8" max="16384" width="9" style="2"/>
  </cols>
  <sheetData>
    <row r="1" spans="1:7">
      <c r="A1" s="2" t="s">
        <v>48</v>
      </c>
      <c r="C1" s="48">
        <v>7635561291</v>
      </c>
    </row>
    <row r="2" spans="1:7">
      <c r="A2" s="2" t="s">
        <v>49</v>
      </c>
      <c r="C2" s="48">
        <v>632227855</v>
      </c>
    </row>
    <row r="3" spans="1:7">
      <c r="A3" s="2" t="s">
        <v>50</v>
      </c>
      <c r="C3" s="48">
        <v>5653316771</v>
      </c>
    </row>
    <row r="4" spans="1:7">
      <c r="A4" s="2" t="s">
        <v>109</v>
      </c>
      <c r="C4" s="48">
        <v>124836799</v>
      </c>
    </row>
    <row r="5" spans="1:7">
      <c r="A5" s="2" t="s">
        <v>51</v>
      </c>
      <c r="C5" s="48">
        <v>36796455</v>
      </c>
    </row>
    <row r="7" spans="1:7">
      <c r="C7" s="48">
        <f>SUM(C1:C5)</f>
        <v>14082739171</v>
      </c>
      <c r="D7" s="48">
        <f>C7-'Ban CDKT'!I47</f>
        <v>-15717069756</v>
      </c>
    </row>
    <row r="9" spans="1:7">
      <c r="A9" s="70">
        <v>40179</v>
      </c>
      <c r="C9" s="48" t="s">
        <v>110</v>
      </c>
      <c r="D9" s="48" t="s">
        <v>479</v>
      </c>
      <c r="E9" s="48" t="s">
        <v>464</v>
      </c>
      <c r="F9" s="48" t="s">
        <v>111</v>
      </c>
      <c r="G9" s="48" t="s">
        <v>200</v>
      </c>
    </row>
    <row r="10" spans="1:7">
      <c r="A10" s="2" t="s">
        <v>48</v>
      </c>
      <c r="C10" s="48">
        <v>1977123320</v>
      </c>
      <c r="D10" s="48">
        <v>350632800</v>
      </c>
      <c r="E10" s="48">
        <v>26684162904</v>
      </c>
      <c r="G10" s="48">
        <v>154357528</v>
      </c>
    </row>
    <row r="11" spans="1:7">
      <c r="A11" s="2" t="s">
        <v>49</v>
      </c>
      <c r="C11" s="48">
        <v>920609735</v>
      </c>
      <c r="E11" s="48">
        <v>6281010413</v>
      </c>
      <c r="G11" s="48">
        <v>16130000</v>
      </c>
    </row>
    <row r="12" spans="1:7">
      <c r="A12" s="2" t="s">
        <v>50</v>
      </c>
      <c r="C12" s="48">
        <v>509575465</v>
      </c>
      <c r="D12" s="48">
        <v>68293941</v>
      </c>
      <c r="E12" s="48">
        <v>1768373020</v>
      </c>
      <c r="F12" s="48">
        <v>27317576</v>
      </c>
      <c r="G12" s="48">
        <v>9998507</v>
      </c>
    </row>
    <row r="13" spans="1:7">
      <c r="A13" s="2" t="s">
        <v>109</v>
      </c>
      <c r="E13" s="48">
        <v>-1631388379</v>
      </c>
    </row>
    <row r="14" spans="1:7">
      <c r="A14" s="2" t="s">
        <v>51</v>
      </c>
      <c r="E14" s="48">
        <v>-89805735</v>
      </c>
    </row>
    <row r="15" spans="1:7" s="5" customFormat="1" ht="14.25">
      <c r="C15" s="95">
        <f>SUM(C10:C14)</f>
        <v>3407308520</v>
      </c>
      <c r="D15" s="95">
        <f>SUM(D10:D14)</f>
        <v>418926741</v>
      </c>
      <c r="E15" s="95">
        <f>SUM(E10:E14)</f>
        <v>33012352223</v>
      </c>
      <c r="F15" s="95">
        <f>SUM(F10:F14)</f>
        <v>27317576</v>
      </c>
      <c r="G15" s="95">
        <f>SUM(G10:G14)</f>
        <v>180486035</v>
      </c>
    </row>
    <row r="16" spans="1:7">
      <c r="A16" s="2" t="s">
        <v>112</v>
      </c>
    </row>
    <row r="17" spans="1:7">
      <c r="A17" s="2" t="s">
        <v>48</v>
      </c>
      <c r="C17" s="48">
        <f>C10</f>
        <v>1977123320</v>
      </c>
      <c r="D17" s="48">
        <f>D10</f>
        <v>350632800</v>
      </c>
      <c r="E17" s="48">
        <f>E10</f>
        <v>26684162904</v>
      </c>
      <c r="F17" s="48">
        <f>F10</f>
        <v>0</v>
      </c>
      <c r="G17" s="48">
        <f>G10</f>
        <v>154357528</v>
      </c>
    </row>
    <row r="18" spans="1:7">
      <c r="A18" s="2" t="s">
        <v>49</v>
      </c>
      <c r="C18" s="48">
        <f t="shared" ref="C18:G19" si="0">C11*51%</f>
        <v>469510964.85000002</v>
      </c>
      <c r="D18" s="48">
        <f t="shared" si="0"/>
        <v>0</v>
      </c>
      <c r="E18" s="48">
        <f t="shared" si="0"/>
        <v>3203315310.6300001</v>
      </c>
      <c r="F18" s="48">
        <f t="shared" si="0"/>
        <v>0</v>
      </c>
      <c r="G18" s="48">
        <f t="shared" si="0"/>
        <v>8226300</v>
      </c>
    </row>
    <row r="19" spans="1:7">
      <c r="A19" s="2" t="s">
        <v>50</v>
      </c>
      <c r="C19" s="48">
        <f t="shared" si="0"/>
        <v>259883487.15000001</v>
      </c>
      <c r="D19" s="48">
        <f t="shared" si="0"/>
        <v>34829909.910000004</v>
      </c>
      <c r="E19" s="48">
        <f t="shared" si="0"/>
        <v>901870240.20000005</v>
      </c>
      <c r="F19" s="48">
        <f t="shared" si="0"/>
        <v>13931963.76</v>
      </c>
      <c r="G19" s="48">
        <f t="shared" si="0"/>
        <v>5099238.57</v>
      </c>
    </row>
    <row r="20" spans="1:7">
      <c r="A20" s="2" t="s">
        <v>109</v>
      </c>
      <c r="C20" s="48">
        <f>C13*51%</f>
        <v>0</v>
      </c>
      <c r="D20" s="48">
        <f>D13*51%</f>
        <v>0</v>
      </c>
      <c r="E20" s="48">
        <f>E13</f>
        <v>-1631388379</v>
      </c>
      <c r="F20" s="48">
        <f>F13*51%</f>
        <v>0</v>
      </c>
      <c r="G20" s="48">
        <f>G13*51%</f>
        <v>0</v>
      </c>
    </row>
    <row r="21" spans="1:7">
      <c r="A21" s="2" t="s">
        <v>51</v>
      </c>
      <c r="C21" s="48">
        <f>C14*51%</f>
        <v>0</v>
      </c>
      <c r="D21" s="48">
        <f>D14*51%</f>
        <v>0</v>
      </c>
      <c r="E21" s="48">
        <f>E14*51%</f>
        <v>-45800924.850000001</v>
      </c>
      <c r="F21" s="48">
        <f>F14*51%</f>
        <v>0</v>
      </c>
      <c r="G21" s="48">
        <f>G14*51%</f>
        <v>0</v>
      </c>
    </row>
    <row r="22" spans="1:7" s="5" customFormat="1" ht="14.25">
      <c r="C22" s="95">
        <f>SUM(C17:C21)</f>
        <v>2706517772</v>
      </c>
      <c r="D22" s="95">
        <f>SUM(D17:D21)</f>
        <v>385462709.91000003</v>
      </c>
      <c r="E22" s="95">
        <f>SUM(E17:E21)</f>
        <v>29112159150.980003</v>
      </c>
      <c r="F22" s="95">
        <f>SUM(F17:F21)</f>
        <v>13931963.76</v>
      </c>
      <c r="G22" s="95">
        <f>SUM(G17:G21)</f>
        <v>167683066.56999999</v>
      </c>
    </row>
    <row r="23" spans="1:7">
      <c r="C23" s="48">
        <f>C22-'Thuyet minh BCTC 1'!E366</f>
        <v>-21261141498</v>
      </c>
      <c r="D23" s="48">
        <f>D22-'Thuyet minh BCTC 1'!E368</f>
        <v>-13294457653.09</v>
      </c>
      <c r="E23" s="48">
        <f>E22-'Thuyet minh BCTC 1'!I344</f>
        <v>9518280982.9800034</v>
      </c>
      <c r="F23" s="48">
        <f>F22-'Thuyet minh BCTC 1'!G344</f>
        <v>13931963.76</v>
      </c>
      <c r="G23" s="48" t="e">
        <f>G22-'Thuyet minh BCTC 1'!#REF!</f>
        <v>#REF!</v>
      </c>
    </row>
    <row r="24" spans="1:7">
      <c r="A24" s="2" t="s">
        <v>113</v>
      </c>
    </row>
    <row r="25" spans="1:7">
      <c r="A25" s="2" t="s">
        <v>48</v>
      </c>
      <c r="E25" s="48">
        <v>47569359745.000008</v>
      </c>
    </row>
    <row r="26" spans="1:7">
      <c r="A26" s="2" t="s">
        <v>49</v>
      </c>
      <c r="E26" s="96">
        <v>16538322303</v>
      </c>
    </row>
    <row r="27" spans="1:7">
      <c r="A27" s="2" t="s">
        <v>50</v>
      </c>
      <c r="E27" s="97">
        <v>5583147990</v>
      </c>
    </row>
    <row r="28" spans="1:7">
      <c r="A28" s="2" t="s">
        <v>109</v>
      </c>
      <c r="E28" s="48">
        <v>-2919194353</v>
      </c>
    </row>
    <row r="29" spans="1:7">
      <c r="A29" s="2" t="s">
        <v>51</v>
      </c>
      <c r="E29" s="48">
        <v>347688338</v>
      </c>
    </row>
    <row r="30" spans="1:7" s="5" customFormat="1" ht="14.25">
      <c r="C30" s="95">
        <f>SUM(C25:C29)</f>
        <v>0</v>
      </c>
      <c r="D30" s="95">
        <f>SUM(D25:D29)</f>
        <v>0</v>
      </c>
      <c r="E30" s="95">
        <f>SUM(E25:E29)</f>
        <v>67119324023</v>
      </c>
      <c r="F30" s="95">
        <f>SUM(F25:F29)</f>
        <v>0</v>
      </c>
      <c r="G30" s="95">
        <f>SUM(G25:G29)</f>
        <v>0</v>
      </c>
    </row>
    <row r="31" spans="1:7">
      <c r="E31" s="48">
        <f>E25</f>
        <v>47569359745.000008</v>
      </c>
    </row>
    <row r="32" spans="1:7">
      <c r="E32" s="48">
        <f>E26*51%</f>
        <v>8434544374.5299997</v>
      </c>
    </row>
    <row r="33" spans="3:7">
      <c r="E33" s="48">
        <f>E27*51%</f>
        <v>2847405474.9000001</v>
      </c>
    </row>
    <row r="34" spans="3:7">
      <c r="E34" s="48">
        <f>E28</f>
        <v>-2919194353</v>
      </c>
    </row>
    <row r="35" spans="3:7">
      <c r="E35" s="48">
        <f>E29*51%</f>
        <v>177321052.38</v>
      </c>
    </row>
    <row r="36" spans="3:7" s="5" customFormat="1" ht="14.25">
      <c r="C36" s="95"/>
      <c r="D36" s="95"/>
      <c r="E36" s="95">
        <f>SUM(E31:E35)</f>
        <v>56109436293.810005</v>
      </c>
      <c r="F36" s="95"/>
      <c r="G36" s="95"/>
    </row>
  </sheetData>
  <phoneticPr fontId="57"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7"/>
  <sheetViews>
    <sheetView workbookViewId="0">
      <selection activeCell="G17" sqref="G17"/>
    </sheetView>
  </sheetViews>
  <sheetFormatPr defaultRowHeight="15"/>
  <cols>
    <col min="1" max="1" width="11.375" bestFit="1" customWidth="1"/>
  </cols>
  <sheetData>
    <row r="1" spans="1:5">
      <c r="B1" s="111" t="s">
        <v>576</v>
      </c>
      <c r="C1" s="111" t="s">
        <v>577</v>
      </c>
      <c r="D1" s="111" t="s">
        <v>578</v>
      </c>
      <c r="E1" s="111" t="s">
        <v>579</v>
      </c>
    </row>
    <row r="2" spans="1:5" s="112" customFormat="1">
      <c r="A2" s="112" t="s">
        <v>48</v>
      </c>
      <c r="B2" s="113"/>
      <c r="C2" s="113"/>
      <c r="D2" s="113"/>
      <c r="E2" s="113"/>
    </row>
    <row r="3" spans="1:5">
      <c r="A3" s="111" t="s">
        <v>573</v>
      </c>
      <c r="B3" s="114"/>
      <c r="C3" s="114"/>
      <c r="D3" s="114"/>
      <c r="E3" s="114"/>
    </row>
    <row r="4" spans="1:5">
      <c r="A4" s="111" t="s">
        <v>574</v>
      </c>
      <c r="B4" s="114"/>
      <c r="C4" s="114"/>
      <c r="D4" s="114"/>
      <c r="E4" s="114"/>
    </row>
    <row r="5" spans="1:5">
      <c r="A5" s="111" t="s">
        <v>575</v>
      </c>
      <c r="B5" s="114"/>
      <c r="C5" s="114"/>
      <c r="D5" s="114"/>
      <c r="E5" s="114"/>
    </row>
    <row r="6" spans="1:5">
      <c r="A6" s="111" t="s">
        <v>52</v>
      </c>
      <c r="B6" s="114"/>
      <c r="C6" s="114"/>
      <c r="D6" s="114"/>
      <c r="E6" s="114"/>
    </row>
    <row r="7" spans="1:5">
      <c r="A7" s="111" t="s">
        <v>197</v>
      </c>
      <c r="B7" s="114"/>
      <c r="C7" s="114"/>
      <c r="D7" s="114"/>
      <c r="E7" s="1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20"/>
  <sheetViews>
    <sheetView workbookViewId="0">
      <pane xSplit="3" ySplit="6" topLeftCell="D19" activePane="bottomRight" state="frozen"/>
      <selection activeCell="E17" sqref="E17"/>
      <selection pane="topRight" activeCell="E17" sqref="E17"/>
      <selection pane="bottomLeft" activeCell="E17" sqref="E17"/>
      <selection pane="bottomRight" activeCell="E17" sqref="E17"/>
    </sheetView>
  </sheetViews>
  <sheetFormatPr defaultRowHeight="15.75"/>
  <cols>
    <col min="1" max="1" width="5.25" style="481" customWidth="1"/>
    <col min="2" max="2" width="13.625" style="482" customWidth="1"/>
    <col min="3" max="3" width="15" style="482" customWidth="1"/>
    <col min="4" max="5" width="14.25" style="482" customWidth="1"/>
    <col min="6" max="6" width="15.5" style="482" customWidth="1"/>
    <col min="7" max="8" width="14.375" style="482" customWidth="1"/>
    <col min="9" max="11" width="15.5" style="482" customWidth="1"/>
    <col min="12" max="12" width="14.75" style="482" customWidth="1"/>
    <col min="13" max="256" width="9" style="482"/>
    <col min="257" max="257" width="5.25" style="482" customWidth="1"/>
    <col min="258" max="258" width="13.625" style="482" customWidth="1"/>
    <col min="259" max="259" width="15" style="482" customWidth="1"/>
    <col min="260" max="261" width="14.25" style="482" customWidth="1"/>
    <col min="262" max="262" width="15.5" style="482" customWidth="1"/>
    <col min="263" max="264" width="14.375" style="482" customWidth="1"/>
    <col min="265" max="267" width="15.5" style="482" customWidth="1"/>
    <col min="268" max="268" width="14.75" style="482" customWidth="1"/>
    <col min="269" max="512" width="9" style="482"/>
    <col min="513" max="513" width="5.25" style="482" customWidth="1"/>
    <col min="514" max="514" width="13.625" style="482" customWidth="1"/>
    <col min="515" max="515" width="15" style="482" customWidth="1"/>
    <col min="516" max="517" width="14.25" style="482" customWidth="1"/>
    <col min="518" max="518" width="15.5" style="482" customWidth="1"/>
    <col min="519" max="520" width="14.375" style="482" customWidth="1"/>
    <col min="521" max="523" width="15.5" style="482" customWidth="1"/>
    <col min="524" max="524" width="14.75" style="482" customWidth="1"/>
    <col min="525" max="768" width="9" style="482"/>
    <col min="769" max="769" width="5.25" style="482" customWidth="1"/>
    <col min="770" max="770" width="13.625" style="482" customWidth="1"/>
    <col min="771" max="771" width="15" style="482" customWidth="1"/>
    <col min="772" max="773" width="14.25" style="482" customWidth="1"/>
    <col min="774" max="774" width="15.5" style="482" customWidth="1"/>
    <col min="775" max="776" width="14.375" style="482" customWidth="1"/>
    <col min="777" max="779" width="15.5" style="482" customWidth="1"/>
    <col min="780" max="780" width="14.75" style="482" customWidth="1"/>
    <col min="781" max="1024" width="9" style="482"/>
    <col min="1025" max="1025" width="5.25" style="482" customWidth="1"/>
    <col min="1026" max="1026" width="13.625" style="482" customWidth="1"/>
    <col min="1027" max="1027" width="15" style="482" customWidth="1"/>
    <col min="1028" max="1029" width="14.25" style="482" customWidth="1"/>
    <col min="1030" max="1030" width="15.5" style="482" customWidth="1"/>
    <col min="1031" max="1032" width="14.375" style="482" customWidth="1"/>
    <col min="1033" max="1035" width="15.5" style="482" customWidth="1"/>
    <col min="1036" max="1036" width="14.75" style="482" customWidth="1"/>
    <col min="1037" max="1280" width="9" style="482"/>
    <col min="1281" max="1281" width="5.25" style="482" customWidth="1"/>
    <col min="1282" max="1282" width="13.625" style="482" customWidth="1"/>
    <col min="1283" max="1283" width="15" style="482" customWidth="1"/>
    <col min="1284" max="1285" width="14.25" style="482" customWidth="1"/>
    <col min="1286" max="1286" width="15.5" style="482" customWidth="1"/>
    <col min="1287" max="1288" width="14.375" style="482" customWidth="1"/>
    <col min="1289" max="1291" width="15.5" style="482" customWidth="1"/>
    <col min="1292" max="1292" width="14.75" style="482" customWidth="1"/>
    <col min="1293" max="1536" width="9" style="482"/>
    <col min="1537" max="1537" width="5.25" style="482" customWidth="1"/>
    <col min="1538" max="1538" width="13.625" style="482" customWidth="1"/>
    <col min="1539" max="1539" width="15" style="482" customWidth="1"/>
    <col min="1540" max="1541" width="14.25" style="482" customWidth="1"/>
    <col min="1542" max="1542" width="15.5" style="482" customWidth="1"/>
    <col min="1543" max="1544" width="14.375" style="482" customWidth="1"/>
    <col min="1545" max="1547" width="15.5" style="482" customWidth="1"/>
    <col min="1548" max="1548" width="14.75" style="482" customWidth="1"/>
    <col min="1549" max="1792" width="9" style="482"/>
    <col min="1793" max="1793" width="5.25" style="482" customWidth="1"/>
    <col min="1794" max="1794" width="13.625" style="482" customWidth="1"/>
    <col min="1795" max="1795" width="15" style="482" customWidth="1"/>
    <col min="1796" max="1797" width="14.25" style="482" customWidth="1"/>
    <col min="1798" max="1798" width="15.5" style="482" customWidth="1"/>
    <col min="1799" max="1800" width="14.375" style="482" customWidth="1"/>
    <col min="1801" max="1803" width="15.5" style="482" customWidth="1"/>
    <col min="1804" max="1804" width="14.75" style="482" customWidth="1"/>
    <col min="1805" max="2048" width="9" style="482"/>
    <col min="2049" max="2049" width="5.25" style="482" customWidth="1"/>
    <col min="2050" max="2050" width="13.625" style="482" customWidth="1"/>
    <col min="2051" max="2051" width="15" style="482" customWidth="1"/>
    <col min="2052" max="2053" width="14.25" style="482" customWidth="1"/>
    <col min="2054" max="2054" width="15.5" style="482" customWidth="1"/>
    <col min="2055" max="2056" width="14.375" style="482" customWidth="1"/>
    <col min="2057" max="2059" width="15.5" style="482" customWidth="1"/>
    <col min="2060" max="2060" width="14.75" style="482" customWidth="1"/>
    <col min="2061" max="2304" width="9" style="482"/>
    <col min="2305" max="2305" width="5.25" style="482" customWidth="1"/>
    <col min="2306" max="2306" width="13.625" style="482" customWidth="1"/>
    <col min="2307" max="2307" width="15" style="482" customWidth="1"/>
    <col min="2308" max="2309" width="14.25" style="482" customWidth="1"/>
    <col min="2310" max="2310" width="15.5" style="482" customWidth="1"/>
    <col min="2311" max="2312" width="14.375" style="482" customWidth="1"/>
    <col min="2313" max="2315" width="15.5" style="482" customWidth="1"/>
    <col min="2316" max="2316" width="14.75" style="482" customWidth="1"/>
    <col min="2317" max="2560" width="9" style="482"/>
    <col min="2561" max="2561" width="5.25" style="482" customWidth="1"/>
    <col min="2562" max="2562" width="13.625" style="482" customWidth="1"/>
    <col min="2563" max="2563" width="15" style="482" customWidth="1"/>
    <col min="2564" max="2565" width="14.25" style="482" customWidth="1"/>
    <col min="2566" max="2566" width="15.5" style="482" customWidth="1"/>
    <col min="2567" max="2568" width="14.375" style="482" customWidth="1"/>
    <col min="2569" max="2571" width="15.5" style="482" customWidth="1"/>
    <col min="2572" max="2572" width="14.75" style="482" customWidth="1"/>
    <col min="2573" max="2816" width="9" style="482"/>
    <col min="2817" max="2817" width="5.25" style="482" customWidth="1"/>
    <col min="2818" max="2818" width="13.625" style="482" customWidth="1"/>
    <col min="2819" max="2819" width="15" style="482" customWidth="1"/>
    <col min="2820" max="2821" width="14.25" style="482" customWidth="1"/>
    <col min="2822" max="2822" width="15.5" style="482" customWidth="1"/>
    <col min="2823" max="2824" width="14.375" style="482" customWidth="1"/>
    <col min="2825" max="2827" width="15.5" style="482" customWidth="1"/>
    <col min="2828" max="2828" width="14.75" style="482" customWidth="1"/>
    <col min="2829" max="3072" width="9" style="482"/>
    <col min="3073" max="3073" width="5.25" style="482" customWidth="1"/>
    <col min="3074" max="3074" width="13.625" style="482" customWidth="1"/>
    <col min="3075" max="3075" width="15" style="482" customWidth="1"/>
    <col min="3076" max="3077" width="14.25" style="482" customWidth="1"/>
    <col min="3078" max="3078" width="15.5" style="482" customWidth="1"/>
    <col min="3079" max="3080" width="14.375" style="482" customWidth="1"/>
    <col min="3081" max="3083" width="15.5" style="482" customWidth="1"/>
    <col min="3084" max="3084" width="14.75" style="482" customWidth="1"/>
    <col min="3085" max="3328" width="9" style="482"/>
    <col min="3329" max="3329" width="5.25" style="482" customWidth="1"/>
    <col min="3330" max="3330" width="13.625" style="482" customWidth="1"/>
    <col min="3331" max="3331" width="15" style="482" customWidth="1"/>
    <col min="3332" max="3333" width="14.25" style="482" customWidth="1"/>
    <col min="3334" max="3334" width="15.5" style="482" customWidth="1"/>
    <col min="3335" max="3336" width="14.375" style="482" customWidth="1"/>
    <col min="3337" max="3339" width="15.5" style="482" customWidth="1"/>
    <col min="3340" max="3340" width="14.75" style="482" customWidth="1"/>
    <col min="3341" max="3584" width="9" style="482"/>
    <col min="3585" max="3585" width="5.25" style="482" customWidth="1"/>
    <col min="3586" max="3586" width="13.625" style="482" customWidth="1"/>
    <col min="3587" max="3587" width="15" style="482" customWidth="1"/>
    <col min="3588" max="3589" width="14.25" style="482" customWidth="1"/>
    <col min="3590" max="3590" width="15.5" style="482" customWidth="1"/>
    <col min="3591" max="3592" width="14.375" style="482" customWidth="1"/>
    <col min="3593" max="3595" width="15.5" style="482" customWidth="1"/>
    <col min="3596" max="3596" width="14.75" style="482" customWidth="1"/>
    <col min="3597" max="3840" width="9" style="482"/>
    <col min="3841" max="3841" width="5.25" style="482" customWidth="1"/>
    <col min="3842" max="3842" width="13.625" style="482" customWidth="1"/>
    <col min="3843" max="3843" width="15" style="482" customWidth="1"/>
    <col min="3844" max="3845" width="14.25" style="482" customWidth="1"/>
    <col min="3846" max="3846" width="15.5" style="482" customWidth="1"/>
    <col min="3847" max="3848" width="14.375" style="482" customWidth="1"/>
    <col min="3849" max="3851" width="15.5" style="482" customWidth="1"/>
    <col min="3852" max="3852" width="14.75" style="482" customWidth="1"/>
    <col min="3853" max="4096" width="9" style="482"/>
    <col min="4097" max="4097" width="5.25" style="482" customWidth="1"/>
    <col min="4098" max="4098" width="13.625" style="482" customWidth="1"/>
    <col min="4099" max="4099" width="15" style="482" customWidth="1"/>
    <col min="4100" max="4101" width="14.25" style="482" customWidth="1"/>
    <col min="4102" max="4102" width="15.5" style="482" customWidth="1"/>
    <col min="4103" max="4104" width="14.375" style="482" customWidth="1"/>
    <col min="4105" max="4107" width="15.5" style="482" customWidth="1"/>
    <col min="4108" max="4108" width="14.75" style="482" customWidth="1"/>
    <col min="4109" max="4352" width="9" style="482"/>
    <col min="4353" max="4353" width="5.25" style="482" customWidth="1"/>
    <col min="4354" max="4354" width="13.625" style="482" customWidth="1"/>
    <col min="4355" max="4355" width="15" style="482" customWidth="1"/>
    <col min="4356" max="4357" width="14.25" style="482" customWidth="1"/>
    <col min="4358" max="4358" width="15.5" style="482" customWidth="1"/>
    <col min="4359" max="4360" width="14.375" style="482" customWidth="1"/>
    <col min="4361" max="4363" width="15.5" style="482" customWidth="1"/>
    <col min="4364" max="4364" width="14.75" style="482" customWidth="1"/>
    <col min="4365" max="4608" width="9" style="482"/>
    <col min="4609" max="4609" width="5.25" style="482" customWidth="1"/>
    <col min="4610" max="4610" width="13.625" style="482" customWidth="1"/>
    <col min="4611" max="4611" width="15" style="482" customWidth="1"/>
    <col min="4612" max="4613" width="14.25" style="482" customWidth="1"/>
    <col min="4614" max="4614" width="15.5" style="482" customWidth="1"/>
    <col min="4615" max="4616" width="14.375" style="482" customWidth="1"/>
    <col min="4617" max="4619" width="15.5" style="482" customWidth="1"/>
    <col min="4620" max="4620" width="14.75" style="482" customWidth="1"/>
    <col min="4621" max="4864" width="9" style="482"/>
    <col min="4865" max="4865" width="5.25" style="482" customWidth="1"/>
    <col min="4866" max="4866" width="13.625" style="482" customWidth="1"/>
    <col min="4867" max="4867" width="15" style="482" customWidth="1"/>
    <col min="4868" max="4869" width="14.25" style="482" customWidth="1"/>
    <col min="4870" max="4870" width="15.5" style="482" customWidth="1"/>
    <col min="4871" max="4872" width="14.375" style="482" customWidth="1"/>
    <col min="4873" max="4875" width="15.5" style="482" customWidth="1"/>
    <col min="4876" max="4876" width="14.75" style="482" customWidth="1"/>
    <col min="4877" max="5120" width="9" style="482"/>
    <col min="5121" max="5121" width="5.25" style="482" customWidth="1"/>
    <col min="5122" max="5122" width="13.625" style="482" customWidth="1"/>
    <col min="5123" max="5123" width="15" style="482" customWidth="1"/>
    <col min="5124" max="5125" width="14.25" style="482" customWidth="1"/>
    <col min="5126" max="5126" width="15.5" style="482" customWidth="1"/>
    <col min="5127" max="5128" width="14.375" style="482" customWidth="1"/>
    <col min="5129" max="5131" width="15.5" style="482" customWidth="1"/>
    <col min="5132" max="5132" width="14.75" style="482" customWidth="1"/>
    <col min="5133" max="5376" width="9" style="482"/>
    <col min="5377" max="5377" width="5.25" style="482" customWidth="1"/>
    <col min="5378" max="5378" width="13.625" style="482" customWidth="1"/>
    <col min="5379" max="5379" width="15" style="482" customWidth="1"/>
    <col min="5380" max="5381" width="14.25" style="482" customWidth="1"/>
    <col min="5382" max="5382" width="15.5" style="482" customWidth="1"/>
    <col min="5383" max="5384" width="14.375" style="482" customWidth="1"/>
    <col min="5385" max="5387" width="15.5" style="482" customWidth="1"/>
    <col min="5388" max="5388" width="14.75" style="482" customWidth="1"/>
    <col min="5389" max="5632" width="9" style="482"/>
    <col min="5633" max="5633" width="5.25" style="482" customWidth="1"/>
    <col min="5634" max="5634" width="13.625" style="482" customWidth="1"/>
    <col min="5635" max="5635" width="15" style="482" customWidth="1"/>
    <col min="5636" max="5637" width="14.25" style="482" customWidth="1"/>
    <col min="5638" max="5638" width="15.5" style="482" customWidth="1"/>
    <col min="5639" max="5640" width="14.375" style="482" customWidth="1"/>
    <col min="5641" max="5643" width="15.5" style="482" customWidth="1"/>
    <col min="5644" max="5644" width="14.75" style="482" customWidth="1"/>
    <col min="5645" max="5888" width="9" style="482"/>
    <col min="5889" max="5889" width="5.25" style="482" customWidth="1"/>
    <col min="5890" max="5890" width="13.625" style="482" customWidth="1"/>
    <col min="5891" max="5891" width="15" style="482" customWidth="1"/>
    <col min="5892" max="5893" width="14.25" style="482" customWidth="1"/>
    <col min="5894" max="5894" width="15.5" style="482" customWidth="1"/>
    <col min="5895" max="5896" width="14.375" style="482" customWidth="1"/>
    <col min="5897" max="5899" width="15.5" style="482" customWidth="1"/>
    <col min="5900" max="5900" width="14.75" style="482" customWidth="1"/>
    <col min="5901" max="6144" width="9" style="482"/>
    <col min="6145" max="6145" width="5.25" style="482" customWidth="1"/>
    <col min="6146" max="6146" width="13.625" style="482" customWidth="1"/>
    <col min="6147" max="6147" width="15" style="482" customWidth="1"/>
    <col min="6148" max="6149" width="14.25" style="482" customWidth="1"/>
    <col min="6150" max="6150" width="15.5" style="482" customWidth="1"/>
    <col min="6151" max="6152" width="14.375" style="482" customWidth="1"/>
    <col min="6153" max="6155" width="15.5" style="482" customWidth="1"/>
    <col min="6156" max="6156" width="14.75" style="482" customWidth="1"/>
    <col min="6157" max="6400" width="9" style="482"/>
    <col min="6401" max="6401" width="5.25" style="482" customWidth="1"/>
    <col min="6402" max="6402" width="13.625" style="482" customWidth="1"/>
    <col min="6403" max="6403" width="15" style="482" customWidth="1"/>
    <col min="6404" max="6405" width="14.25" style="482" customWidth="1"/>
    <col min="6406" max="6406" width="15.5" style="482" customWidth="1"/>
    <col min="6407" max="6408" width="14.375" style="482" customWidth="1"/>
    <col min="6409" max="6411" width="15.5" style="482" customWidth="1"/>
    <col min="6412" max="6412" width="14.75" style="482" customWidth="1"/>
    <col min="6413" max="6656" width="9" style="482"/>
    <col min="6657" max="6657" width="5.25" style="482" customWidth="1"/>
    <col min="6658" max="6658" width="13.625" style="482" customWidth="1"/>
    <col min="6659" max="6659" width="15" style="482" customWidth="1"/>
    <col min="6660" max="6661" width="14.25" style="482" customWidth="1"/>
    <col min="6662" max="6662" width="15.5" style="482" customWidth="1"/>
    <col min="6663" max="6664" width="14.375" style="482" customWidth="1"/>
    <col min="6665" max="6667" width="15.5" style="482" customWidth="1"/>
    <col min="6668" max="6668" width="14.75" style="482" customWidth="1"/>
    <col min="6669" max="6912" width="9" style="482"/>
    <col min="6913" max="6913" width="5.25" style="482" customWidth="1"/>
    <col min="6914" max="6914" width="13.625" style="482" customWidth="1"/>
    <col min="6915" max="6915" width="15" style="482" customWidth="1"/>
    <col min="6916" max="6917" width="14.25" style="482" customWidth="1"/>
    <col min="6918" max="6918" width="15.5" style="482" customWidth="1"/>
    <col min="6919" max="6920" width="14.375" style="482" customWidth="1"/>
    <col min="6921" max="6923" width="15.5" style="482" customWidth="1"/>
    <col min="6924" max="6924" width="14.75" style="482" customWidth="1"/>
    <col min="6925" max="7168" width="9" style="482"/>
    <col min="7169" max="7169" width="5.25" style="482" customWidth="1"/>
    <col min="7170" max="7170" width="13.625" style="482" customWidth="1"/>
    <col min="7171" max="7171" width="15" style="482" customWidth="1"/>
    <col min="7172" max="7173" width="14.25" style="482" customWidth="1"/>
    <col min="7174" max="7174" width="15.5" style="482" customWidth="1"/>
    <col min="7175" max="7176" width="14.375" style="482" customWidth="1"/>
    <col min="7177" max="7179" width="15.5" style="482" customWidth="1"/>
    <col min="7180" max="7180" width="14.75" style="482" customWidth="1"/>
    <col min="7181" max="7424" width="9" style="482"/>
    <col min="7425" max="7425" width="5.25" style="482" customWidth="1"/>
    <col min="7426" max="7426" width="13.625" style="482" customWidth="1"/>
    <col min="7427" max="7427" width="15" style="482" customWidth="1"/>
    <col min="7428" max="7429" width="14.25" style="482" customWidth="1"/>
    <col min="7430" max="7430" width="15.5" style="482" customWidth="1"/>
    <col min="7431" max="7432" width="14.375" style="482" customWidth="1"/>
    <col min="7433" max="7435" width="15.5" style="482" customWidth="1"/>
    <col min="7436" max="7436" width="14.75" style="482" customWidth="1"/>
    <col min="7437" max="7680" width="9" style="482"/>
    <col min="7681" max="7681" width="5.25" style="482" customWidth="1"/>
    <col min="7682" max="7682" width="13.625" style="482" customWidth="1"/>
    <col min="7683" max="7683" width="15" style="482" customWidth="1"/>
    <col min="7684" max="7685" width="14.25" style="482" customWidth="1"/>
    <col min="7686" max="7686" width="15.5" style="482" customWidth="1"/>
    <col min="7687" max="7688" width="14.375" style="482" customWidth="1"/>
    <col min="7689" max="7691" width="15.5" style="482" customWidth="1"/>
    <col min="7692" max="7692" width="14.75" style="482" customWidth="1"/>
    <col min="7693" max="7936" width="9" style="482"/>
    <col min="7937" max="7937" width="5.25" style="482" customWidth="1"/>
    <col min="7938" max="7938" width="13.625" style="482" customWidth="1"/>
    <col min="7939" max="7939" width="15" style="482" customWidth="1"/>
    <col min="7940" max="7941" width="14.25" style="482" customWidth="1"/>
    <col min="7942" max="7942" width="15.5" style="482" customWidth="1"/>
    <col min="7943" max="7944" width="14.375" style="482" customWidth="1"/>
    <col min="7945" max="7947" width="15.5" style="482" customWidth="1"/>
    <col min="7948" max="7948" width="14.75" style="482" customWidth="1"/>
    <col min="7949" max="8192" width="9" style="482"/>
    <col min="8193" max="8193" width="5.25" style="482" customWidth="1"/>
    <col min="8194" max="8194" width="13.625" style="482" customWidth="1"/>
    <col min="8195" max="8195" width="15" style="482" customWidth="1"/>
    <col min="8196" max="8197" width="14.25" style="482" customWidth="1"/>
    <col min="8198" max="8198" width="15.5" style="482" customWidth="1"/>
    <col min="8199" max="8200" width="14.375" style="482" customWidth="1"/>
    <col min="8201" max="8203" width="15.5" style="482" customWidth="1"/>
    <col min="8204" max="8204" width="14.75" style="482" customWidth="1"/>
    <col min="8205" max="8448" width="9" style="482"/>
    <col min="8449" max="8449" width="5.25" style="482" customWidth="1"/>
    <col min="8450" max="8450" width="13.625" style="482" customWidth="1"/>
    <col min="8451" max="8451" width="15" style="482" customWidth="1"/>
    <col min="8452" max="8453" width="14.25" style="482" customWidth="1"/>
    <col min="8454" max="8454" width="15.5" style="482" customWidth="1"/>
    <col min="8455" max="8456" width="14.375" style="482" customWidth="1"/>
    <col min="8457" max="8459" width="15.5" style="482" customWidth="1"/>
    <col min="8460" max="8460" width="14.75" style="482" customWidth="1"/>
    <col min="8461" max="8704" width="9" style="482"/>
    <col min="8705" max="8705" width="5.25" style="482" customWidth="1"/>
    <col min="8706" max="8706" width="13.625" style="482" customWidth="1"/>
    <col min="8707" max="8707" width="15" style="482" customWidth="1"/>
    <col min="8708" max="8709" width="14.25" style="482" customWidth="1"/>
    <col min="8710" max="8710" width="15.5" style="482" customWidth="1"/>
    <col min="8711" max="8712" width="14.375" style="482" customWidth="1"/>
    <col min="8713" max="8715" width="15.5" style="482" customWidth="1"/>
    <col min="8716" max="8716" width="14.75" style="482" customWidth="1"/>
    <col min="8717" max="8960" width="9" style="482"/>
    <col min="8961" max="8961" width="5.25" style="482" customWidth="1"/>
    <col min="8962" max="8962" width="13.625" style="482" customWidth="1"/>
    <col min="8963" max="8963" width="15" style="482" customWidth="1"/>
    <col min="8964" max="8965" width="14.25" style="482" customWidth="1"/>
    <col min="8966" max="8966" width="15.5" style="482" customWidth="1"/>
    <col min="8967" max="8968" width="14.375" style="482" customWidth="1"/>
    <col min="8969" max="8971" width="15.5" style="482" customWidth="1"/>
    <col min="8972" max="8972" width="14.75" style="482" customWidth="1"/>
    <col min="8973" max="9216" width="9" style="482"/>
    <col min="9217" max="9217" width="5.25" style="482" customWidth="1"/>
    <col min="9218" max="9218" width="13.625" style="482" customWidth="1"/>
    <col min="9219" max="9219" width="15" style="482" customWidth="1"/>
    <col min="9220" max="9221" width="14.25" style="482" customWidth="1"/>
    <col min="9222" max="9222" width="15.5" style="482" customWidth="1"/>
    <col min="9223" max="9224" width="14.375" style="482" customWidth="1"/>
    <col min="9225" max="9227" width="15.5" style="482" customWidth="1"/>
    <col min="9228" max="9228" width="14.75" style="482" customWidth="1"/>
    <col min="9229" max="9472" width="9" style="482"/>
    <col min="9473" max="9473" width="5.25" style="482" customWidth="1"/>
    <col min="9474" max="9474" width="13.625" style="482" customWidth="1"/>
    <col min="9475" max="9475" width="15" style="482" customWidth="1"/>
    <col min="9476" max="9477" width="14.25" style="482" customWidth="1"/>
    <col min="9478" max="9478" width="15.5" style="482" customWidth="1"/>
    <col min="9479" max="9480" width="14.375" style="482" customWidth="1"/>
    <col min="9481" max="9483" width="15.5" style="482" customWidth="1"/>
    <col min="9484" max="9484" width="14.75" style="482" customWidth="1"/>
    <col min="9485" max="9728" width="9" style="482"/>
    <col min="9729" max="9729" width="5.25" style="482" customWidth="1"/>
    <col min="9730" max="9730" width="13.625" style="482" customWidth="1"/>
    <col min="9731" max="9731" width="15" style="482" customWidth="1"/>
    <col min="9732" max="9733" width="14.25" style="482" customWidth="1"/>
    <col min="9734" max="9734" width="15.5" style="482" customWidth="1"/>
    <col min="9735" max="9736" width="14.375" style="482" customWidth="1"/>
    <col min="9737" max="9739" width="15.5" style="482" customWidth="1"/>
    <col min="9740" max="9740" width="14.75" style="482" customWidth="1"/>
    <col min="9741" max="9984" width="9" style="482"/>
    <col min="9985" max="9985" width="5.25" style="482" customWidth="1"/>
    <col min="9986" max="9986" width="13.625" style="482" customWidth="1"/>
    <col min="9987" max="9987" width="15" style="482" customWidth="1"/>
    <col min="9988" max="9989" width="14.25" style="482" customWidth="1"/>
    <col min="9990" max="9990" width="15.5" style="482" customWidth="1"/>
    <col min="9991" max="9992" width="14.375" style="482" customWidth="1"/>
    <col min="9993" max="9995" width="15.5" style="482" customWidth="1"/>
    <col min="9996" max="9996" width="14.75" style="482" customWidth="1"/>
    <col min="9997" max="10240" width="9" style="482"/>
    <col min="10241" max="10241" width="5.25" style="482" customWidth="1"/>
    <col min="10242" max="10242" width="13.625" style="482" customWidth="1"/>
    <col min="10243" max="10243" width="15" style="482" customWidth="1"/>
    <col min="10244" max="10245" width="14.25" style="482" customWidth="1"/>
    <col min="10246" max="10246" width="15.5" style="482" customWidth="1"/>
    <col min="10247" max="10248" width="14.375" style="482" customWidth="1"/>
    <col min="10249" max="10251" width="15.5" style="482" customWidth="1"/>
    <col min="10252" max="10252" width="14.75" style="482" customWidth="1"/>
    <col min="10253" max="10496" width="9" style="482"/>
    <col min="10497" max="10497" width="5.25" style="482" customWidth="1"/>
    <col min="10498" max="10498" width="13.625" style="482" customWidth="1"/>
    <col min="10499" max="10499" width="15" style="482" customWidth="1"/>
    <col min="10500" max="10501" width="14.25" style="482" customWidth="1"/>
    <col min="10502" max="10502" width="15.5" style="482" customWidth="1"/>
    <col min="10503" max="10504" width="14.375" style="482" customWidth="1"/>
    <col min="10505" max="10507" width="15.5" style="482" customWidth="1"/>
    <col min="10508" max="10508" width="14.75" style="482" customWidth="1"/>
    <col min="10509" max="10752" width="9" style="482"/>
    <col min="10753" max="10753" width="5.25" style="482" customWidth="1"/>
    <col min="10754" max="10754" width="13.625" style="482" customWidth="1"/>
    <col min="10755" max="10755" width="15" style="482" customWidth="1"/>
    <col min="10756" max="10757" width="14.25" style="482" customWidth="1"/>
    <col min="10758" max="10758" width="15.5" style="482" customWidth="1"/>
    <col min="10759" max="10760" width="14.375" style="482" customWidth="1"/>
    <col min="10761" max="10763" width="15.5" style="482" customWidth="1"/>
    <col min="10764" max="10764" width="14.75" style="482" customWidth="1"/>
    <col min="10765" max="11008" width="9" style="482"/>
    <col min="11009" max="11009" width="5.25" style="482" customWidth="1"/>
    <col min="11010" max="11010" width="13.625" style="482" customWidth="1"/>
    <col min="11011" max="11011" width="15" style="482" customWidth="1"/>
    <col min="11012" max="11013" width="14.25" style="482" customWidth="1"/>
    <col min="11014" max="11014" width="15.5" style="482" customWidth="1"/>
    <col min="11015" max="11016" width="14.375" style="482" customWidth="1"/>
    <col min="11017" max="11019" width="15.5" style="482" customWidth="1"/>
    <col min="11020" max="11020" width="14.75" style="482" customWidth="1"/>
    <col min="11021" max="11264" width="9" style="482"/>
    <col min="11265" max="11265" width="5.25" style="482" customWidth="1"/>
    <col min="11266" max="11266" width="13.625" style="482" customWidth="1"/>
    <col min="11267" max="11267" width="15" style="482" customWidth="1"/>
    <col min="11268" max="11269" width="14.25" style="482" customWidth="1"/>
    <col min="11270" max="11270" width="15.5" style="482" customWidth="1"/>
    <col min="11271" max="11272" width="14.375" style="482" customWidth="1"/>
    <col min="11273" max="11275" width="15.5" style="482" customWidth="1"/>
    <col min="11276" max="11276" width="14.75" style="482" customWidth="1"/>
    <col min="11277" max="11520" width="9" style="482"/>
    <col min="11521" max="11521" width="5.25" style="482" customWidth="1"/>
    <col min="11522" max="11522" width="13.625" style="482" customWidth="1"/>
    <col min="11523" max="11523" width="15" style="482" customWidth="1"/>
    <col min="11524" max="11525" width="14.25" style="482" customWidth="1"/>
    <col min="11526" max="11526" width="15.5" style="482" customWidth="1"/>
    <col min="11527" max="11528" width="14.375" style="482" customWidth="1"/>
    <col min="11529" max="11531" width="15.5" style="482" customWidth="1"/>
    <col min="11532" max="11532" width="14.75" style="482" customWidth="1"/>
    <col min="11533" max="11776" width="9" style="482"/>
    <col min="11777" max="11777" width="5.25" style="482" customWidth="1"/>
    <col min="11778" max="11778" width="13.625" style="482" customWidth="1"/>
    <col min="11779" max="11779" width="15" style="482" customWidth="1"/>
    <col min="11780" max="11781" width="14.25" style="482" customWidth="1"/>
    <col min="11782" max="11782" width="15.5" style="482" customWidth="1"/>
    <col min="11783" max="11784" width="14.375" style="482" customWidth="1"/>
    <col min="11785" max="11787" width="15.5" style="482" customWidth="1"/>
    <col min="11788" max="11788" width="14.75" style="482" customWidth="1"/>
    <col min="11789" max="12032" width="9" style="482"/>
    <col min="12033" max="12033" width="5.25" style="482" customWidth="1"/>
    <col min="12034" max="12034" width="13.625" style="482" customWidth="1"/>
    <col min="12035" max="12035" width="15" style="482" customWidth="1"/>
    <col min="12036" max="12037" width="14.25" style="482" customWidth="1"/>
    <col min="12038" max="12038" width="15.5" style="482" customWidth="1"/>
    <col min="12039" max="12040" width="14.375" style="482" customWidth="1"/>
    <col min="12041" max="12043" width="15.5" style="482" customWidth="1"/>
    <col min="12044" max="12044" width="14.75" style="482" customWidth="1"/>
    <col min="12045" max="12288" width="9" style="482"/>
    <col min="12289" max="12289" width="5.25" style="482" customWidth="1"/>
    <col min="12290" max="12290" width="13.625" style="482" customWidth="1"/>
    <col min="12291" max="12291" width="15" style="482" customWidth="1"/>
    <col min="12292" max="12293" width="14.25" style="482" customWidth="1"/>
    <col min="12294" max="12294" width="15.5" style="482" customWidth="1"/>
    <col min="12295" max="12296" width="14.375" style="482" customWidth="1"/>
    <col min="12297" max="12299" width="15.5" style="482" customWidth="1"/>
    <col min="12300" max="12300" width="14.75" style="482" customWidth="1"/>
    <col min="12301" max="12544" width="9" style="482"/>
    <col min="12545" max="12545" width="5.25" style="482" customWidth="1"/>
    <col min="12546" max="12546" width="13.625" style="482" customWidth="1"/>
    <col min="12547" max="12547" width="15" style="482" customWidth="1"/>
    <col min="12548" max="12549" width="14.25" style="482" customWidth="1"/>
    <col min="12550" max="12550" width="15.5" style="482" customWidth="1"/>
    <col min="12551" max="12552" width="14.375" style="482" customWidth="1"/>
    <col min="12553" max="12555" width="15.5" style="482" customWidth="1"/>
    <col min="12556" max="12556" width="14.75" style="482" customWidth="1"/>
    <col min="12557" max="12800" width="9" style="482"/>
    <col min="12801" max="12801" width="5.25" style="482" customWidth="1"/>
    <col min="12802" max="12802" width="13.625" style="482" customWidth="1"/>
    <col min="12803" max="12803" width="15" style="482" customWidth="1"/>
    <col min="12804" max="12805" width="14.25" style="482" customWidth="1"/>
    <col min="12806" max="12806" width="15.5" style="482" customWidth="1"/>
    <col min="12807" max="12808" width="14.375" style="482" customWidth="1"/>
    <col min="12809" max="12811" width="15.5" style="482" customWidth="1"/>
    <col min="12812" max="12812" width="14.75" style="482" customWidth="1"/>
    <col min="12813" max="13056" width="9" style="482"/>
    <col min="13057" max="13057" width="5.25" style="482" customWidth="1"/>
    <col min="13058" max="13058" width="13.625" style="482" customWidth="1"/>
    <col min="13059" max="13059" width="15" style="482" customWidth="1"/>
    <col min="13060" max="13061" width="14.25" style="482" customWidth="1"/>
    <col min="13062" max="13062" width="15.5" style="482" customWidth="1"/>
    <col min="13063" max="13064" width="14.375" style="482" customWidth="1"/>
    <col min="13065" max="13067" width="15.5" style="482" customWidth="1"/>
    <col min="13068" max="13068" width="14.75" style="482" customWidth="1"/>
    <col min="13069" max="13312" width="9" style="482"/>
    <col min="13313" max="13313" width="5.25" style="482" customWidth="1"/>
    <col min="13314" max="13314" width="13.625" style="482" customWidth="1"/>
    <col min="13315" max="13315" width="15" style="482" customWidth="1"/>
    <col min="13316" max="13317" width="14.25" style="482" customWidth="1"/>
    <col min="13318" max="13318" width="15.5" style="482" customWidth="1"/>
    <col min="13319" max="13320" width="14.375" style="482" customWidth="1"/>
    <col min="13321" max="13323" width="15.5" style="482" customWidth="1"/>
    <col min="13324" max="13324" width="14.75" style="482" customWidth="1"/>
    <col min="13325" max="13568" width="9" style="482"/>
    <col min="13569" max="13569" width="5.25" style="482" customWidth="1"/>
    <col min="13570" max="13570" width="13.625" style="482" customWidth="1"/>
    <col min="13571" max="13571" width="15" style="482" customWidth="1"/>
    <col min="13572" max="13573" width="14.25" style="482" customWidth="1"/>
    <col min="13574" max="13574" width="15.5" style="482" customWidth="1"/>
    <col min="13575" max="13576" width="14.375" style="482" customWidth="1"/>
    <col min="13577" max="13579" width="15.5" style="482" customWidth="1"/>
    <col min="13580" max="13580" width="14.75" style="482" customWidth="1"/>
    <col min="13581" max="13824" width="9" style="482"/>
    <col min="13825" max="13825" width="5.25" style="482" customWidth="1"/>
    <col min="13826" max="13826" width="13.625" style="482" customWidth="1"/>
    <col min="13827" max="13827" width="15" style="482" customWidth="1"/>
    <col min="13828" max="13829" width="14.25" style="482" customWidth="1"/>
    <col min="13830" max="13830" width="15.5" style="482" customWidth="1"/>
    <col min="13831" max="13832" width="14.375" style="482" customWidth="1"/>
    <col min="13833" max="13835" width="15.5" style="482" customWidth="1"/>
    <col min="13836" max="13836" width="14.75" style="482" customWidth="1"/>
    <col min="13837" max="14080" width="9" style="482"/>
    <col min="14081" max="14081" width="5.25" style="482" customWidth="1"/>
    <col min="14082" max="14082" width="13.625" style="482" customWidth="1"/>
    <col min="14083" max="14083" width="15" style="482" customWidth="1"/>
    <col min="14084" max="14085" width="14.25" style="482" customWidth="1"/>
    <col min="14086" max="14086" width="15.5" style="482" customWidth="1"/>
    <col min="14087" max="14088" width="14.375" style="482" customWidth="1"/>
    <col min="14089" max="14091" width="15.5" style="482" customWidth="1"/>
    <col min="14092" max="14092" width="14.75" style="482" customWidth="1"/>
    <col min="14093" max="14336" width="9" style="482"/>
    <col min="14337" max="14337" width="5.25" style="482" customWidth="1"/>
    <col min="14338" max="14338" width="13.625" style="482" customWidth="1"/>
    <col min="14339" max="14339" width="15" style="482" customWidth="1"/>
    <col min="14340" max="14341" width="14.25" style="482" customWidth="1"/>
    <col min="14342" max="14342" width="15.5" style="482" customWidth="1"/>
    <col min="14343" max="14344" width="14.375" style="482" customWidth="1"/>
    <col min="14345" max="14347" width="15.5" style="482" customWidth="1"/>
    <col min="14348" max="14348" width="14.75" style="482" customWidth="1"/>
    <col min="14349" max="14592" width="9" style="482"/>
    <col min="14593" max="14593" width="5.25" style="482" customWidth="1"/>
    <col min="14594" max="14594" width="13.625" style="482" customWidth="1"/>
    <col min="14595" max="14595" width="15" style="482" customWidth="1"/>
    <col min="14596" max="14597" width="14.25" style="482" customWidth="1"/>
    <col min="14598" max="14598" width="15.5" style="482" customWidth="1"/>
    <col min="14599" max="14600" width="14.375" style="482" customWidth="1"/>
    <col min="14601" max="14603" width="15.5" style="482" customWidth="1"/>
    <col min="14604" max="14604" width="14.75" style="482" customWidth="1"/>
    <col min="14605" max="14848" width="9" style="482"/>
    <col min="14849" max="14849" width="5.25" style="482" customWidth="1"/>
    <col min="14850" max="14850" width="13.625" style="482" customWidth="1"/>
    <col min="14851" max="14851" width="15" style="482" customWidth="1"/>
    <col min="14852" max="14853" width="14.25" style="482" customWidth="1"/>
    <col min="14854" max="14854" width="15.5" style="482" customWidth="1"/>
    <col min="14855" max="14856" width="14.375" style="482" customWidth="1"/>
    <col min="14857" max="14859" width="15.5" style="482" customWidth="1"/>
    <col min="14860" max="14860" width="14.75" style="482" customWidth="1"/>
    <col min="14861" max="15104" width="9" style="482"/>
    <col min="15105" max="15105" width="5.25" style="482" customWidth="1"/>
    <col min="15106" max="15106" width="13.625" style="482" customWidth="1"/>
    <col min="15107" max="15107" width="15" style="482" customWidth="1"/>
    <col min="15108" max="15109" width="14.25" style="482" customWidth="1"/>
    <col min="15110" max="15110" width="15.5" style="482" customWidth="1"/>
    <col min="15111" max="15112" width="14.375" style="482" customWidth="1"/>
    <col min="15113" max="15115" width="15.5" style="482" customWidth="1"/>
    <col min="15116" max="15116" width="14.75" style="482" customWidth="1"/>
    <col min="15117" max="15360" width="9" style="482"/>
    <col min="15361" max="15361" width="5.25" style="482" customWidth="1"/>
    <col min="15362" max="15362" width="13.625" style="482" customWidth="1"/>
    <col min="15363" max="15363" width="15" style="482" customWidth="1"/>
    <col min="15364" max="15365" width="14.25" style="482" customWidth="1"/>
    <col min="15366" max="15366" width="15.5" style="482" customWidth="1"/>
    <col min="15367" max="15368" width="14.375" style="482" customWidth="1"/>
    <col min="15369" max="15371" width="15.5" style="482" customWidth="1"/>
    <col min="15372" max="15372" width="14.75" style="482" customWidth="1"/>
    <col min="15373" max="15616" width="9" style="482"/>
    <col min="15617" max="15617" width="5.25" style="482" customWidth="1"/>
    <col min="15618" max="15618" width="13.625" style="482" customWidth="1"/>
    <col min="15619" max="15619" width="15" style="482" customWidth="1"/>
    <col min="15620" max="15621" width="14.25" style="482" customWidth="1"/>
    <col min="15622" max="15622" width="15.5" style="482" customWidth="1"/>
    <col min="15623" max="15624" width="14.375" style="482" customWidth="1"/>
    <col min="15625" max="15627" width="15.5" style="482" customWidth="1"/>
    <col min="15628" max="15628" width="14.75" style="482" customWidth="1"/>
    <col min="15629" max="15872" width="9" style="482"/>
    <col min="15873" max="15873" width="5.25" style="482" customWidth="1"/>
    <col min="15874" max="15874" width="13.625" style="482" customWidth="1"/>
    <col min="15875" max="15875" width="15" style="482" customWidth="1"/>
    <col min="15876" max="15877" width="14.25" style="482" customWidth="1"/>
    <col min="15878" max="15878" width="15.5" style="482" customWidth="1"/>
    <col min="15879" max="15880" width="14.375" style="482" customWidth="1"/>
    <col min="15881" max="15883" width="15.5" style="482" customWidth="1"/>
    <col min="15884" max="15884" width="14.75" style="482" customWidth="1"/>
    <col min="15885" max="16128" width="9" style="482"/>
    <col min="16129" max="16129" width="5.25" style="482" customWidth="1"/>
    <col min="16130" max="16130" width="13.625" style="482" customWidth="1"/>
    <col min="16131" max="16131" width="15" style="482" customWidth="1"/>
    <col min="16132" max="16133" width="14.25" style="482" customWidth="1"/>
    <col min="16134" max="16134" width="15.5" style="482" customWidth="1"/>
    <col min="16135" max="16136" width="14.375" style="482" customWidth="1"/>
    <col min="16137" max="16139" width="15.5" style="482" customWidth="1"/>
    <col min="16140" max="16140" width="14.75" style="482" customWidth="1"/>
    <col min="16141" max="16384" width="9" style="482"/>
  </cols>
  <sheetData>
    <row r="2" spans="1:12" ht="18.75">
      <c r="B2" s="718" t="s">
        <v>683</v>
      </c>
      <c r="C2" s="718"/>
      <c r="D2" s="718"/>
      <c r="E2" s="718"/>
      <c r="F2" s="718"/>
      <c r="G2" s="718"/>
      <c r="H2" s="718"/>
      <c r="I2" s="718"/>
      <c r="J2" s="718"/>
      <c r="K2" s="718"/>
      <c r="L2" s="718"/>
    </row>
    <row r="5" spans="1:12">
      <c r="A5" s="716" t="s">
        <v>599</v>
      </c>
      <c r="B5" s="716" t="s">
        <v>600</v>
      </c>
      <c r="C5" s="716" t="s">
        <v>684</v>
      </c>
      <c r="D5" s="719" t="s">
        <v>601</v>
      </c>
      <c r="E5" s="719" t="s">
        <v>602</v>
      </c>
      <c r="F5" s="714" t="s">
        <v>685</v>
      </c>
      <c r="G5" s="721" t="s">
        <v>686</v>
      </c>
      <c r="H5" s="714" t="s">
        <v>687</v>
      </c>
      <c r="I5" s="714" t="s">
        <v>688</v>
      </c>
      <c r="J5" s="714" t="s">
        <v>689</v>
      </c>
      <c r="K5" s="714" t="s">
        <v>690</v>
      </c>
      <c r="L5" s="716" t="s">
        <v>691</v>
      </c>
    </row>
    <row r="6" spans="1:12">
      <c r="A6" s="715"/>
      <c r="B6" s="715"/>
      <c r="C6" s="715"/>
      <c r="D6" s="720"/>
      <c r="E6" s="720"/>
      <c r="F6" s="715"/>
      <c r="G6" s="722"/>
      <c r="H6" s="715"/>
      <c r="I6" s="715"/>
      <c r="J6" s="715"/>
      <c r="K6" s="715"/>
      <c r="L6" s="715"/>
    </row>
    <row r="7" spans="1:12" ht="25.5" customHeight="1">
      <c r="A7" s="483">
        <v>1</v>
      </c>
      <c r="B7" s="484" t="s">
        <v>606</v>
      </c>
      <c r="C7" s="485">
        <v>93581749093</v>
      </c>
      <c r="D7" s="485">
        <v>59455595570</v>
      </c>
      <c r="E7" s="485">
        <v>34126153523</v>
      </c>
      <c r="F7" s="485">
        <v>0</v>
      </c>
      <c r="G7" s="485"/>
      <c r="H7" s="485"/>
      <c r="I7" s="485"/>
      <c r="J7" s="485"/>
      <c r="K7" s="485"/>
      <c r="L7" s="485">
        <f>SUM(D7:K7)</f>
        <v>93581749093</v>
      </c>
    </row>
    <row r="8" spans="1:12" ht="25.5" customHeight="1">
      <c r="A8" s="486">
        <v>2</v>
      </c>
      <c r="B8" s="487" t="s">
        <v>607</v>
      </c>
      <c r="C8" s="488">
        <v>50408176088</v>
      </c>
      <c r="D8" s="488">
        <v>124582794</v>
      </c>
      <c r="E8" s="488">
        <v>0</v>
      </c>
      <c r="F8" s="485">
        <v>7240141536</v>
      </c>
      <c r="G8" s="488">
        <v>35781717297</v>
      </c>
      <c r="H8" s="488">
        <v>6091742709</v>
      </c>
      <c r="I8" s="488">
        <v>516054398</v>
      </c>
      <c r="J8" s="488">
        <v>54609837</v>
      </c>
      <c r="K8" s="488">
        <v>599327517</v>
      </c>
      <c r="L8" s="485">
        <f>SUM(D8:K8)</f>
        <v>50408176088</v>
      </c>
    </row>
    <row r="9" spans="1:12" ht="25.5" customHeight="1">
      <c r="A9" s="486">
        <v>3</v>
      </c>
      <c r="B9" s="487" t="s">
        <v>608</v>
      </c>
      <c r="C9" s="488">
        <v>4674551775</v>
      </c>
      <c r="D9" s="488">
        <v>826137099</v>
      </c>
      <c r="E9" s="488">
        <v>2657066983</v>
      </c>
      <c r="F9" s="485">
        <v>318382828</v>
      </c>
      <c r="G9" s="488"/>
      <c r="H9" s="488"/>
      <c r="I9" s="488"/>
      <c r="J9" s="488"/>
      <c r="K9" s="488">
        <v>872964865</v>
      </c>
      <c r="L9" s="485">
        <f>SUM(D9:K9)</f>
        <v>4674551775</v>
      </c>
    </row>
    <row r="10" spans="1:12" ht="25.5" customHeight="1">
      <c r="A10" s="717" t="s">
        <v>692</v>
      </c>
      <c r="B10" s="717"/>
      <c r="C10" s="489">
        <f t="shared" ref="C10:L10" si="0">SUM(C7:C9)</f>
        <v>148664476956</v>
      </c>
      <c r="D10" s="489">
        <f t="shared" si="0"/>
        <v>60406315463</v>
      </c>
      <c r="E10" s="489">
        <f t="shared" si="0"/>
        <v>36783220506</v>
      </c>
      <c r="F10" s="489">
        <f t="shared" si="0"/>
        <v>7558524364</v>
      </c>
      <c r="G10" s="489">
        <f t="shared" si="0"/>
        <v>35781717297</v>
      </c>
      <c r="H10" s="489">
        <f t="shared" si="0"/>
        <v>6091742709</v>
      </c>
      <c r="I10" s="489">
        <f t="shared" si="0"/>
        <v>516054398</v>
      </c>
      <c r="J10" s="489">
        <f t="shared" si="0"/>
        <v>54609837</v>
      </c>
      <c r="K10" s="489">
        <f t="shared" si="0"/>
        <v>1472292382</v>
      </c>
      <c r="L10" s="489">
        <f t="shared" si="0"/>
        <v>148664476956</v>
      </c>
    </row>
    <row r="11" spans="1:12">
      <c r="C11" s="490"/>
      <c r="D11" s="490"/>
      <c r="E11" s="490"/>
      <c r="F11" s="490"/>
      <c r="G11" s="490"/>
      <c r="H11" s="490"/>
      <c r="I11" s="490"/>
      <c r="J11" s="490"/>
      <c r="K11" s="490"/>
    </row>
    <row r="12" spans="1:12">
      <c r="C12" s="490"/>
      <c r="D12" s="490"/>
      <c r="E12" s="490"/>
      <c r="F12" s="490"/>
      <c r="G12" s="490"/>
      <c r="H12" s="490"/>
      <c r="I12" s="490"/>
      <c r="J12" s="490"/>
      <c r="K12" s="490"/>
    </row>
    <row r="13" spans="1:12">
      <c r="C13" s="490"/>
      <c r="D13" s="490"/>
      <c r="E13" s="490"/>
      <c r="F13" s="490"/>
      <c r="G13" s="490"/>
      <c r="H13" s="490"/>
      <c r="I13" s="490"/>
      <c r="J13" s="490"/>
      <c r="K13" s="490"/>
    </row>
    <row r="14" spans="1:12">
      <c r="C14" s="490"/>
      <c r="D14" s="490"/>
      <c r="E14" s="490"/>
      <c r="F14" s="490"/>
      <c r="G14" s="490"/>
      <c r="H14" s="490"/>
      <c r="I14" s="490"/>
      <c r="J14" s="490"/>
      <c r="K14" s="490"/>
    </row>
    <row r="15" spans="1:12">
      <c r="C15" s="490"/>
      <c r="D15" s="490"/>
      <c r="E15" s="490"/>
      <c r="F15" s="490"/>
      <c r="G15" s="490"/>
      <c r="H15" s="490"/>
      <c r="I15" s="490"/>
      <c r="J15" s="490"/>
      <c r="K15" s="490"/>
    </row>
    <row r="16" spans="1:12">
      <c r="C16" s="490"/>
      <c r="D16" s="490"/>
      <c r="E16" s="490"/>
      <c r="F16" s="490"/>
      <c r="G16" s="490"/>
      <c r="H16" s="490"/>
      <c r="I16" s="490"/>
      <c r="J16" s="490"/>
      <c r="K16" s="490"/>
    </row>
    <row r="17" spans="3:11">
      <c r="C17" s="490"/>
      <c r="D17" s="490"/>
      <c r="E17" s="490"/>
      <c r="F17" s="490"/>
      <c r="G17" s="490"/>
      <c r="H17" s="490"/>
      <c r="I17" s="490"/>
      <c r="J17" s="490"/>
      <c r="K17" s="490"/>
    </row>
    <row r="18" spans="3:11">
      <c r="F18" s="490"/>
      <c r="G18" s="490"/>
      <c r="H18" s="490"/>
      <c r="I18" s="490"/>
    </row>
    <row r="19" spans="3:11">
      <c r="F19" s="490"/>
      <c r="G19" s="490"/>
      <c r="H19" s="490"/>
      <c r="I19" s="490"/>
    </row>
    <row r="20" spans="3:11">
      <c r="H20" s="490"/>
      <c r="I20" s="490"/>
    </row>
  </sheetData>
  <mergeCells count="14">
    <mergeCell ref="J5:J6"/>
    <mergeCell ref="K5:K6"/>
    <mergeCell ref="L5:L6"/>
    <mergeCell ref="A10:B10"/>
    <mergeCell ref="B2:L2"/>
    <mergeCell ref="A5:A6"/>
    <mergeCell ref="B5:B6"/>
    <mergeCell ref="C5:C6"/>
    <mergeCell ref="D5:D6"/>
    <mergeCell ref="E5:E6"/>
    <mergeCell ref="F5:F6"/>
    <mergeCell ref="G5:G6"/>
    <mergeCell ref="H5:H6"/>
    <mergeCell ref="I5:I6"/>
  </mergeCells>
  <pageMargins left="0.26" right="0.24"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25"/>
  <sheetViews>
    <sheetView workbookViewId="0">
      <selection activeCell="E17" sqref="E17"/>
    </sheetView>
  </sheetViews>
  <sheetFormatPr defaultRowHeight="15.75"/>
  <cols>
    <col min="1" max="1" width="4" style="373" customWidth="1"/>
    <col min="2" max="2" width="11.5" style="372" customWidth="1"/>
    <col min="3" max="7" width="14.5" style="372" customWidth="1"/>
    <col min="8" max="8" width="15.125" style="372" customWidth="1"/>
    <col min="9" max="9" width="14.5" style="372" customWidth="1"/>
    <col min="10" max="10" width="12.25" style="372" customWidth="1"/>
    <col min="11" max="11" width="9" style="372"/>
    <col min="12" max="12" width="11.875" style="372" customWidth="1"/>
    <col min="13" max="13" width="16.125" style="372" customWidth="1"/>
    <col min="14" max="14" width="11.5" style="372" customWidth="1"/>
    <col min="15" max="256" width="9" style="372"/>
    <col min="257" max="257" width="4" style="372" customWidth="1"/>
    <col min="258" max="258" width="11.5" style="372" customWidth="1"/>
    <col min="259" max="263" width="14.5" style="372" customWidth="1"/>
    <col min="264" max="265" width="9" style="372"/>
    <col min="266" max="266" width="12.25" style="372" customWidth="1"/>
    <col min="267" max="267" width="9" style="372"/>
    <col min="268" max="268" width="11.875" style="372" customWidth="1"/>
    <col min="269" max="269" width="16.125" style="372" customWidth="1"/>
    <col min="270" max="270" width="11.5" style="372" customWidth="1"/>
    <col min="271" max="512" width="9" style="372"/>
    <col min="513" max="513" width="4" style="372" customWidth="1"/>
    <col min="514" max="514" width="11.5" style="372" customWidth="1"/>
    <col min="515" max="519" width="14.5" style="372" customWidth="1"/>
    <col min="520" max="521" width="9" style="372"/>
    <col min="522" max="522" width="12.25" style="372" customWidth="1"/>
    <col min="523" max="523" width="9" style="372"/>
    <col min="524" max="524" width="11.875" style="372" customWidth="1"/>
    <col min="525" max="525" width="16.125" style="372" customWidth="1"/>
    <col min="526" max="526" width="11.5" style="372" customWidth="1"/>
    <col min="527" max="768" width="9" style="372"/>
    <col min="769" max="769" width="4" style="372" customWidth="1"/>
    <col min="770" max="770" width="11.5" style="372" customWidth="1"/>
    <col min="771" max="775" width="14.5" style="372" customWidth="1"/>
    <col min="776" max="777" width="9" style="372"/>
    <col min="778" max="778" width="12.25" style="372" customWidth="1"/>
    <col min="779" max="779" width="9" style="372"/>
    <col min="780" max="780" width="11.875" style="372" customWidth="1"/>
    <col min="781" max="781" width="16.125" style="372" customWidth="1"/>
    <col min="782" max="782" width="11.5" style="372" customWidth="1"/>
    <col min="783" max="1024" width="9" style="372"/>
    <col min="1025" max="1025" width="4" style="372" customWidth="1"/>
    <col min="1026" max="1026" width="11.5" style="372" customWidth="1"/>
    <col min="1027" max="1031" width="14.5" style="372" customWidth="1"/>
    <col min="1032" max="1033" width="9" style="372"/>
    <col min="1034" max="1034" width="12.25" style="372" customWidth="1"/>
    <col min="1035" max="1035" width="9" style="372"/>
    <col min="1036" max="1036" width="11.875" style="372" customWidth="1"/>
    <col min="1037" max="1037" width="16.125" style="372" customWidth="1"/>
    <col min="1038" max="1038" width="11.5" style="372" customWidth="1"/>
    <col min="1039" max="1280" width="9" style="372"/>
    <col min="1281" max="1281" width="4" style="372" customWidth="1"/>
    <col min="1282" max="1282" width="11.5" style="372" customWidth="1"/>
    <col min="1283" max="1287" width="14.5" style="372" customWidth="1"/>
    <col min="1288" max="1289" width="9" style="372"/>
    <col min="1290" max="1290" width="12.25" style="372" customWidth="1"/>
    <col min="1291" max="1291" width="9" style="372"/>
    <col min="1292" max="1292" width="11.875" style="372" customWidth="1"/>
    <col min="1293" max="1293" width="16.125" style="372" customWidth="1"/>
    <col min="1294" max="1294" width="11.5" style="372" customWidth="1"/>
    <col min="1295" max="1536" width="9" style="372"/>
    <col min="1537" max="1537" width="4" style="372" customWidth="1"/>
    <col min="1538" max="1538" width="11.5" style="372" customWidth="1"/>
    <col min="1539" max="1543" width="14.5" style="372" customWidth="1"/>
    <col min="1544" max="1545" width="9" style="372"/>
    <col min="1546" max="1546" width="12.25" style="372" customWidth="1"/>
    <col min="1547" max="1547" width="9" style="372"/>
    <col min="1548" max="1548" width="11.875" style="372" customWidth="1"/>
    <col min="1549" max="1549" width="16.125" style="372" customWidth="1"/>
    <col min="1550" max="1550" width="11.5" style="372" customWidth="1"/>
    <col min="1551" max="1792" width="9" style="372"/>
    <col min="1793" max="1793" width="4" style="372" customWidth="1"/>
    <col min="1794" max="1794" width="11.5" style="372" customWidth="1"/>
    <col min="1795" max="1799" width="14.5" style="372" customWidth="1"/>
    <col min="1800" max="1801" width="9" style="372"/>
    <col min="1802" max="1802" width="12.25" style="372" customWidth="1"/>
    <col min="1803" max="1803" width="9" style="372"/>
    <col min="1804" max="1804" width="11.875" style="372" customWidth="1"/>
    <col min="1805" max="1805" width="16.125" style="372" customWidth="1"/>
    <col min="1806" max="1806" width="11.5" style="372" customWidth="1"/>
    <col min="1807" max="2048" width="9" style="372"/>
    <col min="2049" max="2049" width="4" style="372" customWidth="1"/>
    <col min="2050" max="2050" width="11.5" style="372" customWidth="1"/>
    <col min="2051" max="2055" width="14.5" style="372" customWidth="1"/>
    <col min="2056" max="2057" width="9" style="372"/>
    <col min="2058" max="2058" width="12.25" style="372" customWidth="1"/>
    <col min="2059" max="2059" width="9" style="372"/>
    <col min="2060" max="2060" width="11.875" style="372" customWidth="1"/>
    <col min="2061" max="2061" width="16.125" style="372" customWidth="1"/>
    <col min="2062" max="2062" width="11.5" style="372" customWidth="1"/>
    <col min="2063" max="2304" width="9" style="372"/>
    <col min="2305" max="2305" width="4" style="372" customWidth="1"/>
    <col min="2306" max="2306" width="11.5" style="372" customWidth="1"/>
    <col min="2307" max="2311" width="14.5" style="372" customWidth="1"/>
    <col min="2312" max="2313" width="9" style="372"/>
    <col min="2314" max="2314" width="12.25" style="372" customWidth="1"/>
    <col min="2315" max="2315" width="9" style="372"/>
    <col min="2316" max="2316" width="11.875" style="372" customWidth="1"/>
    <col min="2317" max="2317" width="16.125" style="372" customWidth="1"/>
    <col min="2318" max="2318" width="11.5" style="372" customWidth="1"/>
    <col min="2319" max="2560" width="9" style="372"/>
    <col min="2561" max="2561" width="4" style="372" customWidth="1"/>
    <col min="2562" max="2562" width="11.5" style="372" customWidth="1"/>
    <col min="2563" max="2567" width="14.5" style="372" customWidth="1"/>
    <col min="2568" max="2569" width="9" style="372"/>
    <col min="2570" max="2570" width="12.25" style="372" customWidth="1"/>
    <col min="2571" max="2571" width="9" style="372"/>
    <col min="2572" max="2572" width="11.875" style="372" customWidth="1"/>
    <col min="2573" max="2573" width="16.125" style="372" customWidth="1"/>
    <col min="2574" max="2574" width="11.5" style="372" customWidth="1"/>
    <col min="2575" max="2816" width="9" style="372"/>
    <col min="2817" max="2817" width="4" style="372" customWidth="1"/>
    <col min="2818" max="2818" width="11.5" style="372" customWidth="1"/>
    <col min="2819" max="2823" width="14.5" style="372" customWidth="1"/>
    <col min="2824" max="2825" width="9" style="372"/>
    <col min="2826" max="2826" width="12.25" style="372" customWidth="1"/>
    <col min="2827" max="2827" width="9" style="372"/>
    <col min="2828" max="2828" width="11.875" style="372" customWidth="1"/>
    <col min="2829" max="2829" width="16.125" style="372" customWidth="1"/>
    <col min="2830" max="2830" width="11.5" style="372" customWidth="1"/>
    <col min="2831" max="3072" width="9" style="372"/>
    <col min="3073" max="3073" width="4" style="372" customWidth="1"/>
    <col min="3074" max="3074" width="11.5" style="372" customWidth="1"/>
    <col min="3075" max="3079" width="14.5" style="372" customWidth="1"/>
    <col min="3080" max="3081" width="9" style="372"/>
    <col min="3082" max="3082" width="12.25" style="372" customWidth="1"/>
    <col min="3083" max="3083" width="9" style="372"/>
    <col min="3084" max="3084" width="11.875" style="372" customWidth="1"/>
    <col min="3085" max="3085" width="16.125" style="372" customWidth="1"/>
    <col min="3086" max="3086" width="11.5" style="372" customWidth="1"/>
    <col min="3087" max="3328" width="9" style="372"/>
    <col min="3329" max="3329" width="4" style="372" customWidth="1"/>
    <col min="3330" max="3330" width="11.5" style="372" customWidth="1"/>
    <col min="3331" max="3335" width="14.5" style="372" customWidth="1"/>
    <col min="3336" max="3337" width="9" style="372"/>
    <col min="3338" max="3338" width="12.25" style="372" customWidth="1"/>
    <col min="3339" max="3339" width="9" style="372"/>
    <col min="3340" max="3340" width="11.875" style="372" customWidth="1"/>
    <col min="3341" max="3341" width="16.125" style="372" customWidth="1"/>
    <col min="3342" max="3342" width="11.5" style="372" customWidth="1"/>
    <col min="3343" max="3584" width="9" style="372"/>
    <col min="3585" max="3585" width="4" style="372" customWidth="1"/>
    <col min="3586" max="3586" width="11.5" style="372" customWidth="1"/>
    <col min="3587" max="3591" width="14.5" style="372" customWidth="1"/>
    <col min="3592" max="3593" width="9" style="372"/>
    <col min="3594" max="3594" width="12.25" style="372" customWidth="1"/>
    <col min="3595" max="3595" width="9" style="372"/>
    <col min="3596" max="3596" width="11.875" style="372" customWidth="1"/>
    <col min="3597" max="3597" width="16.125" style="372" customWidth="1"/>
    <col min="3598" max="3598" width="11.5" style="372" customWidth="1"/>
    <col min="3599" max="3840" width="9" style="372"/>
    <col min="3841" max="3841" width="4" style="372" customWidth="1"/>
    <col min="3842" max="3842" width="11.5" style="372" customWidth="1"/>
    <col min="3843" max="3847" width="14.5" style="372" customWidth="1"/>
    <col min="3848" max="3849" width="9" style="372"/>
    <col min="3850" max="3850" width="12.25" style="372" customWidth="1"/>
    <col min="3851" max="3851" width="9" style="372"/>
    <col min="3852" max="3852" width="11.875" style="372" customWidth="1"/>
    <col min="3853" max="3853" width="16.125" style="372" customWidth="1"/>
    <col min="3854" max="3854" width="11.5" style="372" customWidth="1"/>
    <col min="3855" max="4096" width="9" style="372"/>
    <col min="4097" max="4097" width="4" style="372" customWidth="1"/>
    <col min="4098" max="4098" width="11.5" style="372" customWidth="1"/>
    <col min="4099" max="4103" width="14.5" style="372" customWidth="1"/>
    <col min="4104" max="4105" width="9" style="372"/>
    <col min="4106" max="4106" width="12.25" style="372" customWidth="1"/>
    <col min="4107" max="4107" width="9" style="372"/>
    <col min="4108" max="4108" width="11.875" style="372" customWidth="1"/>
    <col min="4109" max="4109" width="16.125" style="372" customWidth="1"/>
    <col min="4110" max="4110" width="11.5" style="372" customWidth="1"/>
    <col min="4111" max="4352" width="9" style="372"/>
    <col min="4353" max="4353" width="4" style="372" customWidth="1"/>
    <col min="4354" max="4354" width="11.5" style="372" customWidth="1"/>
    <col min="4355" max="4359" width="14.5" style="372" customWidth="1"/>
    <col min="4360" max="4361" width="9" style="372"/>
    <col min="4362" max="4362" width="12.25" style="372" customWidth="1"/>
    <col min="4363" max="4363" width="9" style="372"/>
    <col min="4364" max="4364" width="11.875" style="372" customWidth="1"/>
    <col min="4365" max="4365" width="16.125" style="372" customWidth="1"/>
    <col min="4366" max="4366" width="11.5" style="372" customWidth="1"/>
    <col min="4367" max="4608" width="9" style="372"/>
    <col min="4609" max="4609" width="4" style="372" customWidth="1"/>
    <col min="4610" max="4610" width="11.5" style="372" customWidth="1"/>
    <col min="4611" max="4615" width="14.5" style="372" customWidth="1"/>
    <col min="4616" max="4617" width="9" style="372"/>
    <col min="4618" max="4618" width="12.25" style="372" customWidth="1"/>
    <col min="4619" max="4619" width="9" style="372"/>
    <col min="4620" max="4620" width="11.875" style="372" customWidth="1"/>
    <col min="4621" max="4621" width="16.125" style="372" customWidth="1"/>
    <col min="4622" max="4622" width="11.5" style="372" customWidth="1"/>
    <col min="4623" max="4864" width="9" style="372"/>
    <col min="4865" max="4865" width="4" style="372" customWidth="1"/>
    <col min="4866" max="4866" width="11.5" style="372" customWidth="1"/>
    <col min="4867" max="4871" width="14.5" style="372" customWidth="1"/>
    <col min="4872" max="4873" width="9" style="372"/>
    <col min="4874" max="4874" width="12.25" style="372" customWidth="1"/>
    <col min="4875" max="4875" width="9" style="372"/>
    <col min="4876" max="4876" width="11.875" style="372" customWidth="1"/>
    <col min="4877" max="4877" width="16.125" style="372" customWidth="1"/>
    <col min="4878" max="4878" width="11.5" style="372" customWidth="1"/>
    <col min="4879" max="5120" width="9" style="372"/>
    <col min="5121" max="5121" width="4" style="372" customWidth="1"/>
    <col min="5122" max="5122" width="11.5" style="372" customWidth="1"/>
    <col min="5123" max="5127" width="14.5" style="372" customWidth="1"/>
    <col min="5128" max="5129" width="9" style="372"/>
    <col min="5130" max="5130" width="12.25" style="372" customWidth="1"/>
    <col min="5131" max="5131" width="9" style="372"/>
    <col min="5132" max="5132" width="11.875" style="372" customWidth="1"/>
    <col min="5133" max="5133" width="16.125" style="372" customWidth="1"/>
    <col min="5134" max="5134" width="11.5" style="372" customWidth="1"/>
    <col min="5135" max="5376" width="9" style="372"/>
    <col min="5377" max="5377" width="4" style="372" customWidth="1"/>
    <col min="5378" max="5378" width="11.5" style="372" customWidth="1"/>
    <col min="5379" max="5383" width="14.5" style="372" customWidth="1"/>
    <col min="5384" max="5385" width="9" style="372"/>
    <col min="5386" max="5386" width="12.25" style="372" customWidth="1"/>
    <col min="5387" max="5387" width="9" style="372"/>
    <col min="5388" max="5388" width="11.875" style="372" customWidth="1"/>
    <col min="5389" max="5389" width="16.125" style="372" customWidth="1"/>
    <col min="5390" max="5390" width="11.5" style="372" customWidth="1"/>
    <col min="5391" max="5632" width="9" style="372"/>
    <col min="5633" max="5633" width="4" style="372" customWidth="1"/>
    <col min="5634" max="5634" width="11.5" style="372" customWidth="1"/>
    <col min="5635" max="5639" width="14.5" style="372" customWidth="1"/>
    <col min="5640" max="5641" width="9" style="372"/>
    <col min="5642" max="5642" width="12.25" style="372" customWidth="1"/>
    <col min="5643" max="5643" width="9" style="372"/>
    <col min="5644" max="5644" width="11.875" style="372" customWidth="1"/>
    <col min="5645" max="5645" width="16.125" style="372" customWidth="1"/>
    <col min="5646" max="5646" width="11.5" style="372" customWidth="1"/>
    <col min="5647" max="5888" width="9" style="372"/>
    <col min="5889" max="5889" width="4" style="372" customWidth="1"/>
    <col min="5890" max="5890" width="11.5" style="372" customWidth="1"/>
    <col min="5891" max="5895" width="14.5" style="372" customWidth="1"/>
    <col min="5896" max="5897" width="9" style="372"/>
    <col min="5898" max="5898" width="12.25" style="372" customWidth="1"/>
    <col min="5899" max="5899" width="9" style="372"/>
    <col min="5900" max="5900" width="11.875" style="372" customWidth="1"/>
    <col min="5901" max="5901" width="16.125" style="372" customWidth="1"/>
    <col min="5902" max="5902" width="11.5" style="372" customWidth="1"/>
    <col min="5903" max="6144" width="9" style="372"/>
    <col min="6145" max="6145" width="4" style="372" customWidth="1"/>
    <col min="6146" max="6146" width="11.5" style="372" customWidth="1"/>
    <col min="6147" max="6151" width="14.5" style="372" customWidth="1"/>
    <col min="6152" max="6153" width="9" style="372"/>
    <col min="6154" max="6154" width="12.25" style="372" customWidth="1"/>
    <col min="6155" max="6155" width="9" style="372"/>
    <col min="6156" max="6156" width="11.875" style="372" customWidth="1"/>
    <col min="6157" max="6157" width="16.125" style="372" customWidth="1"/>
    <col min="6158" max="6158" width="11.5" style="372" customWidth="1"/>
    <col min="6159" max="6400" width="9" style="372"/>
    <col min="6401" max="6401" width="4" style="372" customWidth="1"/>
    <col min="6402" max="6402" width="11.5" style="372" customWidth="1"/>
    <col min="6403" max="6407" width="14.5" style="372" customWidth="1"/>
    <col min="6408" max="6409" width="9" style="372"/>
    <col min="6410" max="6410" width="12.25" style="372" customWidth="1"/>
    <col min="6411" max="6411" width="9" style="372"/>
    <col min="6412" max="6412" width="11.875" style="372" customWidth="1"/>
    <col min="6413" max="6413" width="16.125" style="372" customWidth="1"/>
    <col min="6414" max="6414" width="11.5" style="372" customWidth="1"/>
    <col min="6415" max="6656" width="9" style="372"/>
    <col min="6657" max="6657" width="4" style="372" customWidth="1"/>
    <col min="6658" max="6658" width="11.5" style="372" customWidth="1"/>
    <col min="6659" max="6663" width="14.5" style="372" customWidth="1"/>
    <col min="6664" max="6665" width="9" style="372"/>
    <col min="6666" max="6666" width="12.25" style="372" customWidth="1"/>
    <col min="6667" max="6667" width="9" style="372"/>
    <col min="6668" max="6668" width="11.875" style="372" customWidth="1"/>
    <col min="6669" max="6669" width="16.125" style="372" customWidth="1"/>
    <col min="6670" max="6670" width="11.5" style="372" customWidth="1"/>
    <col min="6671" max="6912" width="9" style="372"/>
    <col min="6913" max="6913" width="4" style="372" customWidth="1"/>
    <col min="6914" max="6914" width="11.5" style="372" customWidth="1"/>
    <col min="6915" max="6919" width="14.5" style="372" customWidth="1"/>
    <col min="6920" max="6921" width="9" style="372"/>
    <col min="6922" max="6922" width="12.25" style="372" customWidth="1"/>
    <col min="6923" max="6923" width="9" style="372"/>
    <col min="6924" max="6924" width="11.875" style="372" customWidth="1"/>
    <col min="6925" max="6925" width="16.125" style="372" customWidth="1"/>
    <col min="6926" max="6926" width="11.5" style="372" customWidth="1"/>
    <col min="6927" max="7168" width="9" style="372"/>
    <col min="7169" max="7169" width="4" style="372" customWidth="1"/>
    <col min="7170" max="7170" width="11.5" style="372" customWidth="1"/>
    <col min="7171" max="7175" width="14.5" style="372" customWidth="1"/>
    <col min="7176" max="7177" width="9" style="372"/>
    <col min="7178" max="7178" width="12.25" style="372" customWidth="1"/>
    <col min="7179" max="7179" width="9" style="372"/>
    <col min="7180" max="7180" width="11.875" style="372" customWidth="1"/>
    <col min="7181" max="7181" width="16.125" style="372" customWidth="1"/>
    <col min="7182" max="7182" width="11.5" style="372" customWidth="1"/>
    <col min="7183" max="7424" width="9" style="372"/>
    <col min="7425" max="7425" width="4" style="372" customWidth="1"/>
    <col min="7426" max="7426" width="11.5" style="372" customWidth="1"/>
    <col min="7427" max="7431" width="14.5" style="372" customWidth="1"/>
    <col min="7432" max="7433" width="9" style="372"/>
    <col min="7434" max="7434" width="12.25" style="372" customWidth="1"/>
    <col min="7435" max="7435" width="9" style="372"/>
    <col min="7436" max="7436" width="11.875" style="372" customWidth="1"/>
    <col min="7437" max="7437" width="16.125" style="372" customWidth="1"/>
    <col min="7438" max="7438" width="11.5" style="372" customWidth="1"/>
    <col min="7439" max="7680" width="9" style="372"/>
    <col min="7681" max="7681" width="4" style="372" customWidth="1"/>
    <col min="7682" max="7682" width="11.5" style="372" customWidth="1"/>
    <col min="7683" max="7687" width="14.5" style="372" customWidth="1"/>
    <col min="7688" max="7689" width="9" style="372"/>
    <col min="7690" max="7690" width="12.25" style="372" customWidth="1"/>
    <col min="7691" max="7691" width="9" style="372"/>
    <col min="7692" max="7692" width="11.875" style="372" customWidth="1"/>
    <col min="7693" max="7693" width="16.125" style="372" customWidth="1"/>
    <col min="7694" max="7694" width="11.5" style="372" customWidth="1"/>
    <col min="7695" max="7936" width="9" style="372"/>
    <col min="7937" max="7937" width="4" style="372" customWidth="1"/>
    <col min="7938" max="7938" width="11.5" style="372" customWidth="1"/>
    <col min="7939" max="7943" width="14.5" style="372" customWidth="1"/>
    <col min="7944" max="7945" width="9" style="372"/>
    <col min="7946" max="7946" width="12.25" style="372" customWidth="1"/>
    <col min="7947" max="7947" width="9" style="372"/>
    <col min="7948" max="7948" width="11.875" style="372" customWidth="1"/>
    <col min="7949" max="7949" width="16.125" style="372" customWidth="1"/>
    <col min="7950" max="7950" width="11.5" style="372" customWidth="1"/>
    <col min="7951" max="8192" width="9" style="372"/>
    <col min="8193" max="8193" width="4" style="372" customWidth="1"/>
    <col min="8194" max="8194" width="11.5" style="372" customWidth="1"/>
    <col min="8195" max="8199" width="14.5" style="372" customWidth="1"/>
    <col min="8200" max="8201" width="9" style="372"/>
    <col min="8202" max="8202" width="12.25" style="372" customWidth="1"/>
    <col min="8203" max="8203" width="9" style="372"/>
    <col min="8204" max="8204" width="11.875" style="372" customWidth="1"/>
    <col min="8205" max="8205" width="16.125" style="372" customWidth="1"/>
    <col min="8206" max="8206" width="11.5" style="372" customWidth="1"/>
    <col min="8207" max="8448" width="9" style="372"/>
    <col min="8449" max="8449" width="4" style="372" customWidth="1"/>
    <col min="8450" max="8450" width="11.5" style="372" customWidth="1"/>
    <col min="8451" max="8455" width="14.5" style="372" customWidth="1"/>
    <col min="8456" max="8457" width="9" style="372"/>
    <col min="8458" max="8458" width="12.25" style="372" customWidth="1"/>
    <col min="8459" max="8459" width="9" style="372"/>
    <col min="8460" max="8460" width="11.875" style="372" customWidth="1"/>
    <col min="8461" max="8461" width="16.125" style="372" customWidth="1"/>
    <col min="8462" max="8462" width="11.5" style="372" customWidth="1"/>
    <col min="8463" max="8704" width="9" style="372"/>
    <col min="8705" max="8705" width="4" style="372" customWidth="1"/>
    <col min="8706" max="8706" width="11.5" style="372" customWidth="1"/>
    <col min="8707" max="8711" width="14.5" style="372" customWidth="1"/>
    <col min="8712" max="8713" width="9" style="372"/>
    <col min="8714" max="8714" width="12.25" style="372" customWidth="1"/>
    <col min="8715" max="8715" width="9" style="372"/>
    <col min="8716" max="8716" width="11.875" style="372" customWidth="1"/>
    <col min="8717" max="8717" width="16.125" style="372" customWidth="1"/>
    <col min="8718" max="8718" width="11.5" style="372" customWidth="1"/>
    <col min="8719" max="8960" width="9" style="372"/>
    <col min="8961" max="8961" width="4" style="372" customWidth="1"/>
    <col min="8962" max="8962" width="11.5" style="372" customWidth="1"/>
    <col min="8963" max="8967" width="14.5" style="372" customWidth="1"/>
    <col min="8968" max="8969" width="9" style="372"/>
    <col min="8970" max="8970" width="12.25" style="372" customWidth="1"/>
    <col min="8971" max="8971" width="9" style="372"/>
    <col min="8972" max="8972" width="11.875" style="372" customWidth="1"/>
    <col min="8973" max="8973" width="16.125" style="372" customWidth="1"/>
    <col min="8974" max="8974" width="11.5" style="372" customWidth="1"/>
    <col min="8975" max="9216" width="9" style="372"/>
    <col min="9217" max="9217" width="4" style="372" customWidth="1"/>
    <col min="9218" max="9218" width="11.5" style="372" customWidth="1"/>
    <col min="9219" max="9223" width="14.5" style="372" customWidth="1"/>
    <col min="9224" max="9225" width="9" style="372"/>
    <col min="9226" max="9226" width="12.25" style="372" customWidth="1"/>
    <col min="9227" max="9227" width="9" style="372"/>
    <col min="9228" max="9228" width="11.875" style="372" customWidth="1"/>
    <col min="9229" max="9229" width="16.125" style="372" customWidth="1"/>
    <col min="9230" max="9230" width="11.5" style="372" customWidth="1"/>
    <col min="9231" max="9472" width="9" style="372"/>
    <col min="9473" max="9473" width="4" style="372" customWidth="1"/>
    <col min="9474" max="9474" width="11.5" style="372" customWidth="1"/>
    <col min="9475" max="9479" width="14.5" style="372" customWidth="1"/>
    <col min="9480" max="9481" width="9" style="372"/>
    <col min="9482" max="9482" width="12.25" style="372" customWidth="1"/>
    <col min="9483" max="9483" width="9" style="372"/>
    <col min="9484" max="9484" width="11.875" style="372" customWidth="1"/>
    <col min="9485" max="9485" width="16.125" style="372" customWidth="1"/>
    <col min="9486" max="9486" width="11.5" style="372" customWidth="1"/>
    <col min="9487" max="9728" width="9" style="372"/>
    <col min="9729" max="9729" width="4" style="372" customWidth="1"/>
    <col min="9730" max="9730" width="11.5" style="372" customWidth="1"/>
    <col min="9731" max="9735" width="14.5" style="372" customWidth="1"/>
    <col min="9736" max="9737" width="9" style="372"/>
    <col min="9738" max="9738" width="12.25" style="372" customWidth="1"/>
    <col min="9739" max="9739" width="9" style="372"/>
    <col min="9740" max="9740" width="11.875" style="372" customWidth="1"/>
    <col min="9741" max="9741" width="16.125" style="372" customWidth="1"/>
    <col min="9742" max="9742" width="11.5" style="372" customWidth="1"/>
    <col min="9743" max="9984" width="9" style="372"/>
    <col min="9985" max="9985" width="4" style="372" customWidth="1"/>
    <col min="9986" max="9986" width="11.5" style="372" customWidth="1"/>
    <col min="9987" max="9991" width="14.5" style="372" customWidth="1"/>
    <col min="9992" max="9993" width="9" style="372"/>
    <col min="9994" max="9994" width="12.25" style="372" customWidth="1"/>
    <col min="9995" max="9995" width="9" style="372"/>
    <col min="9996" max="9996" width="11.875" style="372" customWidth="1"/>
    <col min="9997" max="9997" width="16.125" style="372" customWidth="1"/>
    <col min="9998" max="9998" width="11.5" style="372" customWidth="1"/>
    <col min="9999" max="10240" width="9" style="372"/>
    <col min="10241" max="10241" width="4" style="372" customWidth="1"/>
    <col min="10242" max="10242" width="11.5" style="372" customWidth="1"/>
    <col min="10243" max="10247" width="14.5" style="372" customWidth="1"/>
    <col min="10248" max="10249" width="9" style="372"/>
    <col min="10250" max="10250" width="12.25" style="372" customWidth="1"/>
    <col min="10251" max="10251" width="9" style="372"/>
    <col min="10252" max="10252" width="11.875" style="372" customWidth="1"/>
    <col min="10253" max="10253" width="16.125" style="372" customWidth="1"/>
    <col min="10254" max="10254" width="11.5" style="372" customWidth="1"/>
    <col min="10255" max="10496" width="9" style="372"/>
    <col min="10497" max="10497" width="4" style="372" customWidth="1"/>
    <col min="10498" max="10498" width="11.5" style="372" customWidth="1"/>
    <col min="10499" max="10503" width="14.5" style="372" customWidth="1"/>
    <col min="10504" max="10505" width="9" style="372"/>
    <col min="10506" max="10506" width="12.25" style="372" customWidth="1"/>
    <col min="10507" max="10507" width="9" style="372"/>
    <col min="10508" max="10508" width="11.875" style="372" customWidth="1"/>
    <col min="10509" max="10509" width="16.125" style="372" customWidth="1"/>
    <col min="10510" max="10510" width="11.5" style="372" customWidth="1"/>
    <col min="10511" max="10752" width="9" style="372"/>
    <col min="10753" max="10753" width="4" style="372" customWidth="1"/>
    <col min="10754" max="10754" width="11.5" style="372" customWidth="1"/>
    <col min="10755" max="10759" width="14.5" style="372" customWidth="1"/>
    <col min="10760" max="10761" width="9" style="372"/>
    <col min="10762" max="10762" width="12.25" style="372" customWidth="1"/>
    <col min="10763" max="10763" width="9" style="372"/>
    <col min="10764" max="10764" width="11.875" style="372" customWidth="1"/>
    <col min="10765" max="10765" width="16.125" style="372" customWidth="1"/>
    <col min="10766" max="10766" width="11.5" style="372" customWidth="1"/>
    <col min="10767" max="11008" width="9" style="372"/>
    <col min="11009" max="11009" width="4" style="372" customWidth="1"/>
    <col min="11010" max="11010" width="11.5" style="372" customWidth="1"/>
    <col min="11011" max="11015" width="14.5" style="372" customWidth="1"/>
    <col min="11016" max="11017" width="9" style="372"/>
    <col min="11018" max="11018" width="12.25" style="372" customWidth="1"/>
    <col min="11019" max="11019" width="9" style="372"/>
    <col min="11020" max="11020" width="11.875" style="372" customWidth="1"/>
    <col min="11021" max="11021" width="16.125" style="372" customWidth="1"/>
    <col min="11022" max="11022" width="11.5" style="372" customWidth="1"/>
    <col min="11023" max="11264" width="9" style="372"/>
    <col min="11265" max="11265" width="4" style="372" customWidth="1"/>
    <col min="11266" max="11266" width="11.5" style="372" customWidth="1"/>
    <col min="11267" max="11271" width="14.5" style="372" customWidth="1"/>
    <col min="11272" max="11273" width="9" style="372"/>
    <col min="11274" max="11274" width="12.25" style="372" customWidth="1"/>
    <col min="11275" max="11275" width="9" style="372"/>
    <col min="11276" max="11276" width="11.875" style="372" customWidth="1"/>
    <col min="11277" max="11277" width="16.125" style="372" customWidth="1"/>
    <col min="11278" max="11278" width="11.5" style="372" customWidth="1"/>
    <col min="11279" max="11520" width="9" style="372"/>
    <col min="11521" max="11521" width="4" style="372" customWidth="1"/>
    <col min="11522" max="11522" width="11.5" style="372" customWidth="1"/>
    <col min="11523" max="11527" width="14.5" style="372" customWidth="1"/>
    <col min="11528" max="11529" width="9" style="372"/>
    <col min="11530" max="11530" width="12.25" style="372" customWidth="1"/>
    <col min="11531" max="11531" width="9" style="372"/>
    <col min="11532" max="11532" width="11.875" style="372" customWidth="1"/>
    <col min="11533" max="11533" width="16.125" style="372" customWidth="1"/>
    <col min="11534" max="11534" width="11.5" style="372" customWidth="1"/>
    <col min="11535" max="11776" width="9" style="372"/>
    <col min="11777" max="11777" width="4" style="372" customWidth="1"/>
    <col min="11778" max="11778" width="11.5" style="372" customWidth="1"/>
    <col min="11779" max="11783" width="14.5" style="372" customWidth="1"/>
    <col min="11784" max="11785" width="9" style="372"/>
    <col min="11786" max="11786" width="12.25" style="372" customWidth="1"/>
    <col min="11787" max="11787" width="9" style="372"/>
    <col min="11788" max="11788" width="11.875" style="372" customWidth="1"/>
    <col min="11789" max="11789" width="16.125" style="372" customWidth="1"/>
    <col min="11790" max="11790" width="11.5" style="372" customWidth="1"/>
    <col min="11791" max="12032" width="9" style="372"/>
    <col min="12033" max="12033" width="4" style="372" customWidth="1"/>
    <col min="12034" max="12034" width="11.5" style="372" customWidth="1"/>
    <col min="12035" max="12039" width="14.5" style="372" customWidth="1"/>
    <col min="12040" max="12041" width="9" style="372"/>
    <col min="12042" max="12042" width="12.25" style="372" customWidth="1"/>
    <col min="12043" max="12043" width="9" style="372"/>
    <col min="12044" max="12044" width="11.875" style="372" customWidth="1"/>
    <col min="12045" max="12045" width="16.125" style="372" customWidth="1"/>
    <col min="12046" max="12046" width="11.5" style="372" customWidth="1"/>
    <col min="12047" max="12288" width="9" style="372"/>
    <col min="12289" max="12289" width="4" style="372" customWidth="1"/>
    <col min="12290" max="12290" width="11.5" style="372" customWidth="1"/>
    <col min="12291" max="12295" width="14.5" style="372" customWidth="1"/>
    <col min="12296" max="12297" width="9" style="372"/>
    <col min="12298" max="12298" width="12.25" style="372" customWidth="1"/>
    <col min="12299" max="12299" width="9" style="372"/>
    <col min="12300" max="12300" width="11.875" style="372" customWidth="1"/>
    <col min="12301" max="12301" width="16.125" style="372" customWidth="1"/>
    <col min="12302" max="12302" width="11.5" style="372" customWidth="1"/>
    <col min="12303" max="12544" width="9" style="372"/>
    <col min="12545" max="12545" width="4" style="372" customWidth="1"/>
    <col min="12546" max="12546" width="11.5" style="372" customWidth="1"/>
    <col min="12547" max="12551" width="14.5" style="372" customWidth="1"/>
    <col min="12552" max="12553" width="9" style="372"/>
    <col min="12554" max="12554" width="12.25" style="372" customWidth="1"/>
    <col min="12555" max="12555" width="9" style="372"/>
    <col min="12556" max="12556" width="11.875" style="372" customWidth="1"/>
    <col min="12557" max="12557" width="16.125" style="372" customWidth="1"/>
    <col min="12558" max="12558" width="11.5" style="372" customWidth="1"/>
    <col min="12559" max="12800" width="9" style="372"/>
    <col min="12801" max="12801" width="4" style="372" customWidth="1"/>
    <col min="12802" max="12802" width="11.5" style="372" customWidth="1"/>
    <col min="12803" max="12807" width="14.5" style="372" customWidth="1"/>
    <col min="12808" max="12809" width="9" style="372"/>
    <col min="12810" max="12810" width="12.25" style="372" customWidth="1"/>
    <col min="12811" max="12811" width="9" style="372"/>
    <col min="12812" max="12812" width="11.875" style="372" customWidth="1"/>
    <col min="12813" max="12813" width="16.125" style="372" customWidth="1"/>
    <col min="12814" max="12814" width="11.5" style="372" customWidth="1"/>
    <col min="12815" max="13056" width="9" style="372"/>
    <col min="13057" max="13057" width="4" style="372" customWidth="1"/>
    <col min="13058" max="13058" width="11.5" style="372" customWidth="1"/>
    <col min="13059" max="13063" width="14.5" style="372" customWidth="1"/>
    <col min="13064" max="13065" width="9" style="372"/>
    <col min="13066" max="13066" width="12.25" style="372" customWidth="1"/>
    <col min="13067" max="13067" width="9" style="372"/>
    <col min="13068" max="13068" width="11.875" style="372" customWidth="1"/>
    <col min="13069" max="13069" width="16.125" style="372" customWidth="1"/>
    <col min="13070" max="13070" width="11.5" style="372" customWidth="1"/>
    <col min="13071" max="13312" width="9" style="372"/>
    <col min="13313" max="13313" width="4" style="372" customWidth="1"/>
    <col min="13314" max="13314" width="11.5" style="372" customWidth="1"/>
    <col min="13315" max="13319" width="14.5" style="372" customWidth="1"/>
    <col min="13320" max="13321" width="9" style="372"/>
    <col min="13322" max="13322" width="12.25" style="372" customWidth="1"/>
    <col min="13323" max="13323" width="9" style="372"/>
    <col min="13324" max="13324" width="11.875" style="372" customWidth="1"/>
    <col min="13325" max="13325" width="16.125" style="372" customWidth="1"/>
    <col min="13326" max="13326" width="11.5" style="372" customWidth="1"/>
    <col min="13327" max="13568" width="9" style="372"/>
    <col min="13569" max="13569" width="4" style="372" customWidth="1"/>
    <col min="13570" max="13570" width="11.5" style="372" customWidth="1"/>
    <col min="13571" max="13575" width="14.5" style="372" customWidth="1"/>
    <col min="13576" max="13577" width="9" style="372"/>
    <col min="13578" max="13578" width="12.25" style="372" customWidth="1"/>
    <col min="13579" max="13579" width="9" style="372"/>
    <col min="13580" max="13580" width="11.875" style="372" customWidth="1"/>
    <col min="13581" max="13581" width="16.125" style="372" customWidth="1"/>
    <col min="13582" max="13582" width="11.5" style="372" customWidth="1"/>
    <col min="13583" max="13824" width="9" style="372"/>
    <col min="13825" max="13825" width="4" style="372" customWidth="1"/>
    <col min="13826" max="13826" width="11.5" style="372" customWidth="1"/>
    <col min="13827" max="13831" width="14.5" style="372" customWidth="1"/>
    <col min="13832" max="13833" width="9" style="372"/>
    <col min="13834" max="13834" width="12.25" style="372" customWidth="1"/>
    <col min="13835" max="13835" width="9" style="372"/>
    <col min="13836" max="13836" width="11.875" style="372" customWidth="1"/>
    <col min="13837" max="13837" width="16.125" style="372" customWidth="1"/>
    <col min="13838" max="13838" width="11.5" style="372" customWidth="1"/>
    <col min="13839" max="14080" width="9" style="372"/>
    <col min="14081" max="14081" width="4" style="372" customWidth="1"/>
    <col min="14082" max="14082" width="11.5" style="372" customWidth="1"/>
    <col min="14083" max="14087" width="14.5" style="372" customWidth="1"/>
    <col min="14088" max="14089" width="9" style="372"/>
    <col min="14090" max="14090" width="12.25" style="372" customWidth="1"/>
    <col min="14091" max="14091" width="9" style="372"/>
    <col min="14092" max="14092" width="11.875" style="372" customWidth="1"/>
    <col min="14093" max="14093" width="16.125" style="372" customWidth="1"/>
    <col min="14094" max="14094" width="11.5" style="372" customWidth="1"/>
    <col min="14095" max="14336" width="9" style="372"/>
    <col min="14337" max="14337" width="4" style="372" customWidth="1"/>
    <col min="14338" max="14338" width="11.5" style="372" customWidth="1"/>
    <col min="14339" max="14343" width="14.5" style="372" customWidth="1"/>
    <col min="14344" max="14345" width="9" style="372"/>
    <col min="14346" max="14346" width="12.25" style="372" customWidth="1"/>
    <col min="14347" max="14347" width="9" style="372"/>
    <col min="14348" max="14348" width="11.875" style="372" customWidth="1"/>
    <col min="14349" max="14349" width="16.125" style="372" customWidth="1"/>
    <col min="14350" max="14350" width="11.5" style="372" customWidth="1"/>
    <col min="14351" max="14592" width="9" style="372"/>
    <col min="14593" max="14593" width="4" style="372" customWidth="1"/>
    <col min="14594" max="14594" width="11.5" style="372" customWidth="1"/>
    <col min="14595" max="14599" width="14.5" style="372" customWidth="1"/>
    <col min="14600" max="14601" width="9" style="372"/>
    <col min="14602" max="14602" width="12.25" style="372" customWidth="1"/>
    <col min="14603" max="14603" width="9" style="372"/>
    <col min="14604" max="14604" width="11.875" style="372" customWidth="1"/>
    <col min="14605" max="14605" width="16.125" style="372" customWidth="1"/>
    <col min="14606" max="14606" width="11.5" style="372" customWidth="1"/>
    <col min="14607" max="14848" width="9" style="372"/>
    <col min="14849" max="14849" width="4" style="372" customWidth="1"/>
    <col min="14850" max="14850" width="11.5" style="372" customWidth="1"/>
    <col min="14851" max="14855" width="14.5" style="372" customWidth="1"/>
    <col min="14856" max="14857" width="9" style="372"/>
    <col min="14858" max="14858" width="12.25" style="372" customWidth="1"/>
    <col min="14859" max="14859" width="9" style="372"/>
    <col min="14860" max="14860" width="11.875" style="372" customWidth="1"/>
    <col min="14861" max="14861" width="16.125" style="372" customWidth="1"/>
    <col min="14862" max="14862" width="11.5" style="372" customWidth="1"/>
    <col min="14863" max="15104" width="9" style="372"/>
    <col min="15105" max="15105" width="4" style="372" customWidth="1"/>
    <col min="15106" max="15106" width="11.5" style="372" customWidth="1"/>
    <col min="15107" max="15111" width="14.5" style="372" customWidth="1"/>
    <col min="15112" max="15113" width="9" style="372"/>
    <col min="15114" max="15114" width="12.25" style="372" customWidth="1"/>
    <col min="15115" max="15115" width="9" style="372"/>
    <col min="15116" max="15116" width="11.875" style="372" customWidth="1"/>
    <col min="15117" max="15117" width="16.125" style="372" customWidth="1"/>
    <col min="15118" max="15118" width="11.5" style="372" customWidth="1"/>
    <col min="15119" max="15360" width="9" style="372"/>
    <col min="15361" max="15361" width="4" style="372" customWidth="1"/>
    <col min="15362" max="15362" width="11.5" style="372" customWidth="1"/>
    <col min="15363" max="15367" width="14.5" style="372" customWidth="1"/>
    <col min="15368" max="15369" width="9" style="372"/>
    <col min="15370" max="15370" width="12.25" style="372" customWidth="1"/>
    <col min="15371" max="15371" width="9" style="372"/>
    <col min="15372" max="15372" width="11.875" style="372" customWidth="1"/>
    <col min="15373" max="15373" width="16.125" style="372" customWidth="1"/>
    <col min="15374" max="15374" width="11.5" style="372" customWidth="1"/>
    <col min="15375" max="15616" width="9" style="372"/>
    <col min="15617" max="15617" width="4" style="372" customWidth="1"/>
    <col min="15618" max="15618" width="11.5" style="372" customWidth="1"/>
    <col min="15619" max="15623" width="14.5" style="372" customWidth="1"/>
    <col min="15624" max="15625" width="9" style="372"/>
    <col min="15626" max="15626" width="12.25" style="372" customWidth="1"/>
    <col min="15627" max="15627" width="9" style="372"/>
    <col min="15628" max="15628" width="11.875" style="372" customWidth="1"/>
    <col min="15629" max="15629" width="16.125" style="372" customWidth="1"/>
    <col min="15630" max="15630" width="11.5" style="372" customWidth="1"/>
    <col min="15631" max="15872" width="9" style="372"/>
    <col min="15873" max="15873" width="4" style="372" customWidth="1"/>
    <col min="15874" max="15874" width="11.5" style="372" customWidth="1"/>
    <col min="15875" max="15879" width="14.5" style="372" customWidth="1"/>
    <col min="15880" max="15881" width="9" style="372"/>
    <col min="15882" max="15882" width="12.25" style="372" customWidth="1"/>
    <col min="15883" max="15883" width="9" style="372"/>
    <col min="15884" max="15884" width="11.875" style="372" customWidth="1"/>
    <col min="15885" max="15885" width="16.125" style="372" customWidth="1"/>
    <col min="15886" max="15886" width="11.5" style="372" customWidth="1"/>
    <col min="15887" max="16128" width="9" style="372"/>
    <col min="16129" max="16129" width="4" style="372" customWidth="1"/>
    <col min="16130" max="16130" width="11.5" style="372" customWidth="1"/>
    <col min="16131" max="16135" width="14.5" style="372" customWidth="1"/>
    <col min="16136" max="16137" width="9" style="372"/>
    <col min="16138" max="16138" width="12.25" style="372" customWidth="1"/>
    <col min="16139" max="16139" width="9" style="372"/>
    <col min="16140" max="16140" width="11.875" style="372" customWidth="1"/>
    <col min="16141" max="16141" width="16.125" style="372" customWidth="1"/>
    <col min="16142" max="16142" width="11.5" style="372" customWidth="1"/>
    <col min="16143" max="16384" width="9" style="372"/>
  </cols>
  <sheetData>
    <row r="2" spans="1:16" ht="18.75">
      <c r="A2" s="727" t="s">
        <v>598</v>
      </c>
      <c r="B2" s="727"/>
      <c r="C2" s="727"/>
      <c r="D2" s="727"/>
      <c r="E2" s="727"/>
      <c r="F2" s="727"/>
      <c r="G2" s="727"/>
    </row>
    <row r="3" spans="1:16">
      <c r="L3" s="374"/>
      <c r="M3" s="374"/>
      <c r="N3" s="374"/>
      <c r="O3" s="374"/>
    </row>
    <row r="4" spans="1:16">
      <c r="L4" s="375"/>
      <c r="M4" s="375"/>
      <c r="N4" s="376"/>
      <c r="O4" s="375"/>
      <c r="P4" s="375"/>
    </row>
    <row r="5" spans="1:16" s="377" customFormat="1" ht="15">
      <c r="A5" s="728" t="s">
        <v>599</v>
      </c>
      <c r="B5" s="728" t="s">
        <v>600</v>
      </c>
      <c r="C5" s="725" t="s">
        <v>601</v>
      </c>
      <c r="D5" s="725" t="s">
        <v>602</v>
      </c>
      <c r="E5" s="725" t="s">
        <v>603</v>
      </c>
      <c r="F5" s="728" t="s">
        <v>604</v>
      </c>
      <c r="G5" s="728" t="s">
        <v>605</v>
      </c>
      <c r="H5" s="725" t="s">
        <v>611</v>
      </c>
      <c r="I5" s="725" t="s">
        <v>614</v>
      </c>
      <c r="K5" s="378"/>
      <c r="L5" s="378"/>
      <c r="M5" s="379"/>
      <c r="N5" s="379"/>
      <c r="O5" s="378"/>
      <c r="P5" s="378"/>
    </row>
    <row r="6" spans="1:16" s="377" customFormat="1" ht="15">
      <c r="A6" s="729"/>
      <c r="B6" s="729"/>
      <c r="C6" s="729"/>
      <c r="D6" s="729"/>
      <c r="E6" s="729"/>
      <c r="F6" s="729"/>
      <c r="G6" s="729"/>
      <c r="H6" s="726"/>
      <c r="I6" s="726"/>
      <c r="K6" s="378"/>
      <c r="L6" s="378"/>
      <c r="M6" s="378"/>
      <c r="N6" s="378"/>
      <c r="O6" s="378"/>
      <c r="P6" s="378"/>
    </row>
    <row r="7" spans="1:16" s="377" customFormat="1" ht="25.5" customHeight="1">
      <c r="A7" s="380">
        <v>1</v>
      </c>
      <c r="B7" s="381" t="s">
        <v>606</v>
      </c>
      <c r="C7" s="382">
        <v>12055209951</v>
      </c>
      <c r="D7" s="382">
        <v>21606245503</v>
      </c>
      <c r="E7" s="382">
        <v>23416525454</v>
      </c>
      <c r="F7" s="382">
        <v>0</v>
      </c>
      <c r="G7" s="382">
        <f>C7+D7+E7</f>
        <v>57077980908</v>
      </c>
      <c r="H7" s="382">
        <f>G7-C7-F7</f>
        <v>45022770957</v>
      </c>
      <c r="I7" s="382"/>
      <c r="K7" s="378"/>
      <c r="L7" s="378"/>
      <c r="M7" s="378"/>
      <c r="N7" s="378"/>
      <c r="O7" s="378"/>
      <c r="P7" s="378"/>
    </row>
    <row r="8" spans="1:16" s="377" customFormat="1" ht="25.5" customHeight="1">
      <c r="A8" s="383">
        <v>2</v>
      </c>
      <c r="B8" s="384" t="s">
        <v>607</v>
      </c>
      <c r="C8" s="385">
        <v>17680000</v>
      </c>
      <c r="D8" s="385">
        <v>0</v>
      </c>
      <c r="E8" s="385">
        <v>0</v>
      </c>
      <c r="F8" s="385">
        <v>1643675925</v>
      </c>
      <c r="G8" s="385">
        <f>C8+D8+E8+F8</f>
        <v>1661355925</v>
      </c>
      <c r="H8" s="382">
        <f>G8-C8-F8</f>
        <v>0</v>
      </c>
      <c r="I8" s="385"/>
      <c r="K8" s="378"/>
      <c r="L8" s="378"/>
      <c r="M8" s="378"/>
      <c r="N8" s="378"/>
      <c r="O8" s="378"/>
      <c r="P8" s="378"/>
    </row>
    <row r="9" spans="1:16" s="377" customFormat="1" ht="25.5" customHeight="1">
      <c r="A9" s="386">
        <v>3</v>
      </c>
      <c r="B9" s="387" t="s">
        <v>608</v>
      </c>
      <c r="C9" s="388">
        <v>816434050</v>
      </c>
      <c r="D9" s="388">
        <v>2525000402</v>
      </c>
      <c r="E9" s="388">
        <v>0</v>
      </c>
      <c r="F9" s="388">
        <v>930114210</v>
      </c>
      <c r="G9" s="388">
        <f>C9+D9+E9+F9</f>
        <v>4271548662</v>
      </c>
      <c r="H9" s="382">
        <f>G9-C9-F9</f>
        <v>2525000402</v>
      </c>
      <c r="I9" s="388"/>
      <c r="K9" s="378"/>
      <c r="L9" s="378"/>
      <c r="M9" s="378"/>
      <c r="N9" s="378"/>
      <c r="O9" s="378"/>
      <c r="P9" s="378"/>
    </row>
    <row r="10" spans="1:16" s="377" customFormat="1" ht="25.5" customHeight="1">
      <c r="A10" s="723" t="s">
        <v>609</v>
      </c>
      <c r="B10" s="723"/>
      <c r="C10" s="389">
        <f t="shared" ref="C10:I10" si="0">SUM(C7:C9)</f>
        <v>12889324001</v>
      </c>
      <c r="D10" s="389">
        <f t="shared" si="0"/>
        <v>24131245905</v>
      </c>
      <c r="E10" s="389">
        <f t="shared" si="0"/>
        <v>23416525454</v>
      </c>
      <c r="F10" s="389">
        <f t="shared" si="0"/>
        <v>2573790135</v>
      </c>
      <c r="G10" s="389">
        <f t="shared" si="0"/>
        <v>63010885495</v>
      </c>
      <c r="H10" s="389">
        <f t="shared" si="0"/>
        <v>47547771359</v>
      </c>
      <c r="I10" s="389">
        <f t="shared" si="0"/>
        <v>0</v>
      </c>
      <c r="K10" s="378"/>
      <c r="L10" s="378"/>
      <c r="M10" s="378"/>
      <c r="N10" s="378"/>
      <c r="O10" s="378"/>
      <c r="P10" s="378"/>
    </row>
    <row r="11" spans="1:16" s="394" customFormat="1" ht="15">
      <c r="A11" s="391">
        <v>1</v>
      </c>
      <c r="B11" s="392" t="s">
        <v>606</v>
      </c>
      <c r="C11" s="393">
        <v>7019406184</v>
      </c>
      <c r="D11" s="393">
        <v>41185294902</v>
      </c>
      <c r="E11" s="393">
        <v>6231878182</v>
      </c>
      <c r="F11" s="393">
        <v>0</v>
      </c>
      <c r="G11" s="393">
        <f>C11+D11+E11+F11</f>
        <v>54436579268</v>
      </c>
      <c r="H11" s="393">
        <f>G11-C11-F11</f>
        <v>47417173084</v>
      </c>
      <c r="I11" s="393">
        <f>ROUND(H11*0.25,0)</f>
        <v>11854293271</v>
      </c>
      <c r="K11" s="395"/>
      <c r="L11" s="395"/>
      <c r="M11" s="395"/>
      <c r="N11" s="395"/>
      <c r="O11" s="395"/>
      <c r="P11" s="395"/>
    </row>
    <row r="12" spans="1:16" s="394" customFormat="1" ht="15">
      <c r="A12" s="396">
        <v>2</v>
      </c>
      <c r="B12" s="397" t="s">
        <v>607</v>
      </c>
      <c r="C12" s="398">
        <v>141130274</v>
      </c>
      <c r="D12" s="398">
        <v>832589193</v>
      </c>
      <c r="E12" s="398">
        <v>0</v>
      </c>
      <c r="F12" s="398">
        <v>2527456964</v>
      </c>
      <c r="G12" s="398">
        <f>C12+D12+E12+F12</f>
        <v>3501176431</v>
      </c>
      <c r="H12" s="393">
        <f>G12-C12-F12</f>
        <v>832589193</v>
      </c>
      <c r="I12" s="393">
        <f>ROUND(H12*0.25,0)</f>
        <v>208147298</v>
      </c>
      <c r="L12" s="395"/>
      <c r="M12" s="395"/>
      <c r="N12" s="395"/>
      <c r="O12" s="395"/>
      <c r="P12" s="395"/>
    </row>
    <row r="13" spans="1:16" s="394" customFormat="1" ht="15">
      <c r="A13" s="399">
        <v>3</v>
      </c>
      <c r="B13" s="400" t="s">
        <v>608</v>
      </c>
      <c r="C13" s="401">
        <v>218888175</v>
      </c>
      <c r="D13" s="401">
        <v>1016328190</v>
      </c>
      <c r="E13" s="401">
        <v>0</v>
      </c>
      <c r="F13" s="401">
        <v>2620819269</v>
      </c>
      <c r="G13" s="401">
        <f>C13+D13+E13+F13</f>
        <v>3856035634</v>
      </c>
      <c r="H13" s="393">
        <f>G13-C13-F13</f>
        <v>1016328190</v>
      </c>
      <c r="I13" s="393">
        <f>ROUND(H13*0.25,0)</f>
        <v>254082048</v>
      </c>
      <c r="L13" s="395"/>
      <c r="M13" s="395"/>
      <c r="N13" s="395"/>
      <c r="O13" s="395"/>
      <c r="P13" s="395"/>
    </row>
    <row r="14" spans="1:16" s="394" customFormat="1" ht="15">
      <c r="A14" s="724" t="s">
        <v>610</v>
      </c>
      <c r="B14" s="724"/>
      <c r="C14" s="402">
        <f t="shared" ref="C14:I14" si="1">SUM(C11:C13)</f>
        <v>7379424633</v>
      </c>
      <c r="D14" s="402">
        <f t="shared" si="1"/>
        <v>43034212285</v>
      </c>
      <c r="E14" s="402">
        <f t="shared" si="1"/>
        <v>6231878182</v>
      </c>
      <c r="F14" s="402">
        <f t="shared" si="1"/>
        <v>5148276233</v>
      </c>
      <c r="G14" s="402">
        <f t="shared" si="1"/>
        <v>61793791333</v>
      </c>
      <c r="H14" s="402">
        <f t="shared" si="1"/>
        <v>49266090467</v>
      </c>
      <c r="I14" s="402">
        <f t="shared" si="1"/>
        <v>12316522617</v>
      </c>
      <c r="L14" s="395"/>
      <c r="M14" s="395"/>
      <c r="N14" s="395"/>
      <c r="O14" s="395"/>
      <c r="P14" s="395"/>
    </row>
    <row r="15" spans="1:16" s="377" customFormat="1" ht="15">
      <c r="A15" s="390"/>
      <c r="C15" s="378"/>
      <c r="D15" s="378"/>
      <c r="E15" s="378"/>
      <c r="F15" s="378"/>
    </row>
    <row r="16" spans="1:16">
      <c r="C16" s="375"/>
      <c r="D16" s="375"/>
      <c r="E16" s="375"/>
      <c r="F16" s="375"/>
    </row>
    <row r="17" spans="3:6">
      <c r="C17" s="375"/>
      <c r="D17" s="375"/>
      <c r="E17" s="375"/>
      <c r="F17" s="375"/>
    </row>
    <row r="18" spans="3:6">
      <c r="C18" s="375"/>
      <c r="D18" s="375"/>
      <c r="E18" s="375"/>
      <c r="F18" s="375"/>
    </row>
    <row r="19" spans="3:6">
      <c r="C19" s="375"/>
      <c r="D19" s="375"/>
      <c r="E19" s="375"/>
      <c r="F19" s="375"/>
    </row>
    <row r="20" spans="3:6">
      <c r="C20" s="375"/>
      <c r="D20" s="375"/>
      <c r="E20" s="375"/>
      <c r="F20" s="375"/>
    </row>
    <row r="21" spans="3:6">
      <c r="C21" s="375"/>
      <c r="D21" s="375"/>
      <c r="E21" s="375"/>
      <c r="F21" s="375"/>
    </row>
    <row r="22" spans="3:6">
      <c r="C22" s="375"/>
      <c r="D22" s="375"/>
      <c r="E22" s="375"/>
      <c r="F22" s="375"/>
    </row>
    <row r="23" spans="3:6">
      <c r="C23" s="375"/>
      <c r="D23" s="375"/>
      <c r="E23" s="375"/>
      <c r="F23" s="375"/>
    </row>
    <row r="24" spans="3:6">
      <c r="C24" s="375"/>
      <c r="D24" s="375"/>
      <c r="E24" s="375"/>
      <c r="F24" s="375"/>
    </row>
    <row r="25" spans="3:6">
      <c r="C25" s="375"/>
      <c r="D25" s="375"/>
      <c r="E25" s="375"/>
      <c r="F25" s="375"/>
    </row>
  </sheetData>
  <mergeCells count="12">
    <mergeCell ref="A10:B10"/>
    <mergeCell ref="A14:B14"/>
    <mergeCell ref="H5:H6"/>
    <mergeCell ref="I5:I6"/>
    <mergeCell ref="A2:G2"/>
    <mergeCell ref="A5:A6"/>
    <mergeCell ref="B5:B6"/>
    <mergeCell ref="C5:C6"/>
    <mergeCell ref="D5:D6"/>
    <mergeCell ref="E5:E6"/>
    <mergeCell ref="F5:F6"/>
    <mergeCell ref="G5:G6"/>
  </mergeCells>
  <pageMargins left="0.26" right="0.24"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K135"/>
  <sheetViews>
    <sheetView view="pageBreakPreview" zoomScale="110" zoomScaleNormal="100" zoomScaleSheetLayoutView="110" workbookViewId="0">
      <pane xSplit="9" ySplit="13" topLeftCell="J14" activePane="bottomRight" state="frozen"/>
      <selection pane="topRight" activeCell="J1" sqref="J1"/>
      <selection pane="bottomLeft" activeCell="A13" sqref="A13"/>
      <selection pane="bottomRight" activeCell="A25" sqref="A25"/>
    </sheetView>
  </sheetViews>
  <sheetFormatPr defaultColWidth="8.875" defaultRowHeight="15.75"/>
  <cols>
    <col min="1" max="1" width="38.25" style="116" customWidth="1"/>
    <col min="2" max="2" width="0.25" style="116" customWidth="1"/>
    <col min="3" max="3" width="5.625" style="116" customWidth="1"/>
    <col min="4" max="4" width="0.25" style="116" customWidth="1"/>
    <col min="5" max="5" width="5" style="116" customWidth="1"/>
    <col min="6" max="6" width="0.25" style="116" customWidth="1"/>
    <col min="7" max="7" width="16.25" style="172" customWidth="1"/>
    <col min="8" max="8" width="0.25" style="116" customWidth="1"/>
    <col min="9" max="9" width="16.25" style="116" customWidth="1"/>
    <col min="10" max="10" width="17.875" style="116" customWidth="1"/>
    <col min="11" max="16384" width="8.875" style="116"/>
  </cols>
  <sheetData>
    <row r="1" spans="1:9">
      <c r="A1" s="115" t="s">
        <v>47</v>
      </c>
      <c r="B1" s="115"/>
      <c r="C1" s="115"/>
      <c r="D1" s="115"/>
      <c r="F1" s="730" t="s">
        <v>68</v>
      </c>
      <c r="G1" s="730"/>
      <c r="H1" s="730"/>
      <c r="I1" s="730"/>
    </row>
    <row r="2" spans="1:9">
      <c r="A2" s="118" t="s">
        <v>799</v>
      </c>
      <c r="B2" s="118"/>
      <c r="C2" s="117"/>
      <c r="D2" s="117"/>
      <c r="E2" s="119"/>
      <c r="G2" s="120"/>
      <c r="H2" s="120"/>
      <c r="I2" s="681" t="s">
        <v>850</v>
      </c>
    </row>
    <row r="3" spans="1:9">
      <c r="A3" s="121" t="s">
        <v>738</v>
      </c>
      <c r="B3" s="118"/>
      <c r="C3" s="117"/>
      <c r="D3" s="117"/>
      <c r="E3" s="119"/>
      <c r="F3" s="732"/>
      <c r="G3" s="732"/>
      <c r="H3" s="732"/>
      <c r="I3" s="732"/>
    </row>
    <row r="4" spans="1:9" ht="1.5" customHeight="1">
      <c r="A4" s="122"/>
      <c r="B4" s="122"/>
      <c r="C4" s="122"/>
      <c r="D4" s="122"/>
      <c r="E4" s="123"/>
      <c r="F4" s="123"/>
      <c r="G4" s="124"/>
      <c r="H4" s="123"/>
      <c r="I4" s="123"/>
    </row>
    <row r="5" spans="1:9" ht="1.5" customHeight="1">
      <c r="A5" s="119"/>
      <c r="B5" s="119"/>
      <c r="C5" s="119"/>
      <c r="D5" s="119"/>
      <c r="E5" s="119"/>
      <c r="F5" s="119"/>
      <c r="G5" s="125"/>
      <c r="H5" s="119"/>
      <c r="I5" s="126"/>
    </row>
    <row r="6" spans="1:9" ht="15" customHeight="1">
      <c r="A6" s="125"/>
      <c r="B6" s="119"/>
      <c r="C6" s="119"/>
      <c r="D6" s="119"/>
      <c r="E6" s="119"/>
      <c r="F6" s="119"/>
      <c r="G6" s="125"/>
      <c r="H6" s="119"/>
      <c r="I6" s="127" t="s">
        <v>634</v>
      </c>
    </row>
    <row r="7" spans="1:9">
      <c r="A7" s="731" t="s">
        <v>117</v>
      </c>
      <c r="B7" s="731"/>
      <c r="C7" s="731"/>
      <c r="D7" s="731"/>
      <c r="E7" s="731"/>
      <c r="F7" s="731"/>
      <c r="G7" s="731"/>
      <c r="H7" s="731"/>
      <c r="I7" s="731"/>
    </row>
    <row r="8" spans="1:9" s="705" customFormat="1" ht="16.5" customHeight="1">
      <c r="A8" s="743" t="s">
        <v>848</v>
      </c>
      <c r="B8" s="743"/>
      <c r="C8" s="743"/>
      <c r="D8" s="743"/>
      <c r="E8" s="743"/>
      <c r="F8" s="743"/>
      <c r="G8" s="743"/>
      <c r="H8" s="743"/>
      <c r="I8" s="743"/>
    </row>
    <row r="9" spans="1:9" s="705" customFormat="1" ht="16.5" customHeight="1">
      <c r="A9" s="744" t="s">
        <v>849</v>
      </c>
      <c r="B9" s="744"/>
      <c r="C9" s="744"/>
      <c r="D9" s="744"/>
      <c r="E9" s="744"/>
      <c r="F9" s="744"/>
      <c r="G9" s="744"/>
      <c r="H9" s="744"/>
      <c r="I9" s="744"/>
    </row>
    <row r="10" spans="1:9">
      <c r="A10" s="128"/>
      <c r="B10" s="117"/>
      <c r="C10" s="117"/>
      <c r="D10" s="117"/>
      <c r="E10" s="117"/>
      <c r="F10" s="117"/>
      <c r="H10" s="117"/>
      <c r="I10" s="129" t="s">
        <v>397</v>
      </c>
    </row>
    <row r="11" spans="1:9" s="132" customFormat="1" ht="7.5" customHeight="1">
      <c r="A11" s="739" t="s">
        <v>1</v>
      </c>
      <c r="B11" s="130"/>
      <c r="C11" s="741" t="s">
        <v>353</v>
      </c>
      <c r="D11" s="130"/>
      <c r="E11" s="733" t="s">
        <v>569</v>
      </c>
      <c r="F11" s="130"/>
      <c r="G11" s="737" t="s">
        <v>821</v>
      </c>
      <c r="H11" s="131"/>
      <c r="I11" s="735" t="s">
        <v>820</v>
      </c>
    </row>
    <row r="12" spans="1:9" s="132" customFormat="1" ht="7.5" customHeight="1">
      <c r="A12" s="740"/>
      <c r="B12" s="130"/>
      <c r="C12" s="742"/>
      <c r="D12" s="684"/>
      <c r="E12" s="734"/>
      <c r="F12" s="684"/>
      <c r="G12" s="738"/>
      <c r="H12" s="131"/>
      <c r="I12" s="736"/>
    </row>
    <row r="13" spans="1:9" ht="7.5" hidden="1" customHeight="1">
      <c r="A13" s="117"/>
      <c r="B13" s="117"/>
      <c r="C13" s="117"/>
      <c r="D13" s="117"/>
      <c r="E13" s="117"/>
      <c r="F13" s="117"/>
      <c r="G13" s="128"/>
      <c r="H13" s="117"/>
      <c r="I13" s="117"/>
    </row>
    <row r="14" spans="1:9" ht="15" customHeight="1">
      <c r="A14" s="430" t="s">
        <v>2</v>
      </c>
      <c r="B14" s="130"/>
      <c r="C14" s="684">
        <v>100</v>
      </c>
      <c r="D14" s="683"/>
      <c r="E14" s="117"/>
      <c r="F14" s="134"/>
      <c r="G14" s="135">
        <f>G16+G19+G22+G29+G32</f>
        <v>753516336401</v>
      </c>
      <c r="H14" s="136"/>
      <c r="I14" s="135">
        <f t="shared" ref="I14" si="0">I16+I19+I22+I29+I32</f>
        <v>459247344281</v>
      </c>
    </row>
    <row r="15" spans="1:9">
      <c r="A15" s="430" t="s">
        <v>553</v>
      </c>
      <c r="B15" s="130"/>
      <c r="C15" s="684"/>
      <c r="D15" s="683"/>
      <c r="E15" s="117"/>
      <c r="F15" s="134"/>
      <c r="G15" s="135"/>
      <c r="H15" s="136"/>
      <c r="I15" s="135"/>
    </row>
    <row r="16" spans="1:9">
      <c r="A16" s="130" t="s">
        <v>356</v>
      </c>
      <c r="B16" s="130"/>
      <c r="C16" s="684">
        <v>110</v>
      </c>
      <c r="D16" s="683"/>
      <c r="E16" s="143" t="s">
        <v>619</v>
      </c>
      <c r="G16" s="135">
        <f>G17+G18</f>
        <v>40768091246</v>
      </c>
      <c r="H16" s="136"/>
      <c r="I16" s="135">
        <f>SUM(I17:I18)</f>
        <v>6423990709</v>
      </c>
    </row>
    <row r="17" spans="1:9">
      <c r="A17" s="117" t="s">
        <v>484</v>
      </c>
      <c r="B17" s="117"/>
      <c r="C17" s="145">
        <v>111</v>
      </c>
      <c r="D17" s="146"/>
      <c r="E17" s="147"/>
      <c r="G17" s="141">
        <v>40768091246</v>
      </c>
      <c r="H17" s="148"/>
      <c r="I17" s="141">
        <v>6423990709</v>
      </c>
    </row>
    <row r="18" spans="1:9" ht="15" customHeight="1">
      <c r="A18" s="117" t="s">
        <v>357</v>
      </c>
      <c r="B18" s="117"/>
      <c r="C18" s="145">
        <v>112</v>
      </c>
      <c r="D18" s="146"/>
      <c r="E18" s="147"/>
      <c r="G18" s="141">
        <v>0</v>
      </c>
      <c r="H18" s="142"/>
      <c r="I18" s="141">
        <v>0</v>
      </c>
    </row>
    <row r="19" spans="1:9" ht="15" customHeight="1">
      <c r="A19" s="130" t="s">
        <v>398</v>
      </c>
      <c r="B19" s="117"/>
      <c r="C19" s="684">
        <v>120</v>
      </c>
      <c r="D19" s="146"/>
      <c r="E19" s="684" t="s">
        <v>620</v>
      </c>
      <c r="F19" s="151"/>
      <c r="G19" s="152">
        <f>SUM(G20:G21)</f>
        <v>58735000000</v>
      </c>
      <c r="H19" s="153"/>
      <c r="I19" s="152">
        <f t="shared" ref="I19" si="1">SUM(I20:I21)</f>
        <v>8010000000</v>
      </c>
    </row>
    <row r="20" spans="1:9" ht="15" customHeight="1">
      <c r="A20" s="117" t="s">
        <v>497</v>
      </c>
      <c r="B20" s="117"/>
      <c r="C20" s="145">
        <v>121</v>
      </c>
      <c r="D20" s="146"/>
      <c r="E20" s="154"/>
      <c r="F20" s="151"/>
      <c r="G20" s="141">
        <v>58749400000</v>
      </c>
      <c r="H20" s="142"/>
      <c r="I20" s="141">
        <v>8024400000</v>
      </c>
    </row>
    <row r="21" spans="1:9" ht="15" customHeight="1">
      <c r="A21" s="117" t="s">
        <v>383</v>
      </c>
      <c r="B21" s="117"/>
      <c r="C21" s="145">
        <v>129</v>
      </c>
      <c r="D21" s="146"/>
      <c r="E21" s="154"/>
      <c r="F21" s="151"/>
      <c r="G21" s="141">
        <v>-14400000</v>
      </c>
      <c r="H21" s="142"/>
      <c r="I21" s="141">
        <v>-14400000</v>
      </c>
    </row>
    <row r="22" spans="1:9" ht="15" customHeight="1">
      <c r="A22" s="130" t="s">
        <v>358</v>
      </c>
      <c r="B22" s="130"/>
      <c r="C22" s="684">
        <v>130</v>
      </c>
      <c r="D22" s="683"/>
      <c r="E22" s="143"/>
      <c r="F22" s="144"/>
      <c r="G22" s="135">
        <f>SUM(G23:G28)</f>
        <v>394550483262</v>
      </c>
      <c r="H22" s="136"/>
      <c r="I22" s="135">
        <f t="shared" ref="I22" si="2">SUM(I23:I28)</f>
        <v>108773057636</v>
      </c>
    </row>
    <row r="23" spans="1:9" ht="15" customHeight="1">
      <c r="A23" s="117" t="s">
        <v>359</v>
      </c>
      <c r="B23" s="117"/>
      <c r="C23" s="145">
        <v>131</v>
      </c>
      <c r="D23" s="146"/>
      <c r="F23" s="151"/>
      <c r="G23" s="141">
        <v>340196271243</v>
      </c>
      <c r="H23" s="148"/>
      <c r="I23" s="141">
        <v>49346296282</v>
      </c>
    </row>
    <row r="24" spans="1:9" ht="15" customHeight="1">
      <c r="A24" s="117" t="s">
        <v>360</v>
      </c>
      <c r="B24" s="117"/>
      <c r="C24" s="145">
        <v>132</v>
      </c>
      <c r="D24" s="146"/>
      <c r="F24" s="151"/>
      <c r="G24" s="141">
        <f>89959785210-61995947520</f>
        <v>27963837690</v>
      </c>
      <c r="H24" s="148"/>
      <c r="I24" s="141">
        <v>32096686938</v>
      </c>
    </row>
    <row r="25" spans="1:9" ht="15" customHeight="1">
      <c r="A25" s="117" t="s">
        <v>485</v>
      </c>
      <c r="B25" s="117"/>
      <c r="C25" s="145">
        <v>133</v>
      </c>
      <c r="D25" s="146"/>
      <c r="F25" s="151"/>
      <c r="G25" s="141">
        <v>0</v>
      </c>
      <c r="H25" s="142"/>
      <c r="I25" s="141">
        <v>0</v>
      </c>
    </row>
    <row r="26" spans="1:9" ht="15" customHeight="1">
      <c r="A26" s="117" t="s">
        <v>498</v>
      </c>
      <c r="B26" s="117"/>
      <c r="C26" s="145">
        <v>134</v>
      </c>
      <c r="D26" s="146"/>
      <c r="F26" s="151"/>
      <c r="G26" s="141">
        <v>0</v>
      </c>
      <c r="H26" s="142"/>
      <c r="I26" s="141">
        <v>0</v>
      </c>
    </row>
    <row r="27" spans="1:9" ht="15" customHeight="1">
      <c r="A27" s="117" t="s">
        <v>361</v>
      </c>
      <c r="B27" s="117"/>
      <c r="C27" s="145">
        <v>135</v>
      </c>
      <c r="D27" s="146"/>
      <c r="E27" s="154" t="s">
        <v>621</v>
      </c>
      <c r="F27" s="151"/>
      <c r="G27" s="141">
        <v>26726944329</v>
      </c>
      <c r="H27" s="142"/>
      <c r="I27" s="141">
        <v>27330074416</v>
      </c>
    </row>
    <row r="28" spans="1:9" ht="16.5" customHeight="1">
      <c r="A28" s="117" t="s">
        <v>390</v>
      </c>
      <c r="B28" s="117"/>
      <c r="C28" s="145">
        <v>139</v>
      </c>
      <c r="D28" s="146"/>
      <c r="E28" s="154"/>
      <c r="F28" s="151"/>
      <c r="G28" s="141">
        <v>-336570000</v>
      </c>
      <c r="H28" s="142"/>
      <c r="I28" s="141">
        <v>0</v>
      </c>
    </row>
    <row r="29" spans="1:9" ht="15" customHeight="1">
      <c r="A29" s="130" t="s">
        <v>499</v>
      </c>
      <c r="B29" s="130"/>
      <c r="C29" s="684">
        <v>140</v>
      </c>
      <c r="D29" s="683"/>
      <c r="E29" s="143"/>
      <c r="F29" s="144"/>
      <c r="G29" s="135">
        <f>SUM(G30:G31)</f>
        <v>253866505283</v>
      </c>
      <c r="H29" s="136"/>
      <c r="I29" s="135">
        <f t="shared" ref="I29" si="3">SUM(I30:I31)</f>
        <v>321287789717</v>
      </c>
    </row>
    <row r="30" spans="1:9" ht="15" customHeight="1">
      <c r="A30" s="155" t="s">
        <v>500</v>
      </c>
      <c r="B30" s="155"/>
      <c r="C30" s="156">
        <v>141</v>
      </c>
      <c r="D30" s="157"/>
      <c r="E30" s="154" t="s">
        <v>622</v>
      </c>
      <c r="F30" s="144"/>
      <c r="G30" s="141">
        <v>253866505283</v>
      </c>
      <c r="H30" s="136"/>
      <c r="I30" s="141">
        <v>321287789717</v>
      </c>
    </row>
    <row r="31" spans="1:9" ht="16.5" customHeight="1">
      <c r="A31" s="155" t="s">
        <v>384</v>
      </c>
      <c r="B31" s="155"/>
      <c r="C31" s="156">
        <v>149</v>
      </c>
      <c r="D31" s="157"/>
      <c r="E31" s="154"/>
      <c r="F31" s="144"/>
      <c r="G31" s="141">
        <v>0</v>
      </c>
      <c r="H31" s="136"/>
      <c r="I31" s="141">
        <v>0</v>
      </c>
    </row>
    <row r="32" spans="1:9" ht="15" customHeight="1">
      <c r="A32" s="130" t="s">
        <v>362</v>
      </c>
      <c r="B32" s="130"/>
      <c r="C32" s="684">
        <v>150</v>
      </c>
      <c r="D32" s="683"/>
      <c r="E32" s="143"/>
      <c r="F32" s="144"/>
      <c r="G32" s="135">
        <f>SUM(G33:G36)</f>
        <v>5596256610</v>
      </c>
      <c r="H32" s="136"/>
      <c r="I32" s="135">
        <f t="shared" ref="I32" si="4">SUM(I33:I36)</f>
        <v>14752506219</v>
      </c>
    </row>
    <row r="33" spans="1:9" ht="15" customHeight="1">
      <c r="A33" s="117" t="s">
        <v>399</v>
      </c>
      <c r="B33" s="117"/>
      <c r="C33" s="145">
        <v>151</v>
      </c>
      <c r="D33" s="146"/>
      <c r="E33" s="143"/>
      <c r="F33" s="144"/>
      <c r="G33" s="141">
        <v>656105798</v>
      </c>
      <c r="H33" s="136"/>
      <c r="I33" s="141">
        <v>1798794546</v>
      </c>
    </row>
    <row r="34" spans="1:9" ht="15" customHeight="1">
      <c r="A34" s="117" t="s">
        <v>490</v>
      </c>
      <c r="B34" s="117"/>
      <c r="C34" s="145">
        <v>152</v>
      </c>
      <c r="D34" s="146"/>
      <c r="E34" s="154"/>
      <c r="F34" s="144"/>
      <c r="G34" s="141">
        <v>818209764</v>
      </c>
      <c r="H34" s="136"/>
      <c r="I34" s="141">
        <v>129808383</v>
      </c>
    </row>
    <row r="35" spans="1:9" ht="16.5" customHeight="1">
      <c r="A35" s="117" t="s">
        <v>363</v>
      </c>
      <c r="B35" s="117"/>
      <c r="C35" s="145">
        <v>154</v>
      </c>
      <c r="D35" s="146"/>
      <c r="E35" s="147" t="s">
        <v>623</v>
      </c>
      <c r="G35" s="141">
        <v>12807603</v>
      </c>
      <c r="H35" s="148"/>
      <c r="I35" s="141">
        <v>19331071</v>
      </c>
    </row>
    <row r="36" spans="1:9" ht="15" customHeight="1">
      <c r="A36" s="117" t="s">
        <v>364</v>
      </c>
      <c r="B36" s="117"/>
      <c r="C36" s="145">
        <v>158</v>
      </c>
      <c r="D36" s="146"/>
      <c r="E36" s="154"/>
      <c r="F36" s="151"/>
      <c r="G36" s="141">
        <v>4109133445</v>
      </c>
      <c r="H36" s="142"/>
      <c r="I36" s="141">
        <v>12804572219</v>
      </c>
    </row>
    <row r="37" spans="1:9" ht="15" customHeight="1">
      <c r="A37" s="430" t="s">
        <v>3</v>
      </c>
      <c r="B37" s="130"/>
      <c r="C37" s="684">
        <v>200</v>
      </c>
      <c r="D37" s="683"/>
      <c r="E37" s="143"/>
      <c r="F37" s="144"/>
      <c r="G37" s="135">
        <f>G39+G45+G56+G59+G64+G68</f>
        <v>639415906952</v>
      </c>
      <c r="H37" s="136"/>
      <c r="I37" s="135">
        <f>I39+I45+I56+I59+I64+I68</f>
        <v>412934745767</v>
      </c>
    </row>
    <row r="38" spans="1:9" ht="15" customHeight="1">
      <c r="A38" s="430" t="s">
        <v>743</v>
      </c>
      <c r="B38" s="130"/>
      <c r="C38" s="684"/>
      <c r="D38" s="683"/>
      <c r="E38" s="143"/>
      <c r="F38" s="144"/>
      <c r="G38" s="135"/>
      <c r="H38" s="136"/>
      <c r="I38" s="135"/>
    </row>
    <row r="39" spans="1:9" ht="15" customHeight="1">
      <c r="A39" s="130" t="s">
        <v>365</v>
      </c>
      <c r="B39" s="130"/>
      <c r="C39" s="684">
        <v>210</v>
      </c>
      <c r="D39" s="683"/>
      <c r="E39" s="143"/>
      <c r="F39" s="144"/>
      <c r="G39" s="135">
        <f>SUM(G40:G44)</f>
        <v>98000000</v>
      </c>
      <c r="H39" s="136"/>
      <c r="I39" s="135">
        <f>SUM(I40:I44)</f>
        <v>1445362135</v>
      </c>
    </row>
    <row r="40" spans="1:9" ht="16.5" customHeight="1">
      <c r="A40" s="117" t="s">
        <v>366</v>
      </c>
      <c r="B40" s="130"/>
      <c r="C40" s="145">
        <v>211</v>
      </c>
      <c r="D40" s="683"/>
      <c r="E40" s="154"/>
      <c r="F40" s="151"/>
      <c r="G40" s="141">
        <v>0</v>
      </c>
      <c r="H40" s="148"/>
      <c r="I40" s="141">
        <v>0</v>
      </c>
    </row>
    <row r="41" spans="1:9" ht="16.5" customHeight="1">
      <c r="A41" s="117" t="s">
        <v>367</v>
      </c>
      <c r="B41" s="130"/>
      <c r="C41" s="145">
        <v>212</v>
      </c>
      <c r="D41" s="683"/>
      <c r="E41" s="154"/>
      <c r="F41" s="151"/>
      <c r="G41" s="141">
        <v>0</v>
      </c>
      <c r="H41" s="148"/>
      <c r="I41" s="141">
        <v>0</v>
      </c>
    </row>
    <row r="42" spans="1:9" ht="16.5" customHeight="1">
      <c r="A42" s="117" t="s">
        <v>501</v>
      </c>
      <c r="B42" s="130"/>
      <c r="C42" s="145">
        <v>213</v>
      </c>
      <c r="D42" s="683"/>
      <c r="E42" s="154"/>
      <c r="F42" s="151"/>
      <c r="G42" s="141">
        <v>0</v>
      </c>
      <c r="H42" s="148"/>
      <c r="I42" s="141">
        <v>0</v>
      </c>
    </row>
    <row r="43" spans="1:9" ht="15" customHeight="1">
      <c r="A43" s="117" t="s">
        <v>368</v>
      </c>
      <c r="B43" s="130"/>
      <c r="C43" s="145">
        <v>218</v>
      </c>
      <c r="D43" s="683"/>
      <c r="E43" s="154" t="s">
        <v>624</v>
      </c>
      <c r="F43" s="151"/>
      <c r="G43" s="141">
        <v>1445362135</v>
      </c>
      <c r="H43" s="148"/>
      <c r="I43" s="141">
        <v>1445362135</v>
      </c>
    </row>
    <row r="44" spans="1:9" ht="16.5" customHeight="1">
      <c r="A44" s="117" t="s">
        <v>391</v>
      </c>
      <c r="B44" s="130"/>
      <c r="C44" s="145">
        <v>219</v>
      </c>
      <c r="D44" s="683"/>
      <c r="E44" s="154"/>
      <c r="F44" s="151"/>
      <c r="G44" s="141">
        <v>-1347362135</v>
      </c>
      <c r="H44" s="148"/>
      <c r="I44" s="141">
        <v>0</v>
      </c>
    </row>
    <row r="45" spans="1:9" ht="15" customHeight="1">
      <c r="A45" s="130" t="s">
        <v>502</v>
      </c>
      <c r="B45" s="130"/>
      <c r="C45" s="684">
        <v>220</v>
      </c>
      <c r="D45" s="683"/>
      <c r="E45" s="143"/>
      <c r="F45" s="144"/>
      <c r="G45" s="135">
        <f>G46+G52+G49+G55</f>
        <v>334845827726</v>
      </c>
      <c r="H45" s="136"/>
      <c r="I45" s="135">
        <f t="shared" ref="I45" si="5">I46+I52+I49+I55</f>
        <v>153377037691</v>
      </c>
    </row>
    <row r="46" spans="1:9" ht="15" customHeight="1">
      <c r="A46" s="117" t="s">
        <v>395</v>
      </c>
      <c r="B46" s="117"/>
      <c r="C46" s="145">
        <v>221</v>
      </c>
      <c r="D46" s="145"/>
      <c r="E46" s="154" t="s">
        <v>625</v>
      </c>
      <c r="G46" s="141">
        <f>G47+G48</f>
        <v>29249810010</v>
      </c>
      <c r="H46" s="148"/>
      <c r="I46" s="141">
        <f t="shared" ref="I46" si="6">I47+I48</f>
        <v>18854316167</v>
      </c>
    </row>
    <row r="47" spans="1:9" s="164" customFormat="1" ht="15" customHeight="1">
      <c r="A47" s="159" t="s">
        <v>380</v>
      </c>
      <c r="B47" s="159"/>
      <c r="C47" s="145">
        <v>222</v>
      </c>
      <c r="D47" s="146"/>
      <c r="E47" s="160"/>
      <c r="F47" s="161"/>
      <c r="G47" s="162">
        <v>42660103740</v>
      </c>
      <c r="H47" s="163"/>
      <c r="I47" s="162">
        <v>29799808927</v>
      </c>
    </row>
    <row r="48" spans="1:9" s="164" customFormat="1" ht="15" customHeight="1">
      <c r="A48" s="159" t="s">
        <v>385</v>
      </c>
      <c r="B48" s="159"/>
      <c r="C48" s="145">
        <v>223</v>
      </c>
      <c r="D48" s="146"/>
      <c r="E48" s="160"/>
      <c r="F48" s="161"/>
      <c r="G48" s="162">
        <v>-13410293730</v>
      </c>
      <c r="H48" s="163"/>
      <c r="I48" s="162">
        <v>-10945492760</v>
      </c>
    </row>
    <row r="49" spans="1:9" ht="16.5" customHeight="1">
      <c r="A49" s="117" t="s">
        <v>400</v>
      </c>
      <c r="B49" s="117"/>
      <c r="C49" s="145">
        <v>224</v>
      </c>
      <c r="D49" s="145"/>
      <c r="E49" s="165"/>
      <c r="G49" s="141">
        <v>0</v>
      </c>
      <c r="H49" s="148"/>
      <c r="I49" s="141">
        <v>0</v>
      </c>
    </row>
    <row r="50" spans="1:9" s="164" customFormat="1" ht="16.5" customHeight="1">
      <c r="A50" s="159" t="s">
        <v>380</v>
      </c>
      <c r="B50" s="159"/>
      <c r="C50" s="145">
        <v>225</v>
      </c>
      <c r="D50" s="146"/>
      <c r="E50" s="160"/>
      <c r="F50" s="161"/>
      <c r="G50" s="141">
        <v>0</v>
      </c>
      <c r="H50" s="163"/>
      <c r="I50" s="162">
        <v>0</v>
      </c>
    </row>
    <row r="51" spans="1:9" s="164" customFormat="1" ht="16.5" customHeight="1">
      <c r="A51" s="159" t="s">
        <v>385</v>
      </c>
      <c r="B51" s="159"/>
      <c r="C51" s="145">
        <v>226</v>
      </c>
      <c r="D51" s="146"/>
      <c r="E51" s="160"/>
      <c r="F51" s="161"/>
      <c r="G51" s="141">
        <v>0</v>
      </c>
      <c r="H51" s="163"/>
      <c r="I51" s="162">
        <v>0</v>
      </c>
    </row>
    <row r="52" spans="1:9" ht="15" customHeight="1">
      <c r="A52" s="117" t="s">
        <v>396</v>
      </c>
      <c r="B52" s="117"/>
      <c r="C52" s="145">
        <v>227</v>
      </c>
      <c r="D52" s="145"/>
      <c r="E52" s="154" t="s">
        <v>626</v>
      </c>
      <c r="G52" s="141">
        <f>SUM(G53:G54)</f>
        <v>102557225</v>
      </c>
      <c r="H52" s="148"/>
      <c r="I52" s="141">
        <f>I53+I54</f>
        <v>168402757</v>
      </c>
    </row>
    <row r="53" spans="1:9" s="164" customFormat="1" ht="15" customHeight="1">
      <c r="A53" s="159" t="s">
        <v>380</v>
      </c>
      <c r="B53" s="159"/>
      <c r="C53" s="146">
        <v>228</v>
      </c>
      <c r="D53" s="146"/>
      <c r="E53" s="160"/>
      <c r="F53" s="161"/>
      <c r="G53" s="162">
        <v>570933346</v>
      </c>
      <c r="H53" s="163"/>
      <c r="I53" s="162">
        <v>570933346</v>
      </c>
    </row>
    <row r="54" spans="1:9" s="164" customFormat="1" ht="15" customHeight="1">
      <c r="A54" s="159" t="s">
        <v>385</v>
      </c>
      <c r="B54" s="159"/>
      <c r="C54" s="146">
        <v>229</v>
      </c>
      <c r="D54" s="146"/>
      <c r="E54" s="160"/>
      <c r="F54" s="161"/>
      <c r="G54" s="162">
        <v>-468376121</v>
      </c>
      <c r="H54" s="163"/>
      <c r="I54" s="162">
        <v>-402530589</v>
      </c>
    </row>
    <row r="55" spans="1:9" ht="15" customHeight="1">
      <c r="A55" s="117" t="s">
        <v>401</v>
      </c>
      <c r="B55" s="117"/>
      <c r="C55" s="145">
        <v>230</v>
      </c>
      <c r="D55" s="145"/>
      <c r="E55" s="154" t="s">
        <v>627</v>
      </c>
      <c r="F55" s="151"/>
      <c r="G55" s="141">
        <v>305493460491</v>
      </c>
      <c r="H55" s="686"/>
      <c r="I55" s="150">
        <v>134354318767</v>
      </c>
    </row>
    <row r="56" spans="1:9" ht="15" customHeight="1">
      <c r="A56" s="130" t="s">
        <v>491</v>
      </c>
      <c r="B56" s="130"/>
      <c r="C56" s="684">
        <v>240</v>
      </c>
      <c r="D56" s="683"/>
      <c r="E56" s="143" t="s">
        <v>554</v>
      </c>
      <c r="F56" s="144"/>
      <c r="G56" s="135">
        <f>G57+G58</f>
        <v>162758485077</v>
      </c>
      <c r="H56" s="153"/>
      <c r="I56" s="135">
        <f t="shared" ref="I56" si="7">I57+I58</f>
        <v>166562658873</v>
      </c>
    </row>
    <row r="57" spans="1:9" ht="15" customHeight="1">
      <c r="A57" s="117" t="s">
        <v>380</v>
      </c>
      <c r="B57" s="117"/>
      <c r="C57" s="145">
        <v>241</v>
      </c>
      <c r="D57" s="146"/>
      <c r="E57" s="143"/>
      <c r="F57" s="151"/>
      <c r="G57" s="141">
        <v>182543817277</v>
      </c>
      <c r="H57" s="142"/>
      <c r="I57" s="141">
        <v>182512226369</v>
      </c>
    </row>
    <row r="58" spans="1:9" ht="15" customHeight="1">
      <c r="A58" s="117" t="s">
        <v>385</v>
      </c>
      <c r="B58" s="117"/>
      <c r="C58" s="145">
        <v>242</v>
      </c>
      <c r="D58" s="146"/>
      <c r="E58" s="143"/>
      <c r="F58" s="151"/>
      <c r="G58" s="141">
        <v>-19785332200</v>
      </c>
      <c r="H58" s="142"/>
      <c r="I58" s="141">
        <v>-15949567496</v>
      </c>
    </row>
    <row r="59" spans="1:9" s="132" customFormat="1" ht="15" customHeight="1">
      <c r="A59" s="130" t="s">
        <v>402</v>
      </c>
      <c r="B59" s="130"/>
      <c r="C59" s="684">
        <v>250</v>
      </c>
      <c r="D59" s="683"/>
      <c r="E59" s="166"/>
      <c r="G59" s="135">
        <f>SUM(G60:G63)</f>
        <v>17859067344</v>
      </c>
      <c r="H59" s="135"/>
      <c r="I59" s="135">
        <f t="shared" ref="I59" si="8">SUM(I60:I63)</f>
        <v>17860940376</v>
      </c>
    </row>
    <row r="60" spans="1:9" ht="15" customHeight="1">
      <c r="A60" s="117" t="s">
        <v>392</v>
      </c>
      <c r="B60" s="117"/>
      <c r="C60" s="145">
        <v>251</v>
      </c>
      <c r="D60" s="146"/>
      <c r="E60" s="154"/>
      <c r="G60" s="141">
        <v>0</v>
      </c>
      <c r="H60" s="167"/>
      <c r="I60" s="141">
        <v>0</v>
      </c>
    </row>
    <row r="61" spans="1:9" ht="15" customHeight="1">
      <c r="A61" s="117" t="s">
        <v>393</v>
      </c>
      <c r="B61" s="117"/>
      <c r="C61" s="145">
        <v>252</v>
      </c>
      <c r="D61" s="146"/>
      <c r="E61" s="168" t="s">
        <v>555</v>
      </c>
      <c r="G61" s="141">
        <v>17859067344</v>
      </c>
      <c r="H61" s="141"/>
      <c r="I61" s="141">
        <v>17860940376</v>
      </c>
    </row>
    <row r="62" spans="1:9" ht="15" customHeight="1">
      <c r="A62" s="117" t="s">
        <v>369</v>
      </c>
      <c r="B62" s="117"/>
      <c r="C62" s="145">
        <v>258</v>
      </c>
      <c r="D62" s="146"/>
      <c r="E62" s="147"/>
      <c r="G62" s="141">
        <v>0</v>
      </c>
      <c r="H62" s="141"/>
      <c r="I62" s="141">
        <v>0</v>
      </c>
    </row>
    <row r="63" spans="1:9" ht="16.5" customHeight="1">
      <c r="A63" s="117" t="s">
        <v>386</v>
      </c>
      <c r="B63" s="117"/>
      <c r="C63" s="145">
        <v>259</v>
      </c>
      <c r="D63" s="146"/>
      <c r="E63" s="168"/>
      <c r="G63" s="141">
        <v>0</v>
      </c>
      <c r="H63" s="167"/>
      <c r="I63" s="167">
        <v>0</v>
      </c>
    </row>
    <row r="64" spans="1:9" s="132" customFormat="1">
      <c r="A64" s="130" t="s">
        <v>370</v>
      </c>
      <c r="B64" s="130"/>
      <c r="C64" s="684">
        <v>260</v>
      </c>
      <c r="D64" s="683"/>
      <c r="E64" s="166"/>
      <c r="G64" s="135">
        <f>SUM(G65:G67)</f>
        <v>53633255091</v>
      </c>
      <c r="H64" s="153"/>
      <c r="I64" s="135">
        <f t="shared" ref="I64" si="9">SUM(I65:I67)</f>
        <v>44173262692</v>
      </c>
    </row>
    <row r="65" spans="1:9" s="132" customFormat="1">
      <c r="A65" s="117" t="s">
        <v>403</v>
      </c>
      <c r="B65" s="117"/>
      <c r="C65" s="145">
        <v>261</v>
      </c>
      <c r="D65" s="683"/>
      <c r="E65" s="147" t="s">
        <v>556</v>
      </c>
      <c r="G65" s="141">
        <v>45381559779</v>
      </c>
      <c r="H65" s="142"/>
      <c r="I65" s="141">
        <v>42177479773</v>
      </c>
    </row>
    <row r="66" spans="1:9" s="132" customFormat="1">
      <c r="A66" s="117" t="s">
        <v>354</v>
      </c>
      <c r="B66" s="117"/>
      <c r="C66" s="145">
        <v>262</v>
      </c>
      <c r="D66" s="683"/>
      <c r="E66" s="147"/>
      <c r="F66" s="130"/>
      <c r="G66" s="141">
        <v>1417084671</v>
      </c>
      <c r="H66" s="138"/>
      <c r="I66" s="141">
        <v>452266519</v>
      </c>
    </row>
    <row r="67" spans="1:9" s="132" customFormat="1">
      <c r="A67" s="117" t="s">
        <v>371</v>
      </c>
      <c r="B67" s="117"/>
      <c r="C67" s="145">
        <v>268</v>
      </c>
      <c r="D67" s="683"/>
      <c r="E67" s="168"/>
      <c r="F67" s="130"/>
      <c r="G67" s="141">
        <v>6834610641</v>
      </c>
      <c r="H67" s="138"/>
      <c r="I67" s="141">
        <v>1543516400</v>
      </c>
    </row>
    <row r="68" spans="1:9" s="132" customFormat="1">
      <c r="A68" s="130" t="s">
        <v>65</v>
      </c>
      <c r="B68" s="130"/>
      <c r="C68" s="684">
        <v>269</v>
      </c>
      <c r="D68" s="683"/>
      <c r="E68" s="166" t="s">
        <v>557</v>
      </c>
      <c r="F68" s="130"/>
      <c r="G68" s="135">
        <v>70221271714</v>
      </c>
      <c r="H68" s="431"/>
      <c r="I68" s="135">
        <v>29515484000</v>
      </c>
    </row>
    <row r="69" spans="1:9" ht="16.5" thickBot="1">
      <c r="A69" s="429" t="s">
        <v>795</v>
      </c>
      <c r="B69" s="685"/>
      <c r="C69" s="684">
        <v>270</v>
      </c>
      <c r="D69" s="683"/>
      <c r="E69" s="143"/>
      <c r="F69" s="134"/>
      <c r="G69" s="169">
        <f>G14+G37</f>
        <v>1392932243353</v>
      </c>
      <c r="H69" s="170"/>
      <c r="I69" s="169">
        <f t="shared" ref="I69" si="10">I14+I37</f>
        <v>872182090048</v>
      </c>
    </row>
    <row r="70" spans="1:9" ht="5.25" customHeight="1" thickTop="1">
      <c r="A70" s="524"/>
      <c r="B70" s="685"/>
      <c r="C70" s="684"/>
      <c r="D70" s="683"/>
      <c r="E70" s="143"/>
      <c r="F70" s="134"/>
      <c r="G70" s="525"/>
      <c r="H70" s="170"/>
      <c r="I70" s="525"/>
    </row>
    <row r="71" spans="1:9">
      <c r="A71" s="415"/>
      <c r="B71" s="416"/>
      <c r="C71" s="416"/>
      <c r="D71" s="416"/>
      <c r="E71" s="417"/>
      <c r="F71" s="416"/>
      <c r="G71" s="418"/>
      <c r="H71" s="416"/>
      <c r="I71" s="416"/>
    </row>
    <row r="72" spans="1:9" ht="18" customHeight="1">
      <c r="A72" s="749"/>
      <c r="B72" s="749"/>
      <c r="C72" s="749"/>
      <c r="D72" s="749"/>
      <c r="E72" s="749"/>
      <c r="F72" s="749"/>
      <c r="G72" s="749"/>
      <c r="H72" s="749"/>
      <c r="I72" s="749"/>
    </row>
    <row r="73" spans="1:9" ht="16.5" customHeight="1">
      <c r="A73" s="117"/>
      <c r="B73" s="117"/>
      <c r="C73" s="117"/>
      <c r="D73" s="117"/>
      <c r="E73" s="117"/>
      <c r="F73" s="117"/>
      <c r="G73" s="128"/>
      <c r="H73" s="117"/>
      <c r="I73" s="129" t="s">
        <v>397</v>
      </c>
    </row>
    <row r="74" spans="1:9" s="132" customFormat="1" ht="9.75" customHeight="1">
      <c r="A74" s="750" t="s">
        <v>0</v>
      </c>
      <c r="B74" s="130"/>
      <c r="C74" s="733" t="s">
        <v>353</v>
      </c>
      <c r="D74" s="130"/>
      <c r="E74" s="733" t="s">
        <v>569</v>
      </c>
      <c r="F74" s="130"/>
      <c r="G74" s="737" t="str">
        <f>G11</f>
        <v>SỐ CUỐI KỲ</v>
      </c>
      <c r="H74" s="131"/>
      <c r="I74" s="747" t="str">
        <f>I11</f>
        <v>SỐ ĐẦU NĂM</v>
      </c>
    </row>
    <row r="75" spans="1:9" s="132" customFormat="1" ht="9.75" customHeight="1">
      <c r="A75" s="751"/>
      <c r="B75" s="130"/>
      <c r="C75" s="734"/>
      <c r="D75" s="684"/>
      <c r="E75" s="734"/>
      <c r="F75" s="134"/>
      <c r="G75" s="738"/>
      <c r="H75" s="131"/>
      <c r="I75" s="748"/>
    </row>
    <row r="76" spans="1:9" ht="18" customHeight="1">
      <c r="A76" s="430" t="s">
        <v>4</v>
      </c>
      <c r="B76" s="130"/>
      <c r="C76" s="684">
        <v>300</v>
      </c>
      <c r="D76" s="683"/>
      <c r="E76" s="154"/>
      <c r="F76" s="173"/>
      <c r="G76" s="137">
        <v>847553706507</v>
      </c>
      <c r="H76" s="137"/>
      <c r="I76" s="137">
        <f t="shared" ref="I76" si="11">I77+I89</f>
        <v>434721957853</v>
      </c>
    </row>
    <row r="77" spans="1:9" ht="18" customHeight="1">
      <c r="A77" s="130" t="s">
        <v>487</v>
      </c>
      <c r="B77" s="130"/>
      <c r="C77" s="684">
        <v>310</v>
      </c>
      <c r="D77" s="683"/>
      <c r="E77" s="143"/>
      <c r="F77" s="173"/>
      <c r="G77" s="137">
        <v>274283309232</v>
      </c>
      <c r="H77" s="137"/>
      <c r="I77" s="137">
        <f>SUM(I78:I88)</f>
        <v>161464110265</v>
      </c>
    </row>
    <row r="78" spans="1:9" ht="18" customHeight="1">
      <c r="A78" s="117" t="s">
        <v>503</v>
      </c>
      <c r="B78" s="117"/>
      <c r="C78" s="145">
        <v>311</v>
      </c>
      <c r="D78" s="146"/>
      <c r="E78" s="154" t="s">
        <v>23</v>
      </c>
      <c r="F78" s="174"/>
      <c r="G78" s="149">
        <v>93531558855</v>
      </c>
      <c r="H78" s="149"/>
      <c r="I78" s="149">
        <v>76210438652</v>
      </c>
    </row>
    <row r="79" spans="1:9" ht="18" customHeight="1">
      <c r="A79" s="117" t="s">
        <v>372</v>
      </c>
      <c r="B79" s="117"/>
      <c r="C79" s="145">
        <v>312</v>
      </c>
      <c r="D79" s="146"/>
      <c r="E79" s="154"/>
      <c r="F79" s="174"/>
      <c r="G79" s="149">
        <v>78715125339</v>
      </c>
      <c r="H79" s="149"/>
      <c r="I79" s="149">
        <v>22419357288</v>
      </c>
    </row>
    <row r="80" spans="1:9" ht="18" customHeight="1">
      <c r="A80" s="117" t="s">
        <v>492</v>
      </c>
      <c r="B80" s="117"/>
      <c r="C80" s="145">
        <v>313</v>
      </c>
      <c r="D80" s="146"/>
      <c r="E80" s="154"/>
      <c r="F80" s="174"/>
      <c r="G80" s="149">
        <v>11039500</v>
      </c>
      <c r="H80" s="149"/>
      <c r="I80" s="149">
        <v>16346980078</v>
      </c>
    </row>
    <row r="81" spans="1:9" ht="18" customHeight="1">
      <c r="A81" s="117" t="s">
        <v>769</v>
      </c>
      <c r="B81" s="117"/>
      <c r="C81" s="145">
        <v>314</v>
      </c>
      <c r="D81" s="146"/>
      <c r="E81" s="154" t="s">
        <v>43</v>
      </c>
      <c r="F81" s="174"/>
      <c r="G81" s="149">
        <v>46138885957</v>
      </c>
      <c r="H81" s="149"/>
      <c r="I81" s="149">
        <v>17000431584</v>
      </c>
    </row>
    <row r="82" spans="1:9" ht="18" customHeight="1">
      <c r="A82" s="117" t="s">
        <v>493</v>
      </c>
      <c r="B82" s="117"/>
      <c r="C82" s="145">
        <v>315</v>
      </c>
      <c r="D82" s="146"/>
      <c r="E82" s="165"/>
      <c r="F82" s="174"/>
      <c r="G82" s="149">
        <v>3965381243</v>
      </c>
      <c r="H82" s="149"/>
      <c r="I82" s="196">
        <v>2992250199</v>
      </c>
    </row>
    <row r="83" spans="1:9" ht="18" customHeight="1">
      <c r="A83" s="117" t="s">
        <v>404</v>
      </c>
      <c r="B83" s="117"/>
      <c r="C83" s="145">
        <v>316</v>
      </c>
      <c r="D83" s="146"/>
      <c r="E83" s="154" t="s">
        <v>721</v>
      </c>
      <c r="F83" s="174"/>
      <c r="G83" s="149">
        <v>20187965807</v>
      </c>
      <c r="H83" s="149"/>
      <c r="I83" s="149">
        <v>18111241031</v>
      </c>
    </row>
    <row r="84" spans="1:9" ht="18" customHeight="1">
      <c r="A84" s="117" t="s">
        <v>486</v>
      </c>
      <c r="B84" s="117"/>
      <c r="C84" s="145">
        <v>317</v>
      </c>
      <c r="D84" s="146"/>
      <c r="E84" s="154"/>
      <c r="F84" s="174"/>
      <c r="G84" s="149">
        <v>0</v>
      </c>
      <c r="H84" s="149"/>
      <c r="I84" s="149">
        <v>0</v>
      </c>
    </row>
    <row r="85" spans="1:9" ht="18" customHeight="1">
      <c r="A85" s="117" t="s">
        <v>489</v>
      </c>
      <c r="B85" s="117"/>
      <c r="C85" s="145">
        <v>318</v>
      </c>
      <c r="D85" s="146"/>
      <c r="E85" s="154"/>
      <c r="F85" s="175"/>
      <c r="G85" s="149">
        <v>0</v>
      </c>
      <c r="H85" s="149"/>
      <c r="I85" s="197">
        <v>0</v>
      </c>
    </row>
    <row r="86" spans="1:9" ht="18" customHeight="1">
      <c r="A86" s="117" t="s">
        <v>373</v>
      </c>
      <c r="B86" s="117"/>
      <c r="C86" s="145">
        <v>319</v>
      </c>
      <c r="D86" s="146"/>
      <c r="E86" s="154" t="s">
        <v>81</v>
      </c>
      <c r="F86" s="175"/>
      <c r="G86" s="149">
        <v>26514719021</v>
      </c>
      <c r="H86" s="149"/>
      <c r="I86" s="197">
        <v>4874813702</v>
      </c>
    </row>
    <row r="87" spans="1:9" ht="18" customHeight="1">
      <c r="A87" s="117" t="s">
        <v>387</v>
      </c>
      <c r="B87" s="117"/>
      <c r="C87" s="145">
        <v>320</v>
      </c>
      <c r="D87" s="146"/>
      <c r="E87" s="154" t="s">
        <v>722</v>
      </c>
      <c r="F87" s="177"/>
      <c r="G87" s="149">
        <v>1308547053</v>
      </c>
      <c r="H87" s="149"/>
      <c r="I87" s="149">
        <v>1291684053</v>
      </c>
    </row>
    <row r="88" spans="1:9" ht="18" customHeight="1">
      <c r="A88" s="117" t="s">
        <v>41</v>
      </c>
      <c r="B88" s="117"/>
      <c r="C88" s="145">
        <v>323</v>
      </c>
      <c r="D88" s="146"/>
      <c r="E88" s="154"/>
      <c r="F88" s="177"/>
      <c r="G88" s="149">
        <v>3910086457</v>
      </c>
      <c r="H88" s="149"/>
      <c r="I88" s="149">
        <v>2216913678</v>
      </c>
    </row>
    <row r="89" spans="1:9" ht="18" customHeight="1">
      <c r="A89" s="130" t="s">
        <v>504</v>
      </c>
      <c r="B89" s="130"/>
      <c r="C89" s="684">
        <v>330</v>
      </c>
      <c r="D89" s="683"/>
      <c r="E89" s="143"/>
      <c r="F89" s="177"/>
      <c r="G89" s="137">
        <v>573270397275</v>
      </c>
      <c r="H89" s="137"/>
      <c r="I89" s="137">
        <f t="shared" ref="I89" si="12">SUM(I90:I97)</f>
        <v>273257847588</v>
      </c>
    </row>
    <row r="90" spans="1:9" s="117" customFormat="1" ht="16.5" hidden="1" customHeight="1">
      <c r="A90" s="117" t="s">
        <v>374</v>
      </c>
      <c r="C90" s="145">
        <v>331</v>
      </c>
      <c r="G90" s="149">
        <v>0</v>
      </c>
      <c r="H90" s="139"/>
      <c r="I90" s="197">
        <v>0</v>
      </c>
    </row>
    <row r="91" spans="1:9" s="117" customFormat="1" ht="16.5" hidden="1" customHeight="1">
      <c r="A91" s="117" t="s">
        <v>505</v>
      </c>
      <c r="C91" s="145">
        <v>332</v>
      </c>
      <c r="G91" s="149">
        <v>0</v>
      </c>
      <c r="H91" s="139"/>
      <c r="I91" s="197">
        <v>0</v>
      </c>
    </row>
    <row r="92" spans="1:9" ht="16.5" customHeight="1">
      <c r="A92" s="117" t="s">
        <v>375</v>
      </c>
      <c r="B92" s="117"/>
      <c r="C92" s="145">
        <v>333</v>
      </c>
      <c r="D92" s="146"/>
      <c r="F92" s="177"/>
      <c r="G92" s="149">
        <v>3468010302</v>
      </c>
      <c r="H92" s="149"/>
      <c r="I92" s="149">
        <v>3398718044</v>
      </c>
    </row>
    <row r="93" spans="1:9" ht="16.5" customHeight="1">
      <c r="A93" s="117" t="s">
        <v>506</v>
      </c>
      <c r="B93" s="117"/>
      <c r="C93" s="145">
        <v>334</v>
      </c>
      <c r="D93" s="146"/>
      <c r="E93" s="154" t="s">
        <v>723</v>
      </c>
      <c r="F93" s="177"/>
      <c r="G93" s="149">
        <v>371649161407</v>
      </c>
      <c r="H93" s="149"/>
      <c r="I93" s="149">
        <v>56188333622</v>
      </c>
    </row>
    <row r="94" spans="1:9" ht="16.5" hidden="1" customHeight="1">
      <c r="A94" s="117" t="s">
        <v>355</v>
      </c>
      <c r="B94" s="117"/>
      <c r="C94" s="145">
        <v>335</v>
      </c>
      <c r="D94" s="146"/>
      <c r="E94" s="154"/>
      <c r="F94" s="177"/>
      <c r="G94" s="149">
        <v>0</v>
      </c>
      <c r="H94" s="149"/>
      <c r="I94" s="149">
        <v>0</v>
      </c>
    </row>
    <row r="95" spans="1:9" ht="16.5" hidden="1" customHeight="1">
      <c r="A95" s="117" t="s">
        <v>388</v>
      </c>
      <c r="B95" s="117"/>
      <c r="C95" s="145">
        <v>336</v>
      </c>
      <c r="D95" s="146"/>
      <c r="E95" s="154"/>
      <c r="F95" s="177"/>
      <c r="G95" s="149">
        <v>0</v>
      </c>
      <c r="H95" s="149"/>
      <c r="I95" s="149">
        <v>0</v>
      </c>
    </row>
    <row r="96" spans="1:9" ht="16.5" hidden="1" customHeight="1">
      <c r="A96" s="117" t="s">
        <v>389</v>
      </c>
      <c r="B96" s="117"/>
      <c r="C96" s="145">
        <v>337</v>
      </c>
      <c r="D96" s="146"/>
      <c r="E96" s="154"/>
      <c r="F96" s="177"/>
      <c r="G96" s="149">
        <v>0</v>
      </c>
      <c r="H96" s="149"/>
      <c r="I96" s="149">
        <v>0</v>
      </c>
    </row>
    <row r="97" spans="1:10" ht="16.5" customHeight="1">
      <c r="A97" s="117" t="s">
        <v>116</v>
      </c>
      <c r="B97" s="117"/>
      <c r="C97" s="145">
        <v>338</v>
      </c>
      <c r="D97" s="146"/>
      <c r="E97" s="154" t="s">
        <v>724</v>
      </c>
      <c r="F97" s="177"/>
      <c r="G97" s="149">
        <v>198153225566</v>
      </c>
      <c r="H97" s="149"/>
      <c r="I97" s="149">
        <v>213670795922</v>
      </c>
    </row>
    <row r="98" spans="1:10" ht="18" customHeight="1">
      <c r="A98" s="430" t="s">
        <v>21</v>
      </c>
      <c r="B98" s="130"/>
      <c r="C98" s="684">
        <v>400</v>
      </c>
      <c r="D98" s="683"/>
      <c r="E98" s="143"/>
      <c r="F98" s="178"/>
      <c r="G98" s="547">
        <v>466346197594.20996</v>
      </c>
      <c r="H98" s="137"/>
      <c r="I98" s="137">
        <f t="shared" ref="I98" si="13">I99+I111</f>
        <v>400497610453</v>
      </c>
    </row>
    <row r="99" spans="1:10" ht="17.25" customHeight="1">
      <c r="A99" s="130" t="s">
        <v>488</v>
      </c>
      <c r="B99" s="130"/>
      <c r="C99" s="684">
        <v>410</v>
      </c>
      <c r="D99" s="683"/>
      <c r="E99" s="143" t="s">
        <v>736</v>
      </c>
      <c r="F99" s="178"/>
      <c r="G99" s="137">
        <v>466346197594.20996</v>
      </c>
      <c r="H99" s="137"/>
      <c r="I99" s="137">
        <f>SUM(I100:I110)+I111</f>
        <v>400497610453</v>
      </c>
    </row>
    <row r="100" spans="1:10" s="117" customFormat="1" ht="17.25" customHeight="1">
      <c r="A100" s="179" t="s">
        <v>494</v>
      </c>
      <c r="C100" s="145">
        <v>411</v>
      </c>
      <c r="E100" s="145"/>
      <c r="G100" s="149">
        <v>343119980000</v>
      </c>
      <c r="H100" s="139"/>
      <c r="I100" s="197">
        <v>343119980000</v>
      </c>
    </row>
    <row r="101" spans="1:10" s="117" customFormat="1" ht="17.25" hidden="1" customHeight="1">
      <c r="A101" s="117" t="s">
        <v>495</v>
      </c>
      <c r="C101" s="145">
        <v>412</v>
      </c>
      <c r="G101" s="149">
        <v>0</v>
      </c>
      <c r="H101" s="139"/>
      <c r="I101" s="197">
        <v>0</v>
      </c>
    </row>
    <row r="102" spans="1:10" s="117" customFormat="1" ht="17.25" hidden="1" customHeight="1">
      <c r="A102" s="117" t="s">
        <v>376</v>
      </c>
      <c r="C102" s="145">
        <v>413</v>
      </c>
      <c r="G102" s="149">
        <v>0</v>
      </c>
      <c r="H102" s="139"/>
      <c r="I102" s="197">
        <v>0</v>
      </c>
    </row>
    <row r="103" spans="1:10" s="117" customFormat="1" ht="17.25" hidden="1" customHeight="1">
      <c r="A103" s="117" t="s">
        <v>118</v>
      </c>
      <c r="C103" s="145">
        <v>414</v>
      </c>
      <c r="G103" s="149">
        <v>0</v>
      </c>
      <c r="H103" s="139"/>
      <c r="I103" s="197">
        <v>0</v>
      </c>
    </row>
    <row r="104" spans="1:10" s="117" customFormat="1" ht="17.25" hidden="1" customHeight="1">
      <c r="A104" s="117" t="s">
        <v>381</v>
      </c>
      <c r="C104" s="145">
        <v>415</v>
      </c>
      <c r="G104" s="149">
        <v>0</v>
      </c>
      <c r="H104" s="139"/>
      <c r="I104" s="197">
        <v>0</v>
      </c>
    </row>
    <row r="105" spans="1:10" ht="17.25" hidden="1" customHeight="1">
      <c r="A105" s="117" t="s">
        <v>382</v>
      </c>
      <c r="B105" s="117"/>
      <c r="C105" s="145">
        <v>416</v>
      </c>
      <c r="D105" s="146"/>
      <c r="E105" s="154"/>
      <c r="F105" s="177"/>
      <c r="G105" s="149">
        <v>0</v>
      </c>
      <c r="H105" s="149"/>
      <c r="I105" s="197">
        <v>0</v>
      </c>
    </row>
    <row r="106" spans="1:10" ht="17.25" customHeight="1">
      <c r="A106" s="117" t="s">
        <v>377</v>
      </c>
      <c r="B106" s="117"/>
      <c r="C106" s="145">
        <v>417</v>
      </c>
      <c r="D106" s="146"/>
      <c r="E106" s="154"/>
      <c r="F106" s="174"/>
      <c r="G106" s="149">
        <v>24041115255.970001</v>
      </c>
      <c r="H106" s="149"/>
      <c r="I106" s="197">
        <v>23967659270</v>
      </c>
    </row>
    <row r="107" spans="1:10" ht="17.25" customHeight="1">
      <c r="A107" s="117" t="s">
        <v>405</v>
      </c>
      <c r="B107" s="117"/>
      <c r="C107" s="145">
        <v>418</v>
      </c>
      <c r="D107" s="146"/>
      <c r="E107" s="154"/>
      <c r="F107" s="174"/>
      <c r="G107" s="149">
        <v>16223056625.24</v>
      </c>
      <c r="H107" s="149"/>
      <c r="I107" s="197">
        <v>13679920363</v>
      </c>
    </row>
    <row r="108" spans="1:10" ht="17.25" customHeight="1">
      <c r="A108" s="117" t="s">
        <v>378</v>
      </c>
      <c r="B108" s="117"/>
      <c r="C108" s="145">
        <v>419</v>
      </c>
      <c r="D108" s="146"/>
      <c r="E108" s="154"/>
      <c r="F108" s="174"/>
      <c r="G108" s="149">
        <v>136172652</v>
      </c>
      <c r="H108" s="149"/>
      <c r="I108" s="197">
        <v>136172652</v>
      </c>
    </row>
    <row r="109" spans="1:10" ht="17.25" customHeight="1">
      <c r="A109" s="117" t="s">
        <v>379</v>
      </c>
      <c r="B109" s="117"/>
      <c r="C109" s="145">
        <v>420</v>
      </c>
      <c r="D109" s="146"/>
      <c r="E109" s="154"/>
      <c r="F109" s="174"/>
      <c r="G109" s="149">
        <v>82825873061</v>
      </c>
      <c r="H109" s="149"/>
      <c r="I109" s="197">
        <v>19593878168</v>
      </c>
      <c r="J109" s="261"/>
    </row>
    <row r="110" spans="1:10" ht="17.25" hidden="1" customHeight="1">
      <c r="A110" s="117" t="s">
        <v>496</v>
      </c>
      <c r="B110" s="117"/>
      <c r="C110" s="145">
        <v>421</v>
      </c>
      <c r="D110" s="146"/>
      <c r="E110" s="154"/>
      <c r="F110" s="174"/>
      <c r="G110" s="149">
        <v>0</v>
      </c>
      <c r="H110" s="149"/>
      <c r="I110" s="197">
        <v>0</v>
      </c>
    </row>
    <row r="111" spans="1:10" s="132" customFormat="1" ht="18" customHeight="1">
      <c r="A111" s="130" t="s">
        <v>406</v>
      </c>
      <c r="B111" s="130"/>
      <c r="C111" s="684">
        <v>430</v>
      </c>
      <c r="D111" s="683"/>
      <c r="E111" s="143"/>
      <c r="F111" s="173"/>
      <c r="G111" s="137">
        <v>0</v>
      </c>
      <c r="H111" s="137"/>
      <c r="I111" s="137">
        <f t="shared" ref="I111" si="14">SUM(I112:I114)</f>
        <v>0</v>
      </c>
    </row>
    <row r="112" spans="1:10" ht="18" customHeight="1">
      <c r="A112" s="117" t="s">
        <v>394</v>
      </c>
      <c r="B112" s="117"/>
      <c r="C112" s="145">
        <v>431</v>
      </c>
      <c r="D112" s="146"/>
      <c r="E112" s="154"/>
      <c r="F112" s="174"/>
      <c r="G112" s="149">
        <v>0</v>
      </c>
      <c r="H112" s="149"/>
      <c r="I112" s="149">
        <v>0</v>
      </c>
    </row>
    <row r="113" spans="1:11" ht="18" customHeight="1">
      <c r="A113" s="117" t="s">
        <v>407</v>
      </c>
      <c r="B113" s="117"/>
      <c r="C113" s="145">
        <v>432</v>
      </c>
      <c r="D113" s="146"/>
      <c r="E113" s="154"/>
      <c r="F113" s="174"/>
      <c r="G113" s="149">
        <v>0</v>
      </c>
      <c r="H113" s="149"/>
      <c r="I113" s="149">
        <v>0</v>
      </c>
    </row>
    <row r="114" spans="1:11" ht="18" customHeight="1">
      <c r="A114" s="117" t="s">
        <v>408</v>
      </c>
      <c r="B114" s="117"/>
      <c r="C114" s="145">
        <v>433</v>
      </c>
      <c r="D114" s="146"/>
      <c r="E114" s="154"/>
      <c r="F114" s="174"/>
      <c r="G114" s="149">
        <v>0</v>
      </c>
      <c r="H114" s="149"/>
      <c r="I114" s="149">
        <v>0</v>
      </c>
    </row>
    <row r="115" spans="1:11" s="132" customFormat="1" ht="18" customHeight="1">
      <c r="A115" s="130" t="s">
        <v>726</v>
      </c>
      <c r="B115" s="130"/>
      <c r="C115" s="684">
        <v>439</v>
      </c>
      <c r="D115" s="683"/>
      <c r="E115" s="143"/>
      <c r="F115" s="173"/>
      <c r="G115" s="547">
        <v>79032339252</v>
      </c>
      <c r="H115" s="137"/>
      <c r="I115" s="137">
        <v>36962521742</v>
      </c>
    </row>
    <row r="116" spans="1:11" ht="18" customHeight="1" thickBot="1">
      <c r="A116" s="429" t="s">
        <v>66</v>
      </c>
      <c r="B116" s="685"/>
      <c r="C116" s="684">
        <v>440</v>
      </c>
      <c r="D116" s="683"/>
      <c r="E116" s="154"/>
      <c r="F116" s="173"/>
      <c r="G116" s="171">
        <f>G76+G98+G115</f>
        <v>1392932243353.21</v>
      </c>
      <c r="H116" s="198"/>
      <c r="I116" s="171">
        <f>I76+I98+I115</f>
        <v>872182090048</v>
      </c>
    </row>
    <row r="117" spans="1:11" s="687" customFormat="1" ht="3.75" customHeight="1" thickTop="1">
      <c r="A117" s="180"/>
      <c r="B117" s="180"/>
      <c r="C117" s="180"/>
      <c r="D117" s="180"/>
      <c r="E117" s="181"/>
      <c r="F117" s="181"/>
      <c r="G117" s="183">
        <f>G116-G69</f>
        <v>0.2099609375</v>
      </c>
      <c r="H117" s="182"/>
      <c r="I117" s="183">
        <f>I116-I69</f>
        <v>0</v>
      </c>
    </row>
    <row r="118" spans="1:11" ht="17.25" customHeight="1">
      <c r="A118" s="172"/>
      <c r="B118" s="172"/>
      <c r="D118" s="184"/>
      <c r="F118" s="184"/>
      <c r="G118" s="185" t="s">
        <v>868</v>
      </c>
      <c r="H118" s="185"/>
      <c r="I118" s="185"/>
    </row>
    <row r="119" spans="1:11" ht="18" customHeight="1">
      <c r="B119" s="186"/>
      <c r="C119" s="186"/>
      <c r="D119" s="186"/>
      <c r="F119" s="187"/>
      <c r="G119" s="188" t="s">
        <v>47</v>
      </c>
      <c r="H119" s="189"/>
      <c r="I119" s="189"/>
    </row>
    <row r="120" spans="1:11" s="132" customFormat="1" ht="16.5" customHeight="1">
      <c r="A120" s="745" t="s">
        <v>845</v>
      </c>
      <c r="B120" s="745"/>
      <c r="C120" s="745"/>
      <c r="D120" s="745"/>
      <c r="E120" s="745"/>
      <c r="F120" s="190"/>
      <c r="G120" s="746" t="s">
        <v>833</v>
      </c>
      <c r="H120" s="746"/>
      <c r="I120" s="746"/>
    </row>
    <row r="121" spans="1:11" ht="22.5" customHeight="1">
      <c r="A121" s="682"/>
      <c r="B121" s="682"/>
      <c r="C121" s="682"/>
      <c r="D121" s="682"/>
      <c r="E121" s="191"/>
      <c r="F121" s="191"/>
      <c r="G121" s="192"/>
      <c r="H121" s="191"/>
      <c r="I121" s="192"/>
      <c r="J121" s="261">
        <f>G116-G69</f>
        <v>0.2099609375</v>
      </c>
      <c r="K121" s="261">
        <f>H116-H69</f>
        <v>0</v>
      </c>
    </row>
    <row r="122" spans="1:11" ht="18.75" customHeight="1">
      <c r="A122" s="682"/>
      <c r="B122" s="682"/>
      <c r="C122" s="682"/>
      <c r="D122" s="682"/>
      <c r="E122" s="191"/>
      <c r="F122" s="191"/>
    </row>
    <row r="123" spans="1:11" ht="18.75" customHeight="1">
      <c r="A123" s="682"/>
      <c r="B123" s="682"/>
      <c r="C123" s="682"/>
      <c r="D123" s="682"/>
      <c r="E123" s="191"/>
      <c r="F123" s="191"/>
    </row>
    <row r="124" spans="1:11" ht="18.75" customHeight="1">
      <c r="A124" s="682"/>
      <c r="B124" s="682"/>
      <c r="C124" s="682"/>
      <c r="D124" s="682"/>
      <c r="E124" s="191"/>
      <c r="F124" s="191"/>
    </row>
    <row r="125" spans="1:11" ht="15" customHeight="1">
      <c r="A125" s="191"/>
      <c r="B125" s="191"/>
      <c r="C125" s="191"/>
      <c r="D125" s="191"/>
      <c r="E125" s="191"/>
      <c r="F125" s="191"/>
      <c r="G125" s="192"/>
      <c r="H125" s="191"/>
      <c r="I125" s="193"/>
    </row>
    <row r="126" spans="1:11" s="132" customFormat="1" ht="16.5" customHeight="1">
      <c r="A126" s="745" t="s">
        <v>846</v>
      </c>
      <c r="B126" s="745"/>
      <c r="C126" s="745"/>
      <c r="D126" s="745"/>
      <c r="E126" s="745"/>
      <c r="F126" s="190"/>
      <c r="G126" s="746" t="s">
        <v>103</v>
      </c>
      <c r="H126" s="746"/>
      <c r="I126" s="746"/>
    </row>
    <row r="127" spans="1:11" ht="15.75" customHeight="1">
      <c r="A127" s="119"/>
      <c r="B127" s="119"/>
      <c r="C127" s="119"/>
      <c r="D127" s="119"/>
      <c r="E127" s="119"/>
      <c r="F127" s="119"/>
      <c r="G127" s="125"/>
      <c r="H127" s="119"/>
      <c r="I127" s="119"/>
    </row>
    <row r="128" spans="1:11" s="117" customFormat="1" ht="16.5" customHeight="1">
      <c r="A128" s="702"/>
      <c r="B128" s="211"/>
      <c r="C128" s="211"/>
      <c r="D128" s="211"/>
      <c r="E128" s="286"/>
      <c r="F128" s="211"/>
      <c r="G128" s="532"/>
      <c r="H128" s="211"/>
      <c r="I128" s="211"/>
    </row>
    <row r="135" spans="7:9">
      <c r="G135" s="192">
        <f>G116-G69</f>
        <v>0.2099609375</v>
      </c>
      <c r="H135" s="191"/>
      <c r="I135" s="192">
        <f>I116-I69</f>
        <v>0</v>
      </c>
    </row>
  </sheetData>
  <mergeCells count="20">
    <mergeCell ref="A72:I72"/>
    <mergeCell ref="A74:A75"/>
    <mergeCell ref="A126:E126"/>
    <mergeCell ref="G126:I126"/>
    <mergeCell ref="G74:G75"/>
    <mergeCell ref="I74:I75"/>
    <mergeCell ref="G120:I120"/>
    <mergeCell ref="C74:C75"/>
    <mergeCell ref="E74:E75"/>
    <mergeCell ref="A120:E120"/>
    <mergeCell ref="F1:I1"/>
    <mergeCell ref="A7:I7"/>
    <mergeCell ref="F3:I3"/>
    <mergeCell ref="E11:E12"/>
    <mergeCell ref="I11:I12"/>
    <mergeCell ref="G11:G12"/>
    <mergeCell ref="A11:A12"/>
    <mergeCell ref="C11:C12"/>
    <mergeCell ref="A8:I8"/>
    <mergeCell ref="A9:I9"/>
  </mergeCells>
  <phoneticPr fontId="0" type="noConversion"/>
  <conditionalFormatting sqref="A6">
    <cfRule type="cellIs" dxfId="2" priority="3" operator="notEqual">
      <formula>0</formula>
    </cfRule>
  </conditionalFormatting>
  <conditionalFormatting sqref="A10">
    <cfRule type="cellIs" dxfId="1" priority="2" operator="notEqual">
      <formula>0</formula>
    </cfRule>
  </conditionalFormatting>
  <conditionalFormatting sqref="A118">
    <cfRule type="cellIs" dxfId="0" priority="1" operator="notEqual">
      <formula>0</formula>
    </cfRule>
  </conditionalFormatting>
  <pageMargins left="0.86614173228346503" right="0.47244094488188998" top="0.73" bottom="0.75" header="0.196850393700787" footer="0.39370078740157499"/>
  <pageSetup paperSize="9" pageOrder="overThenDown" orientation="portrait" useFirstPageNumber="1" r:id="rId1"/>
  <headerFooter scaleWithDoc="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8"/>
  <sheetViews>
    <sheetView workbookViewId="0">
      <selection activeCell="D11" sqref="D11"/>
    </sheetView>
  </sheetViews>
  <sheetFormatPr defaultRowHeight="15.75"/>
  <cols>
    <col min="1" max="1" width="6" style="8" customWidth="1"/>
    <col min="2" max="2" width="0.75" style="3" customWidth="1"/>
    <col min="3" max="3" width="9.5" style="3" customWidth="1"/>
    <col min="4" max="4" width="18" style="3" customWidth="1"/>
    <col min="5" max="5" width="16.25" style="3" bestFit="1" customWidth="1"/>
    <col min="6" max="6" width="16.375" style="6" customWidth="1"/>
    <col min="7" max="7" width="17.375" style="6" customWidth="1"/>
    <col min="8" max="8" width="14.125" style="3" customWidth="1"/>
    <col min="9" max="9" width="14.625" style="3" customWidth="1"/>
    <col min="10" max="12" width="30.5" style="3" customWidth="1"/>
    <col min="13" max="13" width="20.125" style="3" customWidth="1"/>
    <col min="14" max="14" width="16.375" style="3" customWidth="1"/>
    <col min="15" max="16384" width="9" style="3"/>
  </cols>
  <sheetData>
    <row r="1" spans="1:8" ht="18" customHeight="1">
      <c r="A1" s="11" t="s">
        <v>47</v>
      </c>
      <c r="B1" s="4"/>
      <c r="C1" s="4"/>
      <c r="D1" s="4"/>
    </row>
    <row r="3" spans="1:8" ht="18" customHeight="1">
      <c r="A3" s="12" t="s">
        <v>15</v>
      </c>
      <c r="B3" s="13"/>
      <c r="C3" s="13"/>
      <c r="D3" s="13"/>
      <c r="E3" s="13"/>
      <c r="F3" s="14"/>
      <c r="G3" s="14"/>
    </row>
    <row r="5" spans="1:8" ht="18" customHeight="1">
      <c r="C5" s="3" t="s">
        <v>142</v>
      </c>
      <c r="D5" s="3" t="s">
        <v>143</v>
      </c>
      <c r="H5" s="3" t="s">
        <v>156</v>
      </c>
    </row>
    <row r="6" spans="1:8" ht="18" customHeight="1">
      <c r="C6" s="3" t="s">
        <v>144</v>
      </c>
      <c r="D6" s="3" t="s">
        <v>145</v>
      </c>
      <c r="H6" s="50" t="s">
        <v>157</v>
      </c>
    </row>
    <row r="7" spans="1:8" ht="18" customHeight="1">
      <c r="C7" s="3" t="s">
        <v>146</v>
      </c>
      <c r="D7" s="3" t="s">
        <v>147</v>
      </c>
    </row>
    <row r="8" spans="1:8">
      <c r="C8" s="3" t="s">
        <v>148</v>
      </c>
      <c r="D8" s="3" t="s">
        <v>149</v>
      </c>
    </row>
    <row r="9" spans="1:8">
      <c r="C9" s="3" t="s">
        <v>150</v>
      </c>
      <c r="D9" s="3" t="s">
        <v>151</v>
      </c>
    </row>
    <row r="10" spans="1:8">
      <c r="C10" s="3" t="s">
        <v>152</v>
      </c>
      <c r="D10" s="3" t="s">
        <v>153</v>
      </c>
    </row>
    <row r="11" spans="1:8">
      <c r="C11" s="3" t="s">
        <v>154</v>
      </c>
      <c r="D11" s="3" t="s">
        <v>155</v>
      </c>
    </row>
    <row r="15" spans="1:8">
      <c r="A15" s="51" t="s">
        <v>157</v>
      </c>
      <c r="C15" s="3" t="s">
        <v>166</v>
      </c>
      <c r="F15" s="1"/>
      <c r="G15" s="1"/>
    </row>
    <row r="16" spans="1:8">
      <c r="C16" s="3" t="s">
        <v>167</v>
      </c>
      <c r="F16" s="1"/>
      <c r="G16" s="1"/>
    </row>
    <row r="17" spans="1:9">
      <c r="C17" s="3" t="s">
        <v>168</v>
      </c>
      <c r="F17" s="1"/>
      <c r="G17" s="1"/>
    </row>
    <row r="18" spans="1:9">
      <c r="D18" s="3" t="s">
        <v>169</v>
      </c>
      <c r="F18" s="1"/>
      <c r="G18" s="1"/>
    </row>
    <row r="19" spans="1:9">
      <c r="F19" s="1"/>
      <c r="G19" s="1"/>
    </row>
    <row r="21" spans="1:9">
      <c r="A21" s="51" t="s">
        <v>158</v>
      </c>
      <c r="C21" s="3" t="s">
        <v>159</v>
      </c>
    </row>
    <row r="23" spans="1:9">
      <c r="A23" s="51" t="s">
        <v>160</v>
      </c>
    </row>
    <row r="24" spans="1:9">
      <c r="E24" s="3" t="s">
        <v>49</v>
      </c>
      <c r="F24" s="6" t="s">
        <v>50</v>
      </c>
      <c r="G24" s="6" t="s">
        <v>51</v>
      </c>
      <c r="H24" s="3" t="s">
        <v>196</v>
      </c>
    </row>
    <row r="25" spans="1:9">
      <c r="E25" s="71" t="e">
        <f>'BC KQKD'!#REF!</f>
        <v>#REF!</v>
      </c>
      <c r="F25" s="72" t="e">
        <f>'BC KQKD'!#REF!</f>
        <v>#REF!</v>
      </c>
      <c r="G25" s="72" t="e">
        <f>'BC KQKD'!#REF!</f>
        <v>#REF!</v>
      </c>
      <c r="H25" s="71" t="e">
        <f>'BC KQKD'!#REF!</f>
        <v>#REF!</v>
      </c>
    </row>
    <row r="26" spans="1:9">
      <c r="C26" s="3" t="s">
        <v>195</v>
      </c>
      <c r="E26" s="71" t="e">
        <f>E25*49%</f>
        <v>#REF!</v>
      </c>
      <c r="F26" s="71" t="e">
        <f>F25*49%</f>
        <v>#REF!</v>
      </c>
      <c r="G26" s="71" t="e">
        <f>G25*49%</f>
        <v>#REF!</v>
      </c>
      <c r="H26" s="71"/>
      <c r="I26" s="71" t="e">
        <f>SUM(E26:H26)</f>
        <v>#REF!</v>
      </c>
    </row>
    <row r="29" spans="1:9">
      <c r="A29" s="8" t="s">
        <v>85</v>
      </c>
    </row>
    <row r="31" spans="1:9">
      <c r="C31" s="3" t="s">
        <v>86</v>
      </c>
      <c r="G31" s="6">
        <v>-17831424</v>
      </c>
    </row>
    <row r="32" spans="1:9">
      <c r="C32" s="3" t="s">
        <v>87</v>
      </c>
      <c r="G32" s="110">
        <v>1</v>
      </c>
    </row>
    <row r="33" spans="1:7">
      <c r="C33" s="3" t="s">
        <v>88</v>
      </c>
      <c r="G33" s="6">
        <f>G31*G32</f>
        <v>-17831424</v>
      </c>
    </row>
    <row r="35" spans="1:7">
      <c r="A35" s="8" t="s">
        <v>89</v>
      </c>
    </row>
    <row r="37" spans="1:7">
      <c r="C37" s="3" t="s">
        <v>90</v>
      </c>
      <c r="G37" s="6">
        <f>G33</f>
        <v>-17831424</v>
      </c>
    </row>
    <row r="38" spans="1:7">
      <c r="C38" s="3" t="s">
        <v>91</v>
      </c>
      <c r="G38" s="6">
        <f>G37</f>
        <v>-17831424</v>
      </c>
    </row>
  </sheetData>
  <phoneticPr fontId="0" type="noConversion"/>
  <pageMargins left="0.511811023622047" right="0.196850393700787" top="0.59055118110236204" bottom="0.55118110236220497" header="0.511811023622047" footer="0.43307086614173201"/>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78"/>
  <sheetViews>
    <sheetView topLeftCell="A254" workbookViewId="0">
      <selection activeCell="G246" sqref="G246"/>
    </sheetView>
  </sheetViews>
  <sheetFormatPr defaultRowHeight="15"/>
  <cols>
    <col min="1" max="1" width="9" style="2"/>
    <col min="2" max="2" width="14" style="2" customWidth="1"/>
    <col min="3" max="3" width="9" style="2"/>
    <col min="4" max="4" width="16.125" style="2" bestFit="1" customWidth="1"/>
    <col min="5" max="5" width="18" style="49" customWidth="1"/>
    <col min="6" max="6" width="16.125" style="49" bestFit="1" customWidth="1"/>
    <col min="7" max="7" width="16.25" style="48" bestFit="1" customWidth="1"/>
    <col min="8" max="8" width="16.25" style="48" customWidth="1"/>
    <col min="9" max="9" width="16.25" style="56" bestFit="1" customWidth="1"/>
    <col min="10" max="10" width="9" style="48"/>
    <col min="11" max="16384" width="9" style="2"/>
  </cols>
  <sheetData>
    <row r="1" spans="1:9" s="3" customFormat="1" ht="18" customHeight="1">
      <c r="A1" s="11" t="s">
        <v>47</v>
      </c>
      <c r="B1" s="4"/>
      <c r="C1" s="4"/>
      <c r="D1" s="4"/>
      <c r="F1" s="6"/>
      <c r="G1" s="6"/>
    </row>
    <row r="2" spans="1:9" s="3" customFormat="1" ht="15.75">
      <c r="A2" s="8"/>
      <c r="F2" s="6"/>
      <c r="G2" s="6"/>
    </row>
    <row r="3" spans="1:9" s="3" customFormat="1" ht="18" customHeight="1">
      <c r="A3" s="12" t="s">
        <v>15</v>
      </c>
      <c r="B3" s="13"/>
      <c r="C3" s="13"/>
      <c r="D3" s="13"/>
      <c r="E3" s="13"/>
      <c r="F3" s="14"/>
      <c r="G3" s="14"/>
    </row>
    <row r="6" spans="1:9">
      <c r="A6" s="58" t="s">
        <v>170</v>
      </c>
      <c r="B6" s="58"/>
      <c r="C6" s="58"/>
      <c r="D6" s="58"/>
      <c r="E6" s="63"/>
      <c r="F6" s="63"/>
      <c r="G6" s="53"/>
      <c r="H6" s="53"/>
      <c r="I6" s="55"/>
    </row>
    <row r="7" spans="1:9">
      <c r="A7" s="2" t="s">
        <v>580</v>
      </c>
    </row>
    <row r="9" spans="1:9" ht="30">
      <c r="D9" s="10" t="s">
        <v>510</v>
      </c>
      <c r="E9" s="64" t="s">
        <v>451</v>
      </c>
      <c r="F9" s="64" t="s">
        <v>479</v>
      </c>
      <c r="G9" s="54" t="s">
        <v>174</v>
      </c>
      <c r="H9" s="54"/>
      <c r="I9" s="57" t="s">
        <v>508</v>
      </c>
    </row>
    <row r="10" spans="1:9">
      <c r="D10" s="48" t="e">
        <f>'Ban CDKT'!#REF!</f>
        <v>#REF!</v>
      </c>
      <c r="E10" s="49" t="e">
        <f>'Ban CDKT'!#REF!</f>
        <v>#REF!</v>
      </c>
      <c r="F10" s="49" t="e">
        <f>'Ban CDKT'!#REF!</f>
        <v>#REF!</v>
      </c>
      <c r="G10" s="48" t="e">
        <f>'Ban CDKT'!#REF!</f>
        <v>#REF!</v>
      </c>
      <c r="I10" s="56" t="e">
        <f>SUM(D10:G10)</f>
        <v>#REF!</v>
      </c>
    </row>
    <row r="11" spans="1:9">
      <c r="A11" s="2" t="s">
        <v>172</v>
      </c>
      <c r="C11" s="59">
        <v>0.51</v>
      </c>
      <c r="D11" s="48" t="e">
        <f>D10*$C$11</f>
        <v>#REF!</v>
      </c>
      <c r="E11" s="49" t="e">
        <f>E10*$C$11</f>
        <v>#REF!</v>
      </c>
      <c r="F11" s="49" t="e">
        <f>F10*$C$11</f>
        <v>#REF!</v>
      </c>
      <c r="G11" s="48" t="e">
        <f>G10*$C$11</f>
        <v>#REF!</v>
      </c>
      <c r="I11" s="56" t="e">
        <f>SUM(D11:G11)</f>
        <v>#REF!</v>
      </c>
    </row>
    <row r="12" spans="1:9">
      <c r="A12" s="2" t="s">
        <v>173</v>
      </c>
      <c r="C12" s="59">
        <v>0.49</v>
      </c>
      <c r="D12" s="48" t="e">
        <f>D10*$C$12</f>
        <v>#REF!</v>
      </c>
      <c r="E12" s="49" t="e">
        <f>E10*$C$12</f>
        <v>#REF!</v>
      </c>
      <c r="F12" s="49" t="e">
        <f>F10*$C$12</f>
        <v>#REF!</v>
      </c>
      <c r="G12" s="48" t="e">
        <f>G10*$C$12</f>
        <v>#REF!</v>
      </c>
      <c r="I12" s="56" t="e">
        <f>SUM(D12:G12)</f>
        <v>#REF!</v>
      </c>
    </row>
    <row r="15" spans="1:9">
      <c r="B15" s="2" t="s">
        <v>264</v>
      </c>
      <c r="D15" s="48">
        <v>80000000000</v>
      </c>
      <c r="F15" s="49" t="s">
        <v>156</v>
      </c>
    </row>
    <row r="16" spans="1:9">
      <c r="C16" s="2" t="s">
        <v>265</v>
      </c>
      <c r="E16" s="49">
        <v>40800000000</v>
      </c>
    </row>
    <row r="17" spans="1:8">
      <c r="C17" s="2" t="s">
        <v>275</v>
      </c>
      <c r="E17" s="49">
        <v>39200000000</v>
      </c>
    </row>
    <row r="18" spans="1:8">
      <c r="B18" s="2" t="s">
        <v>273</v>
      </c>
      <c r="D18" s="48">
        <v>561254852.34000003</v>
      </c>
      <c r="F18" s="49" t="s">
        <v>156</v>
      </c>
    </row>
    <row r="19" spans="1:8">
      <c r="B19" s="2" t="s">
        <v>272</v>
      </c>
      <c r="D19" s="48">
        <v>307769510.08999997</v>
      </c>
    </row>
    <row r="20" spans="1:8">
      <c r="B20" s="2" t="s">
        <v>274</v>
      </c>
      <c r="D20" s="48">
        <v>8103777928.4700003</v>
      </c>
    </row>
    <row r="21" spans="1:8">
      <c r="C21" s="2" t="s">
        <v>276</v>
      </c>
      <c r="E21" s="49">
        <f>SUM(D18:D20)</f>
        <v>8972802290.8999996</v>
      </c>
    </row>
    <row r="25" spans="1:8">
      <c r="A25" s="2" t="s">
        <v>590</v>
      </c>
      <c r="D25" s="48" t="e">
        <f>'BC KQKD'!#REF!</f>
        <v>#REF!</v>
      </c>
    </row>
    <row r="26" spans="1:8">
      <c r="A26" s="2" t="s">
        <v>176</v>
      </c>
    </row>
    <row r="27" spans="1:8">
      <c r="A27" s="2" t="s">
        <v>177</v>
      </c>
      <c r="D27" s="48" t="e">
        <f>D25*C11</f>
        <v>#REF!</v>
      </c>
    </row>
    <row r="28" spans="1:8">
      <c r="A28" s="2" t="s">
        <v>178</v>
      </c>
      <c r="D28" s="48" t="e">
        <f>D25*C12</f>
        <v>#REF!</v>
      </c>
      <c r="F28" s="49" t="s">
        <v>156</v>
      </c>
    </row>
    <row r="30" spans="1:8">
      <c r="A30" s="58" t="s">
        <v>179</v>
      </c>
      <c r="B30" s="58"/>
      <c r="C30" s="58"/>
    </row>
    <row r="31" spans="1:8">
      <c r="A31" s="2" t="s">
        <v>180</v>
      </c>
    </row>
    <row r="32" spans="1:8">
      <c r="B32" s="2" t="s">
        <v>181</v>
      </c>
      <c r="F32" s="49">
        <v>1918173659</v>
      </c>
      <c r="H32" s="48" t="s">
        <v>156</v>
      </c>
    </row>
    <row r="33" spans="1:8">
      <c r="C33" s="2" t="s">
        <v>182</v>
      </c>
      <c r="G33" s="48">
        <f>F32</f>
        <v>1918173659</v>
      </c>
    </row>
    <row r="34" spans="1:8">
      <c r="A34" s="2" t="s">
        <v>183</v>
      </c>
    </row>
    <row r="35" spans="1:8">
      <c r="B35" s="2" t="s">
        <v>184</v>
      </c>
      <c r="F35" s="49">
        <v>4966525854</v>
      </c>
      <c r="H35" s="48" t="s">
        <v>156</v>
      </c>
    </row>
    <row r="36" spans="1:8">
      <c r="C36" s="2" t="s">
        <v>185</v>
      </c>
      <c r="G36" s="48">
        <v>4966525854</v>
      </c>
    </row>
    <row r="38" spans="1:8">
      <c r="B38" s="2" t="s">
        <v>277</v>
      </c>
      <c r="F38" s="49">
        <v>4451690571</v>
      </c>
      <c r="H38" s="48" t="s">
        <v>156</v>
      </c>
    </row>
    <row r="39" spans="1:8">
      <c r="C39" s="2" t="s">
        <v>326</v>
      </c>
      <c r="G39" s="48">
        <v>4451690571</v>
      </c>
      <c r="H39" s="48">
        <v>4346636867</v>
      </c>
    </row>
    <row r="40" spans="1:8">
      <c r="C40" s="2" t="s">
        <v>206</v>
      </c>
      <c r="G40" s="48">
        <f>F38-G39</f>
        <v>0</v>
      </c>
    </row>
    <row r="41" spans="1:8">
      <c r="B41" s="2" t="s">
        <v>254</v>
      </c>
    </row>
    <row r="43" spans="1:8">
      <c r="A43" s="2" t="s">
        <v>186</v>
      </c>
    </row>
    <row r="44" spans="1:8">
      <c r="C44" s="2" t="s">
        <v>327</v>
      </c>
      <c r="F44" s="49">
        <f>G40*25%</f>
        <v>0</v>
      </c>
      <c r="H44" s="48" t="s">
        <v>329</v>
      </c>
    </row>
    <row r="45" spans="1:8">
      <c r="D45" s="2" t="s">
        <v>328</v>
      </c>
      <c r="G45" s="48">
        <f>F44</f>
        <v>0</v>
      </c>
    </row>
    <row r="46" spans="1:8">
      <c r="A46" s="2" t="s">
        <v>248</v>
      </c>
    </row>
    <row r="47" spans="1:8">
      <c r="B47" s="2" t="s">
        <v>238</v>
      </c>
      <c r="G47" s="48">
        <f>G40*51%</f>
        <v>0</v>
      </c>
      <c r="H47" s="48" t="s">
        <v>156</v>
      </c>
    </row>
    <row r="48" spans="1:8">
      <c r="B48" s="2" t="s">
        <v>249</v>
      </c>
      <c r="G48" s="48">
        <f>G40*49%</f>
        <v>0</v>
      </c>
    </row>
    <row r="50" spans="1:8">
      <c r="A50" s="2" t="s">
        <v>114</v>
      </c>
    </row>
    <row r="51" spans="1:8">
      <c r="B51" s="2" t="s">
        <v>115</v>
      </c>
      <c r="F51" s="49">
        <v>1661355925</v>
      </c>
      <c r="H51" s="48" t="s">
        <v>156</v>
      </c>
    </row>
    <row r="52" spans="1:8">
      <c r="C52" s="2" t="s">
        <v>270</v>
      </c>
      <c r="G52" s="48">
        <f>F51</f>
        <v>1661355925</v>
      </c>
    </row>
    <row r="55" spans="1:8">
      <c r="A55" s="2" t="s">
        <v>187</v>
      </c>
    </row>
    <row r="56" spans="1:8">
      <c r="B56" s="2" t="s">
        <v>188</v>
      </c>
    </row>
    <row r="57" spans="1:8">
      <c r="C57" s="2" t="s">
        <v>189</v>
      </c>
    </row>
    <row r="59" spans="1:8">
      <c r="B59" s="2" t="s">
        <v>307</v>
      </c>
      <c r="F59" s="49">
        <v>26246712433</v>
      </c>
      <c r="H59" s="48" t="s">
        <v>156</v>
      </c>
    </row>
    <row r="60" spans="1:8">
      <c r="C60" s="2" t="s">
        <v>308</v>
      </c>
      <c r="G60" s="48">
        <f>F59</f>
        <v>26246712433</v>
      </c>
    </row>
    <row r="61" spans="1:8">
      <c r="B61" s="2" t="s">
        <v>309</v>
      </c>
      <c r="F61" s="49">
        <v>795416266</v>
      </c>
      <c r="H61" s="48" t="s">
        <v>156</v>
      </c>
    </row>
    <row r="62" spans="1:8">
      <c r="C62" s="2" t="s">
        <v>310</v>
      </c>
      <c r="G62" s="48">
        <f>F61</f>
        <v>795416266</v>
      </c>
    </row>
    <row r="63" spans="1:8">
      <c r="B63" s="2" t="s">
        <v>311</v>
      </c>
      <c r="F63" s="49">
        <v>1129087628</v>
      </c>
      <c r="H63" s="48" t="s">
        <v>156</v>
      </c>
    </row>
    <row r="64" spans="1:8">
      <c r="C64" s="2" t="s">
        <v>312</v>
      </c>
      <c r="G64" s="48">
        <f>F63</f>
        <v>1129087628</v>
      </c>
    </row>
    <row r="66" spans="2:8">
      <c r="B66" s="2" t="s">
        <v>212</v>
      </c>
      <c r="F66" s="49">
        <v>1262673529</v>
      </c>
      <c r="H66" s="48" t="s">
        <v>156</v>
      </c>
    </row>
    <row r="67" spans="2:8">
      <c r="C67" s="2" t="s">
        <v>213</v>
      </c>
      <c r="G67" s="48">
        <f>F66</f>
        <v>1262673529</v>
      </c>
    </row>
    <row r="69" spans="2:8">
      <c r="B69" s="2" t="s">
        <v>214</v>
      </c>
      <c r="F69" s="49">
        <v>40840580548</v>
      </c>
      <c r="H69" s="48" t="s">
        <v>156</v>
      </c>
    </row>
    <row r="70" spans="2:8">
      <c r="B70" s="2" t="s">
        <v>215</v>
      </c>
      <c r="F70" s="49">
        <v>123847027470</v>
      </c>
    </row>
    <row r="71" spans="2:8">
      <c r="C71" s="2" t="s">
        <v>216</v>
      </c>
      <c r="G71" s="48">
        <f>F70+F69</f>
        <v>164687608018</v>
      </c>
    </row>
    <row r="73" spans="2:8">
      <c r="B73" s="2" t="s">
        <v>214</v>
      </c>
      <c r="F73" s="49">
        <f>G74+G75</f>
        <v>321410202</v>
      </c>
      <c r="H73" s="48" t="s">
        <v>156</v>
      </c>
    </row>
    <row r="74" spans="2:8">
      <c r="C74" s="2" t="s">
        <v>314</v>
      </c>
      <c r="G74" s="48">
        <v>180379672</v>
      </c>
    </row>
    <row r="75" spans="2:8">
      <c r="C75" s="2" t="s">
        <v>314</v>
      </c>
      <c r="G75" s="48">
        <v>141030530</v>
      </c>
    </row>
    <row r="77" spans="2:8">
      <c r="B77" s="2" t="s">
        <v>218</v>
      </c>
      <c r="F77" s="49">
        <v>311113396</v>
      </c>
    </row>
    <row r="81" spans="1:9">
      <c r="A81" s="58" t="s">
        <v>201</v>
      </c>
      <c r="B81" s="58"/>
      <c r="C81" s="58"/>
      <c r="D81" s="58"/>
      <c r="E81" s="63"/>
      <c r="F81" s="63"/>
      <c r="G81" s="53"/>
      <c r="H81" s="53"/>
      <c r="I81" s="55"/>
    </row>
    <row r="82" spans="1:9">
      <c r="A82" s="2" t="s">
        <v>171</v>
      </c>
    </row>
    <row r="84" spans="1:9" ht="30">
      <c r="D84" s="10" t="s">
        <v>510</v>
      </c>
      <c r="E84" s="64" t="s">
        <v>451</v>
      </c>
      <c r="F84" s="64" t="s">
        <v>479</v>
      </c>
      <c r="G84" s="54" t="s">
        <v>174</v>
      </c>
      <c r="H84" s="54" t="s">
        <v>209</v>
      </c>
      <c r="I84" s="57" t="s">
        <v>508</v>
      </c>
    </row>
    <row r="85" spans="1:9">
      <c r="D85" s="48" t="e">
        <f>'Ban CDKT'!#REF!</f>
        <v>#REF!</v>
      </c>
      <c r="E85" s="49" t="e">
        <f>'Ban CDKT'!#REF!</f>
        <v>#REF!</v>
      </c>
      <c r="F85" s="49" t="e">
        <f>'Ban CDKT'!#REF!</f>
        <v>#REF!</v>
      </c>
      <c r="G85" s="48" t="e">
        <f>'Ban CDKT'!#REF!</f>
        <v>#REF!</v>
      </c>
      <c r="H85" s="48" t="e">
        <f>'Ban CDKT'!#REF!</f>
        <v>#REF!</v>
      </c>
      <c r="I85" s="56" t="e">
        <f>SUM(D85:H85)</f>
        <v>#REF!</v>
      </c>
    </row>
    <row r="86" spans="1:9">
      <c r="A86" s="2" t="s">
        <v>172</v>
      </c>
      <c r="C86" s="59">
        <v>0.51</v>
      </c>
      <c r="D86" s="48" t="e">
        <f>D85*$C$86</f>
        <v>#REF!</v>
      </c>
      <c r="E86" s="49" t="e">
        <f>E85*$C$86</f>
        <v>#REF!</v>
      </c>
      <c r="F86" s="49" t="e">
        <f>F85*$C$86</f>
        <v>#REF!</v>
      </c>
      <c r="G86" s="48" t="e">
        <f>G85*$C$86</f>
        <v>#REF!</v>
      </c>
      <c r="H86" s="48" t="e">
        <f>H85*$C$86</f>
        <v>#REF!</v>
      </c>
      <c r="I86" s="56" t="e">
        <f>SUM(D86:H86)</f>
        <v>#REF!</v>
      </c>
    </row>
    <row r="87" spans="1:9">
      <c r="A87" s="2" t="s">
        <v>173</v>
      </c>
      <c r="C87" s="59">
        <v>0.49</v>
      </c>
      <c r="D87" s="48" t="e">
        <f>D85*$C$87</f>
        <v>#REF!</v>
      </c>
      <c r="E87" s="49" t="e">
        <f>E85*$C$87</f>
        <v>#REF!</v>
      </c>
      <c r="F87" s="49" t="e">
        <f>F85*$C$87</f>
        <v>#REF!</v>
      </c>
      <c r="G87" s="48" t="e">
        <f>G85*$C$87</f>
        <v>#REF!</v>
      </c>
      <c r="H87" s="48" t="e">
        <f>H85*$C$87</f>
        <v>#REF!</v>
      </c>
      <c r="I87" s="56" t="e">
        <f>SUM(D87:H87)</f>
        <v>#REF!</v>
      </c>
    </row>
    <row r="90" spans="1:9">
      <c r="B90" s="2" t="s">
        <v>264</v>
      </c>
      <c r="D90" s="48">
        <v>12000000000</v>
      </c>
      <c r="F90" s="49" t="s">
        <v>156</v>
      </c>
    </row>
    <row r="91" spans="1:9">
      <c r="C91" s="2" t="s">
        <v>265</v>
      </c>
      <c r="E91" s="49">
        <v>6120000000</v>
      </c>
    </row>
    <row r="92" spans="1:9">
      <c r="C92" s="2" t="s">
        <v>276</v>
      </c>
      <c r="E92" s="49">
        <v>5880000000</v>
      </c>
    </row>
    <row r="93" spans="1:9">
      <c r="B93" s="2" t="s">
        <v>330</v>
      </c>
      <c r="D93" s="48">
        <v>506952422.69</v>
      </c>
      <c r="F93" s="49" t="s">
        <v>156</v>
      </c>
    </row>
    <row r="94" spans="1:9">
      <c r="B94" s="2" t="s">
        <v>272</v>
      </c>
      <c r="D94" s="48">
        <v>120114309.06999999</v>
      </c>
    </row>
    <row r="95" spans="1:9">
      <c r="B95" s="2" t="s">
        <v>274</v>
      </c>
      <c r="D95" s="48" t="e">
        <f>G87</f>
        <v>#REF!</v>
      </c>
    </row>
    <row r="96" spans="1:9">
      <c r="B96" s="2" t="s">
        <v>331</v>
      </c>
      <c r="D96" s="48">
        <v>48045723.530000001</v>
      </c>
    </row>
    <row r="97" spans="1:8">
      <c r="C97" s="2" t="s">
        <v>276</v>
      </c>
      <c r="E97" s="49" t="e">
        <f>SUM(D93:D96)</f>
        <v>#REF!</v>
      </c>
    </row>
    <row r="100" spans="1:8">
      <c r="A100" s="2" t="s">
        <v>175</v>
      </c>
      <c r="D100" s="48" t="e">
        <f>'BC KQKD'!#REF!</f>
        <v>#REF!</v>
      </c>
    </row>
    <row r="101" spans="1:8">
      <c r="A101" s="2" t="s">
        <v>176</v>
      </c>
    </row>
    <row r="102" spans="1:8">
      <c r="A102" s="2" t="s">
        <v>177</v>
      </c>
      <c r="D102" s="48" t="e">
        <f>D100*C86</f>
        <v>#REF!</v>
      </c>
      <c r="F102" s="49" t="s">
        <v>156</v>
      </c>
    </row>
    <row r="103" spans="1:8">
      <c r="A103" s="2" t="s">
        <v>178</v>
      </c>
      <c r="D103" s="48" t="e">
        <f>D100*C87</f>
        <v>#REF!</v>
      </c>
    </row>
    <row r="105" spans="1:8">
      <c r="A105" s="58" t="s">
        <v>202</v>
      </c>
      <c r="B105" s="58"/>
      <c r="C105" s="58"/>
    </row>
    <row r="106" spans="1:8">
      <c r="A106" s="60" t="s">
        <v>203</v>
      </c>
      <c r="B106" s="60"/>
      <c r="C106" s="60"/>
      <c r="D106" s="60"/>
      <c r="E106" s="65"/>
      <c r="F106" s="65"/>
      <c r="G106" s="61"/>
    </row>
    <row r="107" spans="1:8">
      <c r="B107" s="2" t="s">
        <v>204</v>
      </c>
      <c r="F107" s="49">
        <v>57077980908</v>
      </c>
      <c r="H107" s="48" t="s">
        <v>156</v>
      </c>
    </row>
    <row r="108" spans="1:8">
      <c r="C108" s="2" t="s">
        <v>205</v>
      </c>
      <c r="G108" s="48">
        <v>45522049720</v>
      </c>
      <c r="H108" s="48">
        <v>45522049720</v>
      </c>
    </row>
    <row r="109" spans="1:8">
      <c r="C109" s="2" t="s">
        <v>206</v>
      </c>
      <c r="G109" s="48">
        <f>F107-G108</f>
        <v>11555931188</v>
      </c>
    </row>
    <row r="110" spans="1:8">
      <c r="B110" s="2" t="s">
        <v>254</v>
      </c>
    </row>
    <row r="113" spans="1:9">
      <c r="A113" s="2" t="s">
        <v>207</v>
      </c>
    </row>
    <row r="114" spans="1:9">
      <c r="B114" s="2" t="s">
        <v>327</v>
      </c>
      <c r="F114" s="49">
        <f>G109*25%</f>
        <v>2888982797</v>
      </c>
    </row>
    <row r="115" spans="1:9">
      <c r="C115" s="2" t="s">
        <v>328</v>
      </c>
      <c r="G115" s="48">
        <f>F114</f>
        <v>2888982797</v>
      </c>
      <c r="H115" s="48" t="s">
        <v>156</v>
      </c>
    </row>
    <row r="116" spans="1:9">
      <c r="A116" s="2" t="s">
        <v>250</v>
      </c>
    </row>
    <row r="117" spans="1:9">
      <c r="B117" s="2" t="s">
        <v>238</v>
      </c>
      <c r="G117" s="48">
        <f>G109*51%</f>
        <v>5893524905.8800001</v>
      </c>
      <c r="H117" s="48" t="s">
        <v>156</v>
      </c>
    </row>
    <row r="118" spans="1:9">
      <c r="B118" s="2" t="s">
        <v>249</v>
      </c>
      <c r="G118" s="48">
        <f>G109*49%</f>
        <v>5662406282.1199999</v>
      </c>
    </row>
    <row r="120" spans="1:9">
      <c r="A120" s="60" t="s">
        <v>278</v>
      </c>
      <c r="B120" s="60"/>
      <c r="C120" s="60"/>
      <c r="D120" s="60"/>
      <c r="E120" s="65"/>
      <c r="F120" s="65"/>
      <c r="G120" s="61"/>
    </row>
    <row r="121" spans="1:9">
      <c r="B121" s="2" t="s">
        <v>204</v>
      </c>
      <c r="F121" s="49">
        <v>594429090</v>
      </c>
      <c r="H121" s="48" t="s">
        <v>156</v>
      </c>
      <c r="I121" s="48" t="s">
        <v>279</v>
      </c>
    </row>
    <row r="122" spans="1:9">
      <c r="C122" s="2" t="s">
        <v>205</v>
      </c>
      <c r="G122" s="48">
        <v>200300425</v>
      </c>
    </row>
    <row r="123" spans="1:9">
      <c r="C123" s="2" t="s">
        <v>219</v>
      </c>
      <c r="G123" s="48">
        <f>F121-G122</f>
        <v>394128665</v>
      </c>
    </row>
    <row r="124" spans="1:9">
      <c r="A124" s="2" t="s">
        <v>207</v>
      </c>
    </row>
    <row r="125" spans="1:9">
      <c r="B125" s="2" t="s">
        <v>327</v>
      </c>
      <c r="F125" s="49">
        <f>G123*25%</f>
        <v>98532166.25</v>
      </c>
      <c r="H125" s="48" t="s">
        <v>156</v>
      </c>
    </row>
    <row r="126" spans="1:9">
      <c r="C126" s="2" t="s">
        <v>328</v>
      </c>
      <c r="G126" s="48">
        <f>F125</f>
        <v>98532166.25</v>
      </c>
    </row>
    <row r="127" spans="1:9">
      <c r="C127" s="2" t="s">
        <v>255</v>
      </c>
      <c r="G127" s="48">
        <f>G126*49%</f>
        <v>48280761.462499999</v>
      </c>
    </row>
    <row r="128" spans="1:9">
      <c r="C128" s="2" t="s">
        <v>256</v>
      </c>
      <c r="G128" s="48">
        <f>G126*51%</f>
        <v>50251404.787500001</v>
      </c>
    </row>
    <row r="130" spans="1:8">
      <c r="A130" s="2" t="s">
        <v>280</v>
      </c>
    </row>
    <row r="131" spans="1:8">
      <c r="B131" s="2" t="s">
        <v>281</v>
      </c>
      <c r="F131" s="49">
        <v>200300425</v>
      </c>
    </row>
    <row r="132" spans="1:8">
      <c r="B132" s="2" t="s">
        <v>282</v>
      </c>
      <c r="F132" s="49">
        <f>F121</f>
        <v>594429090</v>
      </c>
    </row>
    <row r="133" spans="1:8">
      <c r="B133" s="2" t="s">
        <v>283</v>
      </c>
    </row>
    <row r="134" spans="1:8">
      <c r="B134" s="2" t="s">
        <v>284</v>
      </c>
      <c r="F134" s="49">
        <f>F131/5/12*2</f>
        <v>6676680.833333333</v>
      </c>
    </row>
    <row r="135" spans="1:8">
      <c r="B135" s="2" t="s">
        <v>285</v>
      </c>
      <c r="F135" s="49">
        <f>F132/5/12*2</f>
        <v>19814303</v>
      </c>
    </row>
    <row r="136" spans="1:8">
      <c r="B136" s="2" t="s">
        <v>286</v>
      </c>
      <c r="F136" s="49">
        <f>F135-F134</f>
        <v>13137622.166666668</v>
      </c>
      <c r="H136" s="48" t="s">
        <v>156</v>
      </c>
    </row>
    <row r="137" spans="1:8">
      <c r="B137" s="2" t="s">
        <v>220</v>
      </c>
      <c r="F137" s="49">
        <f>F136</f>
        <v>13137622.166666668</v>
      </c>
    </row>
    <row r="138" spans="1:8">
      <c r="C138" s="2" t="s">
        <v>289</v>
      </c>
      <c r="G138" s="48">
        <f>F137</f>
        <v>13137622.166666668</v>
      </c>
    </row>
    <row r="139" spans="1:8">
      <c r="B139" s="2" t="s">
        <v>290</v>
      </c>
      <c r="C139" s="2" t="s">
        <v>291</v>
      </c>
    </row>
    <row r="140" spans="1:8">
      <c r="C140" s="2" t="s">
        <v>257</v>
      </c>
      <c r="G140" s="48">
        <f>G138*51%</f>
        <v>6700187.3050000006</v>
      </c>
      <c r="H140" s="48" t="s">
        <v>156</v>
      </c>
    </row>
    <row r="141" spans="1:8">
      <c r="C141" s="2" t="s">
        <v>258</v>
      </c>
      <c r="G141" s="48">
        <f>G138*49%</f>
        <v>6437434.8616666673</v>
      </c>
    </row>
    <row r="143" spans="1:8">
      <c r="B143" s="2" t="s">
        <v>287</v>
      </c>
    </row>
    <row r="144" spans="1:8">
      <c r="B144" s="2" t="s">
        <v>292</v>
      </c>
      <c r="F144" s="49">
        <f>F137*25%</f>
        <v>3284405.541666667</v>
      </c>
      <c r="H144" s="48" t="s">
        <v>156</v>
      </c>
    </row>
    <row r="145" spans="1:8">
      <c r="C145" s="2" t="s">
        <v>293</v>
      </c>
      <c r="G145" s="48">
        <f>F144</f>
        <v>3284405.541666667</v>
      </c>
    </row>
    <row r="146" spans="1:8">
      <c r="C146" s="2" t="s">
        <v>257</v>
      </c>
      <c r="G146" s="48">
        <f>G145*51%</f>
        <v>1675046.8262500002</v>
      </c>
    </row>
    <row r="147" spans="1:8">
      <c r="C147" s="2" t="s">
        <v>258</v>
      </c>
      <c r="G147" s="48">
        <f>G145*49%</f>
        <v>1609358.7154166668</v>
      </c>
    </row>
    <row r="149" spans="1:8">
      <c r="A149" s="60" t="s">
        <v>208</v>
      </c>
      <c r="B149" s="60"/>
      <c r="C149" s="60"/>
      <c r="D149" s="60"/>
      <c r="E149" s="65"/>
      <c r="F149" s="65"/>
      <c r="G149" s="61"/>
    </row>
    <row r="150" spans="1:8">
      <c r="B150" s="2" t="s">
        <v>294</v>
      </c>
      <c r="F150" s="49">
        <v>123531818</v>
      </c>
      <c r="H150" s="48" t="s">
        <v>156</v>
      </c>
    </row>
    <row r="151" spans="1:8">
      <c r="C151" s="2" t="s">
        <v>205</v>
      </c>
      <c r="G151" s="48">
        <v>123531818</v>
      </c>
      <c r="H151" s="48">
        <v>177013255</v>
      </c>
    </row>
    <row r="152" spans="1:8">
      <c r="C152" s="2" t="s">
        <v>206</v>
      </c>
      <c r="G152" s="48">
        <f>F150-G151</f>
        <v>0</v>
      </c>
    </row>
    <row r="153" spans="1:8">
      <c r="B153" s="2" t="s">
        <v>259</v>
      </c>
    </row>
    <row r="154" spans="1:8">
      <c r="A154" s="2" t="s">
        <v>207</v>
      </c>
    </row>
    <row r="155" spans="1:8">
      <c r="B155" s="2" t="s">
        <v>292</v>
      </c>
      <c r="F155" s="49">
        <f>G152*25%</f>
        <v>0</v>
      </c>
    </row>
    <row r="156" spans="1:8">
      <c r="C156" s="2" t="s">
        <v>293</v>
      </c>
      <c r="G156" s="48">
        <f>F155</f>
        <v>0</v>
      </c>
    </row>
    <row r="158" spans="1:8">
      <c r="A158" s="2" t="s">
        <v>295</v>
      </c>
    </row>
    <row r="159" spans="1:8">
      <c r="B159" s="2" t="s">
        <v>204</v>
      </c>
      <c r="F159" s="49">
        <v>1446363636</v>
      </c>
      <c r="H159" s="48" t="s">
        <v>156</v>
      </c>
    </row>
    <row r="160" spans="1:8">
      <c r="C160" s="2" t="s">
        <v>205</v>
      </c>
      <c r="G160" s="48">
        <v>1340209663</v>
      </c>
    </row>
    <row r="161" spans="1:10">
      <c r="C161" s="2" t="s">
        <v>296</v>
      </c>
      <c r="G161" s="48">
        <f>F159-G160</f>
        <v>106153973</v>
      </c>
    </row>
    <row r="162" spans="1:10">
      <c r="C162" s="2" t="s">
        <v>257</v>
      </c>
      <c r="G162" s="48">
        <f>G161*51%</f>
        <v>54138526.230000004</v>
      </c>
    </row>
    <row r="163" spans="1:10">
      <c r="C163" s="2" t="s">
        <v>260</v>
      </c>
      <c r="G163" s="48">
        <f>G161*49%</f>
        <v>52015446.769999996</v>
      </c>
    </row>
    <row r="164" spans="1:10">
      <c r="A164" s="2" t="s">
        <v>207</v>
      </c>
    </row>
    <row r="165" spans="1:10">
      <c r="B165" s="2" t="s">
        <v>292</v>
      </c>
      <c r="F165" s="49">
        <f>G161*25%</f>
        <v>26538493.25</v>
      </c>
      <c r="H165" s="48" t="s">
        <v>261</v>
      </c>
    </row>
    <row r="166" spans="1:10">
      <c r="C166" s="2" t="s">
        <v>293</v>
      </c>
      <c r="G166" s="48">
        <f>F165</f>
        <v>26538493.25</v>
      </c>
    </row>
    <row r="167" spans="1:10">
      <c r="C167" s="2" t="s">
        <v>257</v>
      </c>
      <c r="G167" s="48">
        <f>G166*51%</f>
        <v>13534631.557500001</v>
      </c>
      <c r="H167" s="48" t="s">
        <v>156</v>
      </c>
    </row>
    <row r="168" spans="1:10">
      <c r="C168" s="2" t="s">
        <v>260</v>
      </c>
      <c r="G168" s="48">
        <f>G166*49%</f>
        <v>13003861.692499999</v>
      </c>
    </row>
    <row r="170" spans="1:10" s="9" customFormat="1">
      <c r="B170" s="9" t="s">
        <v>281</v>
      </c>
      <c r="E170" s="66"/>
      <c r="F170" s="66">
        <f>G160</f>
        <v>1340209663</v>
      </c>
      <c r="G170" s="52"/>
      <c r="H170" s="52"/>
      <c r="I170" s="62"/>
      <c r="J170" s="52"/>
    </row>
    <row r="171" spans="1:10" s="9" customFormat="1">
      <c r="B171" s="9" t="s">
        <v>298</v>
      </c>
      <c r="E171" s="66"/>
      <c r="F171" s="66">
        <f>F159</f>
        <v>1446363636</v>
      </c>
      <c r="G171" s="52"/>
      <c r="H171" s="52"/>
      <c r="I171" s="62"/>
      <c r="J171" s="52"/>
    </row>
    <row r="172" spans="1:10" s="9" customFormat="1">
      <c r="B172" s="9" t="s">
        <v>221</v>
      </c>
      <c r="E172" s="66" t="s">
        <v>253</v>
      </c>
      <c r="F172" s="66"/>
      <c r="G172" s="52"/>
      <c r="H172" s="52"/>
      <c r="I172" s="62"/>
      <c r="J172" s="52"/>
    </row>
    <row r="173" spans="1:10" s="9" customFormat="1">
      <c r="B173" s="9" t="s">
        <v>284</v>
      </c>
      <c r="E173" s="66"/>
      <c r="F173" s="66"/>
      <c r="G173" s="52"/>
      <c r="H173" s="52"/>
      <c r="I173" s="62"/>
      <c r="J173" s="52"/>
    </row>
    <row r="174" spans="1:10" s="9" customFormat="1">
      <c r="B174" s="9" t="s">
        <v>299</v>
      </c>
      <c r="E174" s="66"/>
      <c r="F174" s="66"/>
      <c r="G174" s="52"/>
      <c r="H174" s="52"/>
      <c r="I174" s="62"/>
      <c r="J174" s="52"/>
    </row>
    <row r="175" spans="1:10" s="9" customFormat="1">
      <c r="B175" s="9" t="s">
        <v>286</v>
      </c>
      <c r="E175" s="66"/>
      <c r="F175" s="66"/>
      <c r="G175" s="52"/>
      <c r="H175" s="52"/>
      <c r="I175" s="62"/>
      <c r="J175" s="52"/>
    </row>
    <row r="176" spans="1:10" s="9" customFormat="1">
      <c r="B176" s="9" t="s">
        <v>288</v>
      </c>
      <c r="E176" s="66"/>
      <c r="F176" s="66"/>
      <c r="G176" s="52"/>
      <c r="H176" s="52"/>
      <c r="I176" s="62"/>
      <c r="J176" s="52"/>
    </row>
    <row r="177" spans="1:10" s="9" customFormat="1">
      <c r="C177" s="9" t="s">
        <v>289</v>
      </c>
      <c r="E177" s="66"/>
      <c r="F177" s="66"/>
      <c r="G177" s="52"/>
      <c r="H177" s="52"/>
      <c r="I177" s="62"/>
      <c r="J177" s="52"/>
    </row>
    <row r="178" spans="1:10" s="9" customFormat="1">
      <c r="B178" s="9" t="s">
        <v>290</v>
      </c>
      <c r="C178" s="9" t="s">
        <v>291</v>
      </c>
      <c r="E178" s="66"/>
      <c r="F178" s="66"/>
      <c r="G178" s="52"/>
      <c r="H178" s="52"/>
      <c r="I178" s="62"/>
      <c r="J178" s="52"/>
    </row>
    <row r="179" spans="1:10" s="9" customFormat="1">
      <c r="E179" s="66"/>
      <c r="F179" s="66"/>
      <c r="G179" s="52"/>
      <c r="H179" s="52"/>
      <c r="I179" s="62"/>
      <c r="J179" s="52"/>
    </row>
    <row r="180" spans="1:10" s="9" customFormat="1">
      <c r="B180" s="9" t="s">
        <v>287</v>
      </c>
      <c r="E180" s="66"/>
      <c r="F180" s="66"/>
      <c r="G180" s="52"/>
      <c r="H180" s="52"/>
      <c r="I180" s="62"/>
      <c r="J180" s="52"/>
    </row>
    <row r="181" spans="1:10" s="9" customFormat="1">
      <c r="B181" s="9" t="s">
        <v>292</v>
      </c>
      <c r="E181" s="66"/>
      <c r="F181" s="66"/>
      <c r="G181" s="52"/>
      <c r="H181" s="52"/>
      <c r="I181" s="62"/>
      <c r="J181" s="52"/>
    </row>
    <row r="182" spans="1:10" s="9" customFormat="1">
      <c r="C182" s="9" t="s">
        <v>293</v>
      </c>
      <c r="E182" s="66"/>
      <c r="F182" s="66"/>
      <c r="G182" s="52"/>
      <c r="H182" s="52"/>
      <c r="I182" s="62"/>
      <c r="J182" s="52"/>
    </row>
    <row r="184" spans="1:10">
      <c r="A184" s="2" t="s">
        <v>187</v>
      </c>
    </row>
    <row r="185" spans="1:10">
      <c r="B185" s="2" t="s">
        <v>313</v>
      </c>
      <c r="E185" s="49">
        <f>F186</f>
        <v>22729714300</v>
      </c>
      <c r="G185" s="48" t="s">
        <v>156</v>
      </c>
    </row>
    <row r="186" spans="1:10">
      <c r="C186" s="2" t="s">
        <v>314</v>
      </c>
      <c r="F186" s="49">
        <v>22729714300</v>
      </c>
    </row>
    <row r="188" spans="1:10">
      <c r="A188" s="58" t="s">
        <v>210</v>
      </c>
      <c r="B188" s="58"/>
      <c r="C188" s="58"/>
      <c r="D188" s="58"/>
      <c r="E188" s="63"/>
      <c r="F188" s="63"/>
      <c r="G188" s="53"/>
      <c r="H188" s="53"/>
      <c r="I188" s="55"/>
    </row>
    <row r="189" spans="1:10">
      <c r="A189" s="2" t="s">
        <v>211</v>
      </c>
      <c r="C189" s="59">
        <v>1</v>
      </c>
      <c r="D189" s="7" t="s">
        <v>263</v>
      </c>
    </row>
    <row r="191" spans="1:10">
      <c r="B191" s="2" t="s">
        <v>264</v>
      </c>
      <c r="D191" s="48">
        <v>37200000000</v>
      </c>
      <c r="G191" s="48" t="s">
        <v>156</v>
      </c>
    </row>
    <row r="192" spans="1:10">
      <c r="C192" s="2" t="s">
        <v>265</v>
      </c>
      <c r="D192" s="48"/>
      <c r="E192" s="49">
        <f>D191</f>
        <v>37200000000</v>
      </c>
    </row>
    <row r="194" spans="1:10">
      <c r="A194" s="2" t="s">
        <v>297</v>
      </c>
    </row>
    <row r="195" spans="1:10" s="9" customFormat="1">
      <c r="A195" s="9" t="s">
        <v>315</v>
      </c>
      <c r="E195" s="66"/>
      <c r="F195" s="66"/>
      <c r="G195" s="52"/>
      <c r="H195" s="52"/>
      <c r="I195" s="62"/>
      <c r="J195" s="52"/>
    </row>
    <row r="196" spans="1:10" s="9" customFormat="1">
      <c r="B196" s="9" t="s">
        <v>316</v>
      </c>
      <c r="E196" s="66">
        <v>445497273</v>
      </c>
      <c r="F196" s="66"/>
      <c r="G196" s="52"/>
      <c r="H196" s="52"/>
      <c r="I196" s="62"/>
      <c r="J196" s="52"/>
    </row>
    <row r="197" spans="1:10" s="9" customFormat="1">
      <c r="B197" s="9" t="s">
        <v>222</v>
      </c>
      <c r="E197" s="66">
        <v>191547711</v>
      </c>
      <c r="F197" s="66"/>
      <c r="G197" s="52"/>
      <c r="H197" s="52"/>
      <c r="I197" s="62"/>
      <c r="J197" s="52"/>
    </row>
    <row r="198" spans="1:10" s="9" customFormat="1">
      <c r="B198" s="9" t="s">
        <v>317</v>
      </c>
      <c r="E198" s="66">
        <v>300000000</v>
      </c>
      <c r="F198" s="66" t="s">
        <v>239</v>
      </c>
      <c r="G198" s="52"/>
      <c r="H198" s="52">
        <f>E196+E252</f>
        <v>1512954909</v>
      </c>
      <c r="I198" s="62"/>
      <c r="J198" s="52"/>
    </row>
    <row r="199" spans="1:10" s="9" customFormat="1">
      <c r="B199" s="9" t="s">
        <v>318</v>
      </c>
      <c r="E199" s="66"/>
      <c r="F199" s="66"/>
      <c r="G199" s="52"/>
      <c r="H199" s="52"/>
      <c r="I199" s="62"/>
      <c r="J199" s="52"/>
    </row>
    <row r="200" spans="1:10" s="9" customFormat="1">
      <c r="A200" s="9" t="s">
        <v>325</v>
      </c>
      <c r="B200" s="9" t="s">
        <v>319</v>
      </c>
      <c r="E200" s="66"/>
      <c r="F200" s="66"/>
      <c r="G200" s="52"/>
      <c r="H200" s="52"/>
      <c r="I200" s="62"/>
      <c r="J200" s="52"/>
    </row>
    <row r="201" spans="1:10" s="9" customFormat="1">
      <c r="B201" s="9" t="s">
        <v>240</v>
      </c>
      <c r="E201" s="66">
        <f>E196-E198-3000</f>
        <v>145494273</v>
      </c>
      <c r="F201" s="66"/>
      <c r="G201" s="52" t="s">
        <v>156</v>
      </c>
      <c r="H201" s="52"/>
      <c r="I201" s="62"/>
      <c r="J201" s="52"/>
    </row>
    <row r="202" spans="1:10" s="9" customFormat="1">
      <c r="B202" s="9" t="s">
        <v>242</v>
      </c>
      <c r="E202" s="66">
        <f>F205-E201</f>
        <v>46053438</v>
      </c>
      <c r="F202" s="66"/>
      <c r="G202" s="52"/>
      <c r="H202" s="52"/>
      <c r="I202" s="62"/>
      <c r="J202" s="52"/>
    </row>
    <row r="203" spans="1:10" s="9" customFormat="1">
      <c r="B203" s="9" t="s">
        <v>257</v>
      </c>
      <c r="E203" s="66">
        <f>E202*51%</f>
        <v>23487253.379999999</v>
      </c>
      <c r="F203" s="66"/>
      <c r="G203" s="52" t="s">
        <v>156</v>
      </c>
      <c r="H203" s="52"/>
      <c r="I203" s="62"/>
      <c r="J203" s="52"/>
    </row>
    <row r="204" spans="1:10" s="9" customFormat="1">
      <c r="B204" s="9" t="s">
        <v>262</v>
      </c>
      <c r="E204" s="66">
        <f>E202*49%</f>
        <v>22566184.620000001</v>
      </c>
      <c r="F204" s="66"/>
      <c r="G204" s="52"/>
      <c r="H204" s="52"/>
      <c r="I204" s="62"/>
      <c r="J204" s="52"/>
    </row>
    <row r="205" spans="1:10" s="9" customFormat="1">
      <c r="C205" s="9" t="s">
        <v>241</v>
      </c>
      <c r="E205" s="66"/>
      <c r="F205" s="66">
        <f>E197</f>
        <v>191547711</v>
      </c>
      <c r="G205" s="52"/>
      <c r="H205" s="52"/>
      <c r="I205" s="62"/>
      <c r="J205" s="52"/>
    </row>
    <row r="206" spans="1:10" s="9" customFormat="1">
      <c r="A206" s="9" t="s">
        <v>320</v>
      </c>
      <c r="E206" s="66"/>
      <c r="F206" s="66"/>
      <c r="G206" s="52"/>
      <c r="H206" s="52"/>
      <c r="I206" s="62"/>
      <c r="J206" s="52"/>
    </row>
    <row r="207" spans="1:10" s="9" customFormat="1">
      <c r="B207" s="9" t="s">
        <v>321</v>
      </c>
      <c r="D207" s="69" t="s">
        <v>243</v>
      </c>
      <c r="E207" s="66"/>
      <c r="F207" s="66"/>
      <c r="G207" s="52"/>
      <c r="H207" s="52"/>
      <c r="I207" s="62"/>
      <c r="J207" s="52"/>
    </row>
    <row r="208" spans="1:10" s="9" customFormat="1">
      <c r="B208" s="9" t="s">
        <v>244</v>
      </c>
      <c r="D208" s="69"/>
      <c r="E208" s="66">
        <f>E196/7/12*2.5</f>
        <v>13258847.410714287</v>
      </c>
      <c r="F208" s="66"/>
      <c r="G208" s="52"/>
      <c r="H208" s="52"/>
      <c r="I208" s="62"/>
      <c r="J208" s="52"/>
    </row>
    <row r="209" spans="1:10" s="9" customFormat="1">
      <c r="B209" s="9" t="s">
        <v>322</v>
      </c>
      <c r="D209" s="69" t="s">
        <v>243</v>
      </c>
      <c r="E209" s="66"/>
      <c r="F209" s="66"/>
      <c r="G209" s="52"/>
      <c r="H209" s="52"/>
      <c r="I209" s="62"/>
      <c r="J209" s="52"/>
    </row>
    <row r="210" spans="1:10" s="9" customFormat="1">
      <c r="B210" s="9" t="s">
        <v>245</v>
      </c>
      <c r="E210" s="66">
        <v>8986176</v>
      </c>
      <c r="F210" s="66"/>
      <c r="G210" s="52"/>
      <c r="H210" s="52"/>
      <c r="I210" s="62"/>
      <c r="J210" s="52"/>
    </row>
    <row r="211" spans="1:10" s="9" customFormat="1">
      <c r="B211" s="9" t="s">
        <v>323</v>
      </c>
      <c r="E211" s="66">
        <f>E208-E210</f>
        <v>4272671.4107142873</v>
      </c>
      <c r="F211" s="66"/>
      <c r="G211" s="52"/>
      <c r="H211" s="52"/>
      <c r="I211" s="62"/>
      <c r="J211" s="52"/>
    </row>
    <row r="212" spans="1:10" s="9" customFormat="1">
      <c r="B212" s="9" t="s">
        <v>324</v>
      </c>
      <c r="E212" s="66"/>
      <c r="F212" s="66"/>
      <c r="G212" s="52"/>
      <c r="H212" s="52"/>
      <c r="I212" s="62"/>
      <c r="J212" s="52"/>
    </row>
    <row r="213" spans="1:10" s="9" customFormat="1">
      <c r="A213" s="9" t="s">
        <v>325</v>
      </c>
      <c r="B213" s="9" t="s">
        <v>246</v>
      </c>
      <c r="E213" s="66"/>
      <c r="F213" s="66"/>
      <c r="G213" s="52"/>
      <c r="H213" s="52"/>
      <c r="I213" s="62"/>
      <c r="J213" s="52"/>
    </row>
    <row r="214" spans="1:10" s="9" customFormat="1">
      <c r="B214" s="9" t="s">
        <v>247</v>
      </c>
      <c r="E214" s="66">
        <f>E211</f>
        <v>4272671.4107142873</v>
      </c>
      <c r="F214" s="66"/>
      <c r="G214" s="52" t="s">
        <v>156</v>
      </c>
      <c r="H214" s="52"/>
      <c r="I214" s="62"/>
      <c r="J214" s="52"/>
    </row>
    <row r="215" spans="1:10">
      <c r="C215" s="2" t="s">
        <v>241</v>
      </c>
      <c r="F215" s="49">
        <f>E214</f>
        <v>4272671.4107142873</v>
      </c>
    </row>
    <row r="216" spans="1:10">
      <c r="B216" s="2" t="s">
        <v>193</v>
      </c>
    </row>
    <row r="217" spans="1:10">
      <c r="A217" s="58" t="s">
        <v>266</v>
      </c>
      <c r="B217" s="58"/>
      <c r="C217" s="58"/>
      <c r="D217" s="58"/>
      <c r="E217" s="63"/>
      <c r="F217" s="63"/>
      <c r="G217" s="53"/>
      <c r="H217" s="53"/>
      <c r="I217" s="55"/>
    </row>
    <row r="219" spans="1:10">
      <c r="A219" s="2" t="s">
        <v>171</v>
      </c>
    </row>
    <row r="221" spans="1:10" ht="30">
      <c r="D221" s="10" t="s">
        <v>510</v>
      </c>
      <c r="E221" s="64" t="s">
        <v>451</v>
      </c>
      <c r="F221" s="64" t="s">
        <v>479</v>
      </c>
      <c r="G221" s="54" t="s">
        <v>174</v>
      </c>
      <c r="H221" s="54" t="s">
        <v>209</v>
      </c>
      <c r="I221" s="57" t="s">
        <v>508</v>
      </c>
    </row>
    <row r="222" spans="1:10">
      <c r="D222" s="48" t="e">
        <f>'Ban CDKT'!#REF!</f>
        <v>#REF!</v>
      </c>
      <c r="E222" s="49" t="e">
        <f>'Ban CDKT'!#REF!</f>
        <v>#REF!</v>
      </c>
      <c r="F222" s="49" t="e">
        <f>'Ban CDKT'!#REF!</f>
        <v>#REF!</v>
      </c>
      <c r="G222" s="48" t="e">
        <f>'Ban CDKT'!#REF!</f>
        <v>#REF!</v>
      </c>
      <c r="H222" s="48" t="e">
        <f>'Ban CDKT'!#REF!</f>
        <v>#REF!</v>
      </c>
      <c r="I222" s="56" t="e">
        <f>SUM(D222:H222)</f>
        <v>#REF!</v>
      </c>
    </row>
    <row r="223" spans="1:10">
      <c r="A223" s="2" t="s">
        <v>172</v>
      </c>
      <c r="C223" s="59">
        <v>0.51</v>
      </c>
      <c r="D223" s="48" t="e">
        <f>D222*$C$223</f>
        <v>#REF!</v>
      </c>
      <c r="E223" s="49" t="e">
        <f>E222*$C$223</f>
        <v>#REF!</v>
      </c>
      <c r="F223" s="49" t="e">
        <f>F222*$C$223</f>
        <v>#REF!</v>
      </c>
      <c r="G223" s="48" t="e">
        <f>$G$222*$C$223</f>
        <v>#REF!</v>
      </c>
      <c r="H223" s="48" t="e">
        <f>H222*$C$223</f>
        <v>#REF!</v>
      </c>
      <c r="I223" s="56" t="e">
        <f>SUM(D223:H223)</f>
        <v>#REF!</v>
      </c>
    </row>
    <row r="224" spans="1:10">
      <c r="A224" s="2" t="s">
        <v>173</v>
      </c>
      <c r="C224" s="59">
        <v>0.49</v>
      </c>
      <c r="D224" s="48" t="e">
        <f>D222*C224</f>
        <v>#REF!</v>
      </c>
      <c r="E224" s="49" t="e">
        <f>E222*D224</f>
        <v>#REF!</v>
      </c>
      <c r="F224" s="49" t="e">
        <f>F222*E224</f>
        <v>#REF!</v>
      </c>
      <c r="G224" s="48" t="e">
        <f>$G$222*$C$224</f>
        <v>#REF!</v>
      </c>
      <c r="H224" s="48" t="e">
        <f>H222*G224</f>
        <v>#REF!</v>
      </c>
      <c r="I224" s="56" t="e">
        <f>SUM(D224:H224)</f>
        <v>#REF!</v>
      </c>
    </row>
    <row r="226" spans="1:7">
      <c r="B226" s="2" t="s">
        <v>300</v>
      </c>
      <c r="E226" s="49" t="e">
        <f>D222</f>
        <v>#REF!</v>
      </c>
      <c r="G226" s="48" t="s">
        <v>156</v>
      </c>
    </row>
    <row r="227" spans="1:7">
      <c r="C227" s="2" t="s">
        <v>301</v>
      </c>
      <c r="F227" s="49" t="e">
        <f>D223</f>
        <v>#REF!</v>
      </c>
    </row>
    <row r="228" spans="1:7">
      <c r="C228" s="2" t="s">
        <v>276</v>
      </c>
      <c r="F228" s="49" t="e">
        <f>D224</f>
        <v>#REF!</v>
      </c>
    </row>
    <row r="230" spans="1:7">
      <c r="B230" s="2" t="s">
        <v>302</v>
      </c>
      <c r="E230" s="49" t="e">
        <f>G223</f>
        <v>#REF!</v>
      </c>
      <c r="G230" s="48" t="s">
        <v>156</v>
      </c>
    </row>
    <row r="231" spans="1:7">
      <c r="C231" s="2" t="s">
        <v>275</v>
      </c>
      <c r="F231" s="49" t="e">
        <f>E230</f>
        <v>#REF!</v>
      </c>
    </row>
    <row r="233" spans="1:7">
      <c r="A233" s="2" t="s">
        <v>175</v>
      </c>
      <c r="D233" s="48" t="e">
        <f>'BC KQKD'!#REF!</f>
        <v>#REF!</v>
      </c>
    </row>
    <row r="234" spans="1:7">
      <c r="A234" s="2" t="s">
        <v>176</v>
      </c>
    </row>
    <row r="235" spans="1:7">
      <c r="A235" s="2" t="s">
        <v>177</v>
      </c>
      <c r="D235" s="48" t="e">
        <f>D233*C223</f>
        <v>#REF!</v>
      </c>
      <c r="G235" s="48" t="s">
        <v>156</v>
      </c>
    </row>
    <row r="236" spans="1:7">
      <c r="A236" s="2" t="s">
        <v>178</v>
      </c>
      <c r="D236" s="48" t="e">
        <f>D233*C224</f>
        <v>#REF!</v>
      </c>
    </row>
    <row r="237" spans="1:7">
      <c r="B237" s="2" t="s">
        <v>303</v>
      </c>
      <c r="F237" s="49" t="e">
        <f>D236</f>
        <v>#REF!</v>
      </c>
    </row>
    <row r="239" spans="1:7">
      <c r="A239" s="2" t="s">
        <v>267</v>
      </c>
    </row>
    <row r="240" spans="1:7">
      <c r="A240" s="2" t="s">
        <v>268</v>
      </c>
    </row>
    <row r="241" spans="1:7">
      <c r="B241" s="2" t="s">
        <v>269</v>
      </c>
      <c r="E241" s="49">
        <v>4271548662</v>
      </c>
      <c r="G241" s="48" t="s">
        <v>156</v>
      </c>
    </row>
    <row r="242" spans="1:7">
      <c r="C242" s="2" t="s">
        <v>270</v>
      </c>
      <c r="F242" s="49">
        <v>4271548662</v>
      </c>
      <c r="G242" s="48">
        <v>-3928258330</v>
      </c>
    </row>
    <row r="243" spans="1:7">
      <c r="C243" s="2" t="s">
        <v>271</v>
      </c>
      <c r="F243" s="49">
        <f>E241-F242</f>
        <v>0</v>
      </c>
    </row>
    <row r="244" spans="1:7">
      <c r="B244" s="2" t="s">
        <v>194</v>
      </c>
    </row>
    <row r="245" spans="1:7">
      <c r="A245" s="2" t="s">
        <v>304</v>
      </c>
    </row>
    <row r="246" spans="1:7">
      <c r="B246" s="2" t="s">
        <v>305</v>
      </c>
      <c r="E246" s="49">
        <f>F243*25%</f>
        <v>0</v>
      </c>
    </row>
    <row r="247" spans="1:7">
      <c r="C247" s="2" t="s">
        <v>306</v>
      </c>
      <c r="F247" s="49">
        <f>E246</f>
        <v>0</v>
      </c>
    </row>
    <row r="248" spans="1:7">
      <c r="B248" s="2" t="s">
        <v>237</v>
      </c>
      <c r="F248" s="49">
        <f>F243*49%</f>
        <v>0</v>
      </c>
    </row>
    <row r="249" spans="1:7">
      <c r="B249" s="2" t="s">
        <v>238</v>
      </c>
      <c r="F249" s="49">
        <f>F243*51%</f>
        <v>0</v>
      </c>
    </row>
    <row r="251" spans="1:7">
      <c r="A251" s="2" t="s">
        <v>223</v>
      </c>
    </row>
    <row r="252" spans="1:7">
      <c r="B252" s="2" t="s">
        <v>224</v>
      </c>
      <c r="E252" s="49">
        <v>1067457636</v>
      </c>
    </row>
    <row r="253" spans="1:7">
      <c r="B253" s="2" t="s">
        <v>225</v>
      </c>
      <c r="E253" s="49">
        <v>279713436</v>
      </c>
    </row>
    <row r="254" spans="1:7">
      <c r="B254" s="2" t="s">
        <v>226</v>
      </c>
    </row>
    <row r="255" spans="1:7">
      <c r="B255" s="2" t="s">
        <v>227</v>
      </c>
      <c r="E255" s="49">
        <f>E252/9</f>
        <v>118606404</v>
      </c>
      <c r="F255" s="49">
        <f>E255/12*11</f>
        <v>108722537</v>
      </c>
    </row>
    <row r="256" spans="1:7">
      <c r="B256" s="2" t="s">
        <v>228</v>
      </c>
    </row>
    <row r="257" spans="1:7">
      <c r="B257" s="2" t="s">
        <v>229</v>
      </c>
      <c r="E257" s="49">
        <v>800000000</v>
      </c>
    </row>
    <row r="258" spans="1:7">
      <c r="B258" s="2" t="s">
        <v>230</v>
      </c>
      <c r="D258" s="2" t="s">
        <v>251</v>
      </c>
      <c r="F258" s="70">
        <v>40180</v>
      </c>
      <c r="G258" s="70"/>
    </row>
    <row r="259" spans="1:7">
      <c r="B259" s="2" t="s">
        <v>252</v>
      </c>
      <c r="F259" s="49">
        <f>E257/8/12*11</f>
        <v>91666666.666666657</v>
      </c>
    </row>
    <row r="261" spans="1:7">
      <c r="A261" s="2" t="s">
        <v>231</v>
      </c>
    </row>
    <row r="262" spans="1:7">
      <c r="B262" s="60" t="s">
        <v>232</v>
      </c>
    </row>
    <row r="263" spans="1:7">
      <c r="B263" s="2" t="s">
        <v>233</v>
      </c>
      <c r="E263" s="49">
        <f>E252-E257</f>
        <v>267457636</v>
      </c>
      <c r="G263" s="48" t="s">
        <v>156</v>
      </c>
    </row>
    <row r="264" spans="1:7">
      <c r="B264" s="2" t="s">
        <v>234</v>
      </c>
      <c r="E264" s="49">
        <f>F265-E263</f>
        <v>12255800</v>
      </c>
    </row>
    <row r="265" spans="1:7">
      <c r="C265" s="2" t="s">
        <v>235</v>
      </c>
      <c r="F265" s="49">
        <f>E253</f>
        <v>279713436</v>
      </c>
    </row>
    <row r="266" spans="1:7">
      <c r="B266" s="2" t="s">
        <v>236</v>
      </c>
    </row>
    <row r="267" spans="1:7">
      <c r="B267" s="2" t="s">
        <v>247</v>
      </c>
      <c r="E267" s="49">
        <f>F268</f>
        <v>17055870.333333343</v>
      </c>
      <c r="G267" s="48" t="s">
        <v>156</v>
      </c>
    </row>
    <row r="268" spans="1:7">
      <c r="C268" s="2" t="s">
        <v>241</v>
      </c>
      <c r="F268" s="49">
        <f>F255-F259</f>
        <v>17055870.333333343</v>
      </c>
    </row>
    <row r="271" spans="1:7">
      <c r="B271" s="2" t="s">
        <v>314</v>
      </c>
      <c r="E271" s="49">
        <f>F272+F273</f>
        <v>1583394369</v>
      </c>
      <c r="G271" s="48" t="s">
        <v>156</v>
      </c>
    </row>
    <row r="272" spans="1:7">
      <c r="C272" s="2" t="s">
        <v>217</v>
      </c>
      <c r="F272" s="49">
        <v>1429394369</v>
      </c>
    </row>
    <row r="273" spans="1:8">
      <c r="F273" s="49">
        <v>154000000</v>
      </c>
    </row>
    <row r="275" spans="1:8">
      <c r="A275" s="92"/>
      <c r="B275" s="92"/>
      <c r="C275" s="92"/>
      <c r="D275" s="92"/>
      <c r="E275" s="93"/>
      <c r="F275" s="93"/>
      <c r="G275" s="94"/>
      <c r="H275" s="94"/>
    </row>
    <row r="276" spans="1:8">
      <c r="A276" s="2" t="s">
        <v>264</v>
      </c>
      <c r="E276" s="49">
        <f>F277+F278</f>
        <v>46603685126</v>
      </c>
      <c r="G276" s="48" t="s">
        <v>156</v>
      </c>
    </row>
    <row r="277" spans="1:8">
      <c r="B277" s="2" t="s">
        <v>198</v>
      </c>
      <c r="F277" s="49">
        <v>43536000000</v>
      </c>
    </row>
    <row r="278" spans="1:8">
      <c r="B278" s="2" t="s">
        <v>275</v>
      </c>
      <c r="F278" s="49">
        <v>3067685126</v>
      </c>
    </row>
  </sheetData>
  <phoneticPr fontId="57" type="noConversion"/>
  <pageMargins left="0.70866141732283472" right="0.17" top="0.5" bottom="0.48"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3"/>
  <sheetViews>
    <sheetView view="pageBreakPreview" zoomScale="110" zoomScaleNormal="100" zoomScaleSheetLayoutView="110" workbookViewId="0">
      <selection activeCell="L10" sqref="L1:R1048576"/>
    </sheetView>
  </sheetViews>
  <sheetFormatPr defaultColWidth="9" defaultRowHeight="15.75"/>
  <cols>
    <col min="1" max="1" width="3.125" style="116" customWidth="1"/>
    <col min="2" max="2" width="0.25" style="116" customWidth="1"/>
    <col min="3" max="3" width="40.125" style="116" customWidth="1"/>
    <col min="4" max="4" width="0.25" style="116" customWidth="1"/>
    <col min="5" max="5" width="4.625" style="116" customWidth="1"/>
    <col min="6" max="6" width="0.25" style="116" customWidth="1"/>
    <col min="7" max="7" width="2.375" style="116" customWidth="1"/>
    <col min="8" max="8" width="0.25" style="116" customWidth="1"/>
    <col min="9" max="9" width="14.625" style="576" customWidth="1"/>
    <col min="10" max="10" width="0.25" style="119" customWidth="1"/>
    <col min="11" max="11" width="14.75" style="116" customWidth="1"/>
    <col min="12" max="12" width="15.375" style="116" customWidth="1"/>
    <col min="13" max="13" width="9" style="116" customWidth="1"/>
    <col min="14" max="16384" width="9" style="116"/>
  </cols>
  <sheetData>
    <row r="1" spans="1:11" ht="18" customHeight="1">
      <c r="A1" s="232" t="str">
        <f>'BC KQKD'!A1</f>
        <v>CÔNG TY CỔ PHẦN ĐẦU TƯ C.E.O</v>
      </c>
      <c r="B1" s="115"/>
      <c r="D1" s="233"/>
      <c r="F1" s="730" t="s">
        <v>140</v>
      </c>
      <c r="G1" s="730"/>
      <c r="H1" s="730"/>
      <c r="I1" s="730"/>
      <c r="J1" s="730"/>
      <c r="K1" s="730"/>
    </row>
    <row r="2" spans="1:11" ht="16.5" customHeight="1">
      <c r="A2" s="234" t="str">
        <f>'BC KQKD'!A2:F2</f>
        <v>Tầng 5 tháp C.E.O, Mễ Trì, Nam Từ Liêm, Hà Nội</v>
      </c>
      <c r="B2" s="118"/>
      <c r="D2" s="235"/>
      <c r="E2" s="235"/>
      <c r="F2" s="235"/>
      <c r="G2" s="235"/>
      <c r="H2" s="235"/>
      <c r="I2" s="235"/>
      <c r="J2" s="235"/>
      <c r="K2" s="236" t="str">
        <f>'Ban CDKT'!I2</f>
        <v>Quý 4 năm tài chính 2014</v>
      </c>
    </row>
    <row r="3" spans="1:11" ht="16.5" customHeight="1">
      <c r="A3" s="237" t="str">
        <f>'BC KQKD'!A3</f>
        <v>Tel: (84-4) 37 875 136          Fax: (84-4) 37 875 137</v>
      </c>
      <c r="B3" s="238"/>
      <c r="C3" s="576"/>
      <c r="D3" s="239"/>
      <c r="E3" s="119"/>
      <c r="F3" s="119"/>
      <c r="G3" s="240"/>
      <c r="H3" s="119"/>
      <c r="I3" s="241"/>
      <c r="K3" s="624"/>
    </row>
    <row r="4" spans="1:11" ht="4.5" customHeight="1">
      <c r="A4" s="122"/>
      <c r="B4" s="122"/>
      <c r="C4" s="242"/>
      <c r="D4" s="242"/>
      <c r="E4" s="123"/>
      <c r="F4" s="123"/>
      <c r="G4" s="243"/>
      <c r="H4" s="123"/>
      <c r="I4" s="244"/>
      <c r="J4" s="123"/>
      <c r="K4" s="243"/>
    </row>
    <row r="5" spans="1:11" ht="7.5" customHeight="1">
      <c r="A5" s="245"/>
      <c r="B5" s="245"/>
      <c r="C5" s="211"/>
      <c r="D5" s="211"/>
      <c r="E5" s="119"/>
      <c r="F5" s="119"/>
      <c r="G5" s="240"/>
      <c r="H5" s="119"/>
      <c r="I5" s="241"/>
      <c r="K5" s="240"/>
    </row>
    <row r="6" spans="1:11" ht="14.25" customHeight="1">
      <c r="A6" s="245"/>
      <c r="B6" s="245"/>
      <c r="C6" s="211"/>
      <c r="D6" s="211"/>
      <c r="E6" s="119"/>
      <c r="F6" s="119"/>
      <c r="G6" s="240"/>
      <c r="H6" s="119"/>
      <c r="I6" s="241"/>
      <c r="K6" s="127" t="s">
        <v>636</v>
      </c>
    </row>
    <row r="7" spans="1:11" ht="18" customHeight="1">
      <c r="A7" s="753" t="s">
        <v>851</v>
      </c>
      <c r="B7" s="753"/>
      <c r="C7" s="753"/>
      <c r="D7" s="753"/>
      <c r="E7" s="753"/>
      <c r="F7" s="753"/>
      <c r="G7" s="753"/>
      <c r="H7" s="753"/>
      <c r="I7" s="753"/>
      <c r="J7" s="753"/>
      <c r="K7" s="753"/>
    </row>
    <row r="8" spans="1:11" ht="18" customHeight="1">
      <c r="A8" s="754" t="s">
        <v>847</v>
      </c>
      <c r="B8" s="754"/>
      <c r="C8" s="754"/>
      <c r="D8" s="754"/>
      <c r="E8" s="754"/>
      <c r="F8" s="754"/>
      <c r="G8" s="754"/>
      <c r="H8" s="757"/>
      <c r="I8" s="757"/>
      <c r="J8" s="757"/>
      <c r="K8" s="757"/>
    </row>
    <row r="9" spans="1:11" ht="15.75" customHeight="1">
      <c r="A9" s="754" t="s">
        <v>848</v>
      </c>
      <c r="B9" s="754"/>
      <c r="C9" s="754"/>
      <c r="D9" s="754"/>
      <c r="E9" s="754"/>
      <c r="F9" s="754"/>
      <c r="G9" s="754"/>
      <c r="H9" s="754"/>
      <c r="I9" s="754"/>
      <c r="J9" s="754"/>
      <c r="K9" s="754"/>
    </row>
    <row r="10" spans="1:11" ht="16.5" customHeight="1">
      <c r="A10" s="752" t="s">
        <v>397</v>
      </c>
      <c r="B10" s="752"/>
      <c r="C10" s="752"/>
      <c r="D10" s="752"/>
      <c r="E10" s="752"/>
      <c r="F10" s="752"/>
      <c r="G10" s="752"/>
      <c r="H10" s="752"/>
      <c r="I10" s="752"/>
      <c r="J10" s="752"/>
      <c r="K10" s="752"/>
    </row>
    <row r="11" spans="1:11" s="117" customFormat="1" ht="13.5" customHeight="1">
      <c r="A11" s="741" t="s">
        <v>572</v>
      </c>
      <c r="B11" s="246"/>
      <c r="C11" s="741" t="s">
        <v>5</v>
      </c>
      <c r="D11" s="246"/>
      <c r="E11" s="733" t="s">
        <v>353</v>
      </c>
      <c r="F11" s="247"/>
      <c r="G11" s="741" t="s">
        <v>569</v>
      </c>
      <c r="H11" s="247"/>
      <c r="I11" s="755" t="s">
        <v>824</v>
      </c>
      <c r="J11" s="696"/>
      <c r="K11" s="755" t="s">
        <v>825</v>
      </c>
    </row>
    <row r="12" spans="1:11" s="117" customFormat="1" ht="30" customHeight="1">
      <c r="A12" s="742"/>
      <c r="B12" s="248"/>
      <c r="C12" s="742"/>
      <c r="D12" s="571"/>
      <c r="E12" s="734"/>
      <c r="F12" s="247"/>
      <c r="G12" s="742"/>
      <c r="H12" s="247"/>
      <c r="I12" s="756" t="s">
        <v>826</v>
      </c>
      <c r="J12" s="697"/>
      <c r="K12" s="756" t="s">
        <v>826</v>
      </c>
    </row>
    <row r="13" spans="1:11" ht="15.75" customHeight="1">
      <c r="A13" s="100" t="s">
        <v>538</v>
      </c>
      <c r="B13" s="245"/>
      <c r="C13" s="570" t="s">
        <v>426</v>
      </c>
      <c r="D13" s="203"/>
      <c r="E13" s="211"/>
      <c r="F13" s="211"/>
      <c r="G13" s="211"/>
      <c r="H13" s="211"/>
      <c r="I13" s="249"/>
      <c r="J13" s="250"/>
      <c r="K13" s="249"/>
    </row>
    <row r="14" spans="1:11" ht="15.75" customHeight="1">
      <c r="A14" s="211">
        <v>1</v>
      </c>
      <c r="B14" s="211"/>
      <c r="C14" s="248" t="s">
        <v>436</v>
      </c>
      <c r="D14" s="245"/>
      <c r="E14" s="251" t="s">
        <v>522</v>
      </c>
      <c r="F14" s="211"/>
      <c r="G14" s="252"/>
      <c r="H14" s="252"/>
      <c r="I14" s="253">
        <v>277827316411</v>
      </c>
      <c r="J14" s="254"/>
      <c r="K14" s="253"/>
    </row>
    <row r="15" spans="1:11" ht="15.75" customHeight="1">
      <c r="A15" s="211">
        <v>2</v>
      </c>
      <c r="B15" s="211"/>
      <c r="C15" s="248" t="s">
        <v>437</v>
      </c>
      <c r="D15" s="245"/>
      <c r="E15" s="251" t="s">
        <v>566</v>
      </c>
      <c r="F15" s="211"/>
      <c r="G15" s="252"/>
      <c r="H15" s="252"/>
      <c r="I15" s="253">
        <v>-224832001846</v>
      </c>
      <c r="J15" s="254"/>
      <c r="K15" s="253"/>
    </row>
    <row r="16" spans="1:11" ht="15.75" customHeight="1">
      <c r="A16" s="211">
        <v>3</v>
      </c>
      <c r="B16" s="211"/>
      <c r="C16" s="248" t="s">
        <v>427</v>
      </c>
      <c r="D16" s="245"/>
      <c r="E16" s="251" t="s">
        <v>523</v>
      </c>
      <c r="F16" s="211"/>
      <c r="G16" s="252"/>
      <c r="H16" s="252"/>
      <c r="I16" s="253">
        <v>-32348595983</v>
      </c>
      <c r="J16" s="254"/>
      <c r="K16" s="253"/>
    </row>
    <row r="17" spans="1:12" ht="15.75" customHeight="1">
      <c r="A17" s="211">
        <v>4</v>
      </c>
      <c r="B17" s="211"/>
      <c r="C17" s="248" t="s">
        <v>432</v>
      </c>
      <c r="D17" s="245"/>
      <c r="E17" s="251" t="s">
        <v>567</v>
      </c>
      <c r="F17" s="211"/>
      <c r="G17" s="252"/>
      <c r="H17" s="252"/>
      <c r="I17" s="253">
        <v>-8717302181</v>
      </c>
      <c r="J17" s="254"/>
      <c r="K17" s="253"/>
    </row>
    <row r="18" spans="1:12" ht="15.75" customHeight="1">
      <c r="A18" s="211">
        <v>5</v>
      </c>
      <c r="B18" s="211"/>
      <c r="C18" s="248" t="s">
        <v>424</v>
      </c>
      <c r="D18" s="245"/>
      <c r="E18" s="251" t="s">
        <v>533</v>
      </c>
      <c r="F18" s="211"/>
      <c r="G18" s="252"/>
      <c r="H18" s="252"/>
      <c r="I18" s="253">
        <v>-8141618045</v>
      </c>
      <c r="J18" s="254"/>
      <c r="K18" s="253"/>
    </row>
    <row r="19" spans="1:12" ht="15.75" customHeight="1">
      <c r="A19" s="211">
        <v>6</v>
      </c>
      <c r="B19" s="211"/>
      <c r="C19" s="248" t="s">
        <v>46</v>
      </c>
      <c r="D19" s="245"/>
      <c r="E19" s="251" t="s">
        <v>537</v>
      </c>
      <c r="F19" s="211"/>
      <c r="G19" s="252"/>
      <c r="H19" s="252"/>
      <c r="I19" s="253">
        <v>38578085480</v>
      </c>
      <c r="J19" s="254"/>
      <c r="K19" s="253"/>
    </row>
    <row r="20" spans="1:12" ht="15.75" customHeight="1">
      <c r="A20" s="211">
        <v>7</v>
      </c>
      <c r="B20" s="211"/>
      <c r="C20" s="248" t="s">
        <v>438</v>
      </c>
      <c r="D20" s="245"/>
      <c r="E20" s="251" t="s">
        <v>547</v>
      </c>
      <c r="F20" s="211"/>
      <c r="G20" s="252"/>
      <c r="H20" s="252"/>
      <c r="I20" s="253">
        <v>-73620743577</v>
      </c>
      <c r="J20" s="254"/>
      <c r="K20" s="253"/>
    </row>
    <row r="21" spans="1:12" ht="16.5" customHeight="1">
      <c r="A21" s="245"/>
      <c r="B21" s="245"/>
      <c r="C21" s="255" t="s">
        <v>428</v>
      </c>
      <c r="D21" s="256"/>
      <c r="E21" s="100">
        <v>20</v>
      </c>
      <c r="F21" s="211"/>
      <c r="G21" s="257"/>
      <c r="H21" s="257"/>
      <c r="I21" s="258">
        <f>SUM(I14:I20)</f>
        <v>-31254859741</v>
      </c>
      <c r="J21" s="259"/>
      <c r="K21" s="258">
        <f t="shared" ref="K21" si="0">SUM(K14:K20)</f>
        <v>0</v>
      </c>
    </row>
    <row r="22" spans="1:12" ht="15.75" customHeight="1">
      <c r="A22" s="100" t="s">
        <v>539</v>
      </c>
      <c r="B22" s="245"/>
      <c r="C22" s="570" t="s">
        <v>429</v>
      </c>
      <c r="D22" s="203"/>
      <c r="E22" s="211"/>
      <c r="F22" s="211"/>
      <c r="G22" s="252"/>
      <c r="H22" s="252"/>
      <c r="I22" s="253"/>
      <c r="J22" s="254"/>
      <c r="K22" s="253"/>
    </row>
    <row r="23" spans="1:12" ht="30" customHeight="1">
      <c r="A23" s="211">
        <v>1</v>
      </c>
      <c r="B23" s="211"/>
      <c r="C23" s="553" t="s">
        <v>332</v>
      </c>
      <c r="D23" s="245"/>
      <c r="E23" s="211">
        <v>21</v>
      </c>
      <c r="F23" s="211"/>
      <c r="G23" s="252"/>
      <c r="H23" s="252"/>
      <c r="I23" s="253">
        <v>-218276966470</v>
      </c>
      <c r="J23" s="254"/>
      <c r="K23" s="253"/>
    </row>
    <row r="24" spans="1:12" ht="30" customHeight="1">
      <c r="A24" s="211">
        <v>2</v>
      </c>
      <c r="B24" s="211"/>
      <c r="C24" s="553" t="s">
        <v>339</v>
      </c>
      <c r="D24" s="245"/>
      <c r="E24" s="211">
        <v>22</v>
      </c>
      <c r="F24" s="211"/>
      <c r="G24" s="252"/>
      <c r="H24" s="252"/>
      <c r="I24" s="253">
        <v>95431004</v>
      </c>
      <c r="J24" s="254"/>
      <c r="K24" s="253"/>
    </row>
    <row r="25" spans="1:12" ht="15.95" customHeight="1">
      <c r="A25" s="211">
        <v>3</v>
      </c>
      <c r="B25" s="211"/>
      <c r="C25" s="553" t="s">
        <v>337</v>
      </c>
      <c r="D25" s="245"/>
      <c r="E25" s="211">
        <v>23</v>
      </c>
      <c r="F25" s="211"/>
      <c r="G25" s="252"/>
      <c r="H25" s="252"/>
      <c r="I25" s="253">
        <v>-58725000000</v>
      </c>
      <c r="J25" s="254"/>
      <c r="K25" s="253"/>
      <c r="L25" s="172"/>
    </row>
    <row r="26" spans="1:12" ht="30" customHeight="1">
      <c r="A26" s="211">
        <v>4</v>
      </c>
      <c r="B26" s="211"/>
      <c r="C26" s="553" t="s">
        <v>338</v>
      </c>
      <c r="D26" s="245"/>
      <c r="E26" s="211">
        <v>24</v>
      </c>
      <c r="F26" s="211"/>
      <c r="G26" s="252"/>
      <c r="H26" s="252"/>
      <c r="I26" s="253">
        <v>9500000000</v>
      </c>
      <c r="J26" s="254"/>
      <c r="K26" s="253"/>
    </row>
    <row r="27" spans="1:12" ht="15.75" customHeight="1">
      <c r="A27" s="211">
        <v>5</v>
      </c>
      <c r="B27" s="211"/>
      <c r="C27" s="248" t="s">
        <v>333</v>
      </c>
      <c r="D27" s="245"/>
      <c r="E27" s="211">
        <v>25</v>
      </c>
      <c r="F27" s="211"/>
      <c r="G27" s="252"/>
      <c r="H27" s="252"/>
      <c r="I27" s="253">
        <v>0</v>
      </c>
      <c r="J27" s="254"/>
      <c r="K27" s="253"/>
    </row>
    <row r="28" spans="1:12" ht="15.75" customHeight="1">
      <c r="A28" s="211">
        <v>6</v>
      </c>
      <c r="B28" s="211"/>
      <c r="C28" s="248" t="s">
        <v>334</v>
      </c>
      <c r="D28" s="245"/>
      <c r="E28" s="211">
        <v>26</v>
      </c>
      <c r="F28" s="211"/>
      <c r="G28" s="252"/>
      <c r="H28" s="252"/>
      <c r="I28" s="253">
        <v>0</v>
      </c>
      <c r="J28" s="254"/>
      <c r="K28" s="253"/>
    </row>
    <row r="29" spans="1:12" ht="15.75" customHeight="1">
      <c r="A29" s="211">
        <v>7</v>
      </c>
      <c r="B29" s="211"/>
      <c r="C29" s="248" t="s">
        <v>433</v>
      </c>
      <c r="D29" s="245"/>
      <c r="E29" s="211">
        <v>27</v>
      </c>
      <c r="F29" s="211"/>
      <c r="G29" s="252"/>
      <c r="H29" s="252"/>
      <c r="I29" s="253">
        <v>167949746</v>
      </c>
      <c r="J29" s="254"/>
      <c r="K29" s="253"/>
    </row>
    <row r="30" spans="1:12" ht="15.75" customHeight="1">
      <c r="A30" s="245"/>
      <c r="B30" s="245"/>
      <c r="C30" s="255" t="s">
        <v>430</v>
      </c>
      <c r="D30" s="256"/>
      <c r="E30" s="100">
        <v>30</v>
      </c>
      <c r="F30" s="211"/>
      <c r="G30" s="257"/>
      <c r="H30" s="257"/>
      <c r="I30" s="258">
        <f>SUM(I23:I29)</f>
        <v>-267238585720</v>
      </c>
      <c r="J30" s="259"/>
      <c r="K30" s="258">
        <f t="shared" ref="K30" si="1">SUM(K23:K29)</f>
        <v>0</v>
      </c>
    </row>
    <row r="31" spans="1:12" ht="15" customHeight="1">
      <c r="A31" s="100" t="s">
        <v>540</v>
      </c>
      <c r="B31" s="245"/>
      <c r="C31" s="570" t="s">
        <v>340</v>
      </c>
      <c r="D31" s="203"/>
      <c r="E31" s="211"/>
      <c r="F31" s="211"/>
      <c r="G31" s="252"/>
      <c r="H31" s="252"/>
      <c r="I31" s="253"/>
      <c r="J31" s="254"/>
      <c r="K31" s="253"/>
    </row>
    <row r="32" spans="1:12" ht="16.5" customHeight="1">
      <c r="A32" s="211">
        <v>1</v>
      </c>
      <c r="B32" s="211"/>
      <c r="C32" s="248" t="s">
        <v>335</v>
      </c>
      <c r="D32" s="245"/>
      <c r="E32" s="211">
        <v>31</v>
      </c>
      <c r="F32" s="211"/>
      <c r="G32" s="252"/>
      <c r="H32" s="252"/>
      <c r="I32" s="253">
        <v>21303314874</v>
      </c>
      <c r="J32" s="253" t="e">
        <f>SUM(#REF!)</f>
        <v>#REF!</v>
      </c>
      <c r="K32" s="253">
        <f>SUM(L32:L32)</f>
        <v>0</v>
      </c>
      <c r="L32" s="266"/>
    </row>
    <row r="33" spans="1:13" ht="16.5" customHeight="1">
      <c r="A33" s="211">
        <v>2</v>
      </c>
      <c r="B33" s="211"/>
      <c r="C33" s="248" t="s">
        <v>336</v>
      </c>
      <c r="D33" s="245"/>
      <c r="E33" s="211">
        <v>32</v>
      </c>
      <c r="F33" s="211"/>
      <c r="G33" s="252"/>
      <c r="H33" s="252"/>
      <c r="I33" s="253">
        <v>0</v>
      </c>
      <c r="J33" s="254"/>
      <c r="K33" s="253">
        <v>0</v>
      </c>
    </row>
    <row r="34" spans="1:13" ht="16.5" customHeight="1">
      <c r="A34" s="211">
        <v>3</v>
      </c>
      <c r="B34" s="211"/>
      <c r="C34" s="248" t="s">
        <v>434</v>
      </c>
      <c r="D34" s="245"/>
      <c r="E34" s="211">
        <v>33</v>
      </c>
      <c r="F34" s="211"/>
      <c r="G34" s="252"/>
      <c r="H34" s="252"/>
      <c r="I34" s="253">
        <v>437776975968</v>
      </c>
      <c r="J34" s="254"/>
      <c r="K34" s="253"/>
    </row>
    <row r="35" spans="1:13" ht="16.5" customHeight="1">
      <c r="A35" s="211">
        <v>4</v>
      </c>
      <c r="B35" s="211"/>
      <c r="C35" s="248" t="s">
        <v>425</v>
      </c>
      <c r="D35" s="245"/>
      <c r="E35" s="211">
        <v>34</v>
      </c>
      <c r="F35" s="211"/>
      <c r="G35" s="252"/>
      <c r="H35" s="252"/>
      <c r="I35" s="253">
        <v>-106537769367</v>
      </c>
      <c r="J35" s="254"/>
      <c r="K35" s="253"/>
    </row>
    <row r="36" spans="1:13" ht="16.5" hidden="1" customHeight="1">
      <c r="A36" s="211">
        <v>5</v>
      </c>
      <c r="B36" s="211"/>
      <c r="C36" s="248" t="s">
        <v>341</v>
      </c>
      <c r="D36" s="245"/>
      <c r="E36" s="211">
        <v>35</v>
      </c>
      <c r="F36" s="211"/>
      <c r="G36" s="252"/>
      <c r="H36" s="252"/>
      <c r="I36" s="253">
        <v>0</v>
      </c>
      <c r="J36" s="254"/>
      <c r="K36" s="253">
        <v>0</v>
      </c>
    </row>
    <row r="37" spans="1:13" ht="16.5" customHeight="1">
      <c r="A37" s="211">
        <v>6</v>
      </c>
      <c r="B37" s="211"/>
      <c r="C37" s="248" t="s">
        <v>435</v>
      </c>
      <c r="D37" s="245"/>
      <c r="E37" s="211">
        <v>36</v>
      </c>
      <c r="F37" s="211"/>
      <c r="G37" s="252"/>
      <c r="H37" s="252"/>
      <c r="I37" s="253">
        <v>-19705016590</v>
      </c>
      <c r="J37" s="254"/>
      <c r="K37" s="253">
        <v>0</v>
      </c>
    </row>
    <row r="38" spans="1:13" ht="15" customHeight="1">
      <c r="A38" s="245"/>
      <c r="B38" s="245"/>
      <c r="C38" s="255" t="s">
        <v>342</v>
      </c>
      <c r="D38" s="256"/>
      <c r="E38" s="100">
        <v>40</v>
      </c>
      <c r="F38" s="211"/>
      <c r="G38" s="257"/>
      <c r="H38" s="257"/>
      <c r="I38" s="258">
        <f>SUM(I32:I37)</f>
        <v>332837504885</v>
      </c>
      <c r="J38" s="259"/>
      <c r="K38" s="258">
        <f t="shared" ref="K38" si="2">SUM(K32:K37)</f>
        <v>0</v>
      </c>
    </row>
    <row r="39" spans="1:13" ht="15" customHeight="1">
      <c r="A39" s="245"/>
      <c r="B39" s="245"/>
      <c r="C39" s="247" t="s">
        <v>431</v>
      </c>
      <c r="D39" s="256"/>
      <c r="E39" s="100">
        <v>50</v>
      </c>
      <c r="F39" s="211"/>
      <c r="G39" s="257"/>
      <c r="H39" s="257"/>
      <c r="I39" s="258">
        <f>I38+I30+I21</f>
        <v>34344059424</v>
      </c>
      <c r="J39" s="259"/>
      <c r="K39" s="258">
        <f t="shared" ref="K39" si="3">K38+K30+K21</f>
        <v>0</v>
      </c>
    </row>
    <row r="40" spans="1:13" s="132" customFormat="1" ht="15" customHeight="1">
      <c r="A40" s="256"/>
      <c r="B40" s="256"/>
      <c r="C40" s="247" t="s">
        <v>28</v>
      </c>
      <c r="D40" s="256"/>
      <c r="E40" s="100">
        <v>60</v>
      </c>
      <c r="F40" s="100"/>
      <c r="G40" s="260"/>
      <c r="H40" s="257"/>
      <c r="I40" s="258">
        <v>6423990709</v>
      </c>
      <c r="J40" s="259"/>
      <c r="K40" s="258"/>
    </row>
    <row r="41" spans="1:13" ht="15" customHeight="1">
      <c r="A41" s="245"/>
      <c r="B41" s="245"/>
      <c r="C41" s="248" t="s">
        <v>17</v>
      </c>
      <c r="D41" s="245"/>
      <c r="E41" s="211">
        <v>61</v>
      </c>
      <c r="F41" s="211"/>
      <c r="G41" s="252"/>
      <c r="H41" s="252"/>
      <c r="I41" s="253">
        <v>41113</v>
      </c>
      <c r="J41" s="254"/>
      <c r="K41" s="253"/>
    </row>
    <row r="42" spans="1:13" ht="15" customHeight="1">
      <c r="A42" s="245"/>
      <c r="B42" s="245"/>
      <c r="C42" s="247" t="s">
        <v>343</v>
      </c>
      <c r="D42" s="256"/>
      <c r="E42" s="100">
        <v>70</v>
      </c>
      <c r="F42" s="211"/>
      <c r="G42" s="158" t="s">
        <v>619</v>
      </c>
      <c r="H42" s="257"/>
      <c r="I42" s="258">
        <f>I40+I39+I41</f>
        <v>40768091246</v>
      </c>
      <c r="J42" s="259"/>
      <c r="K42" s="258">
        <f t="shared" ref="K42" si="4">K40+K39+K41</f>
        <v>0</v>
      </c>
      <c r="L42" s="261"/>
      <c r="M42" s="261"/>
    </row>
    <row r="43" spans="1:13" ht="4.5" customHeight="1">
      <c r="A43" s="245"/>
      <c r="B43" s="245"/>
      <c r="C43" s="245"/>
      <c r="D43" s="245"/>
      <c r="E43" s="245"/>
      <c r="F43" s="245"/>
      <c r="G43" s="245"/>
      <c r="H43" s="245"/>
      <c r="I43" s="249"/>
      <c r="J43" s="250"/>
      <c r="K43" s="625"/>
    </row>
    <row r="44" spans="1:13">
      <c r="A44" s="159"/>
      <c r="B44" s="159"/>
      <c r="C44" s="159"/>
      <c r="D44" s="159"/>
      <c r="F44" s="185"/>
      <c r="G44" s="185"/>
      <c r="H44" s="185"/>
      <c r="I44" s="162"/>
      <c r="J44" s="162"/>
      <c r="K44" s="419" t="str">
        <f>'BC KQKD'!G42</f>
        <v>Hà Nội, ngày 14 tháng 02 năm 2015</v>
      </c>
    </row>
    <row r="45" spans="1:13" ht="16.5" customHeight="1">
      <c r="A45" s="131"/>
      <c r="B45" s="131"/>
      <c r="C45" s="262"/>
      <c r="D45" s="263"/>
      <c r="F45" s="263"/>
      <c r="G45" s="263"/>
      <c r="H45" s="263"/>
      <c r="I45" s="264"/>
      <c r="J45" s="264"/>
      <c r="K45" s="420" t="str">
        <f>'BC KQKD'!G43</f>
        <v>CÔNG TY CỔ PHẦN ĐẦU TƯ C.E.O</v>
      </c>
    </row>
    <row r="46" spans="1:13" s="132" customFormat="1">
      <c r="A46" s="758" t="str">
        <f>'Ban CDKT'!A120</f>
        <v xml:space="preserve">         Người lập                                               Kế toán trưởng</v>
      </c>
      <c r="B46" s="758"/>
      <c r="C46" s="758"/>
      <c r="D46" s="758"/>
      <c r="E46" s="758"/>
      <c r="F46" s="130"/>
      <c r="G46" s="130"/>
      <c r="H46" s="194"/>
      <c r="I46" s="759" t="str">
        <f>'Ban CDKT'!G120</f>
        <v>Chủ tịch HĐQT</v>
      </c>
      <c r="J46" s="759"/>
      <c r="K46" s="759"/>
    </row>
    <row r="47" spans="1:13">
      <c r="A47" s="117"/>
      <c r="B47" s="117"/>
      <c r="C47" s="117"/>
      <c r="D47" s="117"/>
      <c r="E47" s="117"/>
      <c r="F47" s="117"/>
      <c r="G47" s="117"/>
      <c r="H47" s="117"/>
      <c r="I47" s="47"/>
      <c r="J47" s="245"/>
      <c r="K47" s="130"/>
    </row>
    <row r="48" spans="1:13" ht="33.75" customHeight="1">
      <c r="A48" s="117"/>
      <c r="B48" s="117"/>
      <c r="C48" s="117"/>
      <c r="D48" s="117"/>
      <c r="E48" s="117"/>
      <c r="F48" s="117"/>
      <c r="G48" s="117"/>
      <c r="H48" s="117"/>
      <c r="I48" s="265"/>
      <c r="J48" s="245"/>
      <c r="K48" s="626"/>
    </row>
    <row r="49" spans="1:11" ht="21" customHeight="1">
      <c r="A49" s="117"/>
      <c r="B49" s="117"/>
      <c r="C49" s="117"/>
      <c r="D49" s="117"/>
      <c r="E49" s="117"/>
      <c r="F49" s="117"/>
      <c r="G49" s="117"/>
      <c r="H49" s="117"/>
      <c r="I49" s="47"/>
      <c r="J49" s="245"/>
      <c r="K49" s="117"/>
    </row>
    <row r="50" spans="1:11" hidden="1"/>
    <row r="51" spans="1:11" s="130" customFormat="1" ht="15.75" customHeight="1">
      <c r="A51" s="758" t="str">
        <f>'Ban CDKT'!A126</f>
        <v>Nguyễn Thu Phương                                       Đỗ Thị Thơm</v>
      </c>
      <c r="B51" s="758"/>
      <c r="C51" s="758"/>
      <c r="D51" s="758"/>
      <c r="E51" s="758"/>
      <c r="H51" s="267"/>
      <c r="I51" s="749" t="str">
        <f>'Ban CDKT'!G126</f>
        <v>Đoàn Văn Bình</v>
      </c>
      <c r="J51" s="749"/>
      <c r="K51" s="749"/>
    </row>
    <row r="52" spans="1:11" s="130" customFormat="1" ht="15.75" hidden="1" customHeight="1">
      <c r="C52" s="574"/>
      <c r="D52" s="195"/>
      <c r="F52" s="267"/>
      <c r="G52" s="267"/>
      <c r="H52" s="267"/>
      <c r="I52" s="572"/>
      <c r="J52" s="572"/>
      <c r="K52" s="572"/>
    </row>
    <row r="53" spans="1:11" s="130" customFormat="1" ht="9.75" hidden="1" customHeight="1">
      <c r="C53" s="574"/>
      <c r="D53" s="195"/>
      <c r="F53" s="267"/>
      <c r="G53" s="267"/>
      <c r="H53" s="267"/>
      <c r="I53" s="572"/>
      <c r="J53" s="572"/>
      <c r="K53" s="572"/>
    </row>
  </sheetData>
  <mergeCells count="15">
    <mergeCell ref="A46:E46"/>
    <mergeCell ref="A51:E51"/>
    <mergeCell ref="I51:K51"/>
    <mergeCell ref="I46:K46"/>
    <mergeCell ref="A10:K10"/>
    <mergeCell ref="A11:A12"/>
    <mergeCell ref="F1:K1"/>
    <mergeCell ref="A7:K7"/>
    <mergeCell ref="A9:K9"/>
    <mergeCell ref="C11:C12"/>
    <mergeCell ref="E11:E12"/>
    <mergeCell ref="K11:K12"/>
    <mergeCell ref="I11:I12"/>
    <mergeCell ref="G11:G12"/>
    <mergeCell ref="A8:K8"/>
  </mergeCells>
  <phoneticPr fontId="48" type="noConversion"/>
  <pageMargins left="0.86614173228346503" right="0.47244094488188998" top="0.222440945" bottom="9.0551180999999994E-2" header="0.196850393700787" footer="0.39370078740157499"/>
  <pageSetup paperSize="9" scale="99" firstPageNumber="6" orientation="portrait" useFirstPageNumber="1" r:id="rId1"/>
  <headerFooter>
    <oddFooter>Page &amp;P</oddFooter>
  </headerFooter>
  <rowBreaks count="1" manualBreakCount="1">
    <brk id="5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1"/>
  <sheetViews>
    <sheetView view="pageBreakPreview" zoomScale="110" zoomScaleNormal="100" zoomScaleSheetLayoutView="110" workbookViewId="0">
      <selection activeCell="A19" sqref="A19"/>
    </sheetView>
  </sheetViews>
  <sheetFormatPr defaultColWidth="9" defaultRowHeight="15"/>
  <cols>
    <col min="1" max="1" width="41.625" style="117" customWidth="1"/>
    <col min="2" max="2" width="0.25" style="117" customWidth="1"/>
    <col min="3" max="3" width="4" style="117" customWidth="1"/>
    <col min="4" max="4" width="0.25" style="117" customWidth="1"/>
    <col min="5" max="5" width="5.875" style="117" customWidth="1"/>
    <col min="6" max="6" width="0.25" style="117" customWidth="1"/>
    <col min="7" max="7" width="15.25" style="117" customWidth="1"/>
    <col min="8" max="8" width="0.25" style="117" customWidth="1"/>
    <col min="9" max="9" width="13.5" style="117" customWidth="1"/>
    <col min="10" max="10" width="16.375" style="117" customWidth="1"/>
    <col min="11" max="11" width="15" style="117" customWidth="1"/>
    <col min="12" max="16384" width="9" style="117"/>
  </cols>
  <sheetData>
    <row r="1" spans="1:11" ht="18" customHeight="1">
      <c r="A1" s="115" t="str">
        <f>'Ban CDKT'!A1</f>
        <v>CÔNG TY CỔ PHẦN ĐẦU TƯ C.E.O</v>
      </c>
      <c r="B1" s="115"/>
      <c r="C1" s="115"/>
      <c r="D1" s="115"/>
      <c r="E1" s="116"/>
      <c r="F1" s="200"/>
      <c r="G1" s="201"/>
      <c r="J1" s="762" t="s">
        <v>68</v>
      </c>
      <c r="K1" s="762"/>
    </row>
    <row r="2" spans="1:11" ht="15" customHeight="1">
      <c r="A2" s="766" t="str">
        <f>'Ban CDKT'!A2</f>
        <v>Tầng 5 tháp C.E.O, Mễ Trì, Nam Từ Liêm, Hà Nội</v>
      </c>
      <c r="B2" s="766"/>
      <c r="C2" s="766"/>
      <c r="D2" s="766"/>
      <c r="E2" s="766"/>
      <c r="F2" s="766"/>
      <c r="G2" s="202"/>
      <c r="J2" s="763" t="str">
        <f>'Ban CDKT'!I2</f>
        <v>Quý 4 năm tài chính 2014</v>
      </c>
      <c r="K2" s="763"/>
    </row>
    <row r="3" spans="1:11" s="116" customFormat="1" ht="16.5" customHeight="1">
      <c r="A3" s="121" t="str">
        <f>'Ban CDKT'!A3</f>
        <v>Tel: (84-4) 37 875 136          Fax: (84-4) 37 875 137</v>
      </c>
      <c r="B3" s="118"/>
      <c r="C3" s="117"/>
      <c r="D3" s="117"/>
      <c r="E3" s="119"/>
      <c r="F3" s="732"/>
      <c r="G3" s="732"/>
      <c r="H3" s="732"/>
      <c r="I3" s="688"/>
      <c r="J3" s="117"/>
      <c r="K3" s="117"/>
    </row>
    <row r="4" spans="1:11" ht="2.25" customHeight="1">
      <c r="A4" s="122"/>
      <c r="B4" s="122"/>
      <c r="C4" s="122"/>
      <c r="D4" s="122"/>
      <c r="E4" s="122"/>
      <c r="F4" s="122"/>
      <c r="G4" s="122"/>
      <c r="H4" s="122"/>
      <c r="I4" s="122"/>
      <c r="J4" s="122"/>
      <c r="K4" s="122"/>
    </row>
    <row r="5" spans="1:11" ht="2.25" customHeight="1"/>
    <row r="6" spans="1:11" ht="18" customHeight="1">
      <c r="J6" s="764" t="s">
        <v>635</v>
      </c>
      <c r="K6" s="764"/>
    </row>
    <row r="7" spans="1:11" ht="18.75" customHeight="1">
      <c r="A7" s="753" t="s">
        <v>852</v>
      </c>
      <c r="B7" s="753"/>
      <c r="C7" s="753"/>
      <c r="D7" s="753"/>
      <c r="E7" s="753"/>
      <c r="F7" s="753"/>
      <c r="G7" s="753"/>
      <c r="H7" s="753"/>
      <c r="I7" s="753"/>
      <c r="J7" s="753"/>
      <c r="K7" s="753"/>
    </row>
    <row r="8" spans="1:11" ht="18" customHeight="1">
      <c r="A8" s="765" t="s">
        <v>848</v>
      </c>
      <c r="B8" s="765"/>
      <c r="C8" s="765"/>
      <c r="D8" s="765"/>
      <c r="E8" s="765"/>
      <c r="F8" s="765"/>
      <c r="G8" s="765"/>
      <c r="H8" s="765"/>
      <c r="I8" s="765"/>
      <c r="J8" s="765"/>
      <c r="K8" s="765"/>
    </row>
    <row r="9" spans="1:11" ht="15" customHeight="1">
      <c r="B9" s="573"/>
      <c r="C9" s="573"/>
      <c r="D9" s="573"/>
      <c r="E9" s="573"/>
      <c r="F9" s="573"/>
      <c r="G9" s="771" t="s">
        <v>417</v>
      </c>
      <c r="H9" s="771"/>
      <c r="I9" s="771"/>
      <c r="J9" s="771"/>
      <c r="K9" s="689"/>
    </row>
    <row r="10" spans="1:11" s="359" customFormat="1" ht="13.5" customHeight="1">
      <c r="A10" s="767" t="s">
        <v>5</v>
      </c>
      <c r="C10" s="769" t="s">
        <v>353</v>
      </c>
      <c r="E10" s="769" t="s">
        <v>569</v>
      </c>
      <c r="G10" s="760" t="s">
        <v>835</v>
      </c>
      <c r="H10" s="360"/>
      <c r="I10" s="760" t="s">
        <v>834</v>
      </c>
      <c r="J10" s="760" t="s">
        <v>822</v>
      </c>
      <c r="K10" s="760" t="s">
        <v>823</v>
      </c>
    </row>
    <row r="11" spans="1:11" s="359" customFormat="1" ht="33.75" customHeight="1">
      <c r="A11" s="768"/>
      <c r="B11" s="361"/>
      <c r="C11" s="770"/>
      <c r="D11" s="361"/>
      <c r="E11" s="770"/>
      <c r="F11" s="362"/>
      <c r="G11" s="761"/>
      <c r="H11" s="360"/>
      <c r="I11" s="761"/>
      <c r="J11" s="761"/>
      <c r="K11" s="761"/>
    </row>
    <row r="12" spans="1:11" ht="2.25" customHeight="1">
      <c r="A12" s="203"/>
      <c r="B12" s="203"/>
      <c r="C12" s="203"/>
      <c r="D12" s="203"/>
      <c r="E12" s="204"/>
      <c r="F12" s="205"/>
      <c r="G12" s="206"/>
    </row>
    <row r="13" spans="1:11" ht="18" customHeight="1">
      <c r="A13" s="98" t="s">
        <v>410</v>
      </c>
      <c r="B13" s="98"/>
      <c r="C13" s="99" t="s">
        <v>522</v>
      </c>
      <c r="D13" s="98"/>
      <c r="E13" s="207" t="s">
        <v>749</v>
      </c>
      <c r="F13" s="208"/>
      <c r="G13" s="199">
        <f>J13-194394746699</f>
        <v>254582639082</v>
      </c>
      <c r="H13" s="150"/>
      <c r="I13" s="150"/>
      <c r="J13" s="199">
        <v>448977385781</v>
      </c>
      <c r="K13" s="199"/>
    </row>
    <row r="14" spans="1:11" ht="18" customHeight="1">
      <c r="A14" s="209" t="s">
        <v>411</v>
      </c>
      <c r="B14" s="98"/>
      <c r="C14" s="210" t="s">
        <v>566</v>
      </c>
      <c r="D14" s="98"/>
      <c r="E14" s="211"/>
      <c r="F14" s="101"/>
      <c r="G14" s="212">
        <f>J14-258035151</f>
        <v>-204701818</v>
      </c>
      <c r="H14" s="150"/>
      <c r="I14" s="150"/>
      <c r="J14" s="212">
        <v>53333333</v>
      </c>
      <c r="K14" s="212"/>
    </row>
    <row r="15" spans="1:11" s="159" customFormat="1" ht="18" customHeight="1">
      <c r="A15" s="98" t="s">
        <v>412</v>
      </c>
      <c r="B15" s="98"/>
      <c r="C15" s="99" t="s">
        <v>521</v>
      </c>
      <c r="D15" s="98"/>
      <c r="E15" s="100"/>
      <c r="F15" s="213"/>
      <c r="G15" s="199">
        <f>G13-G14</f>
        <v>254787340900</v>
      </c>
      <c r="H15" s="199">
        <f t="shared" ref="H15" si="0">H13-H14</f>
        <v>0</v>
      </c>
      <c r="I15" s="199"/>
      <c r="J15" s="199">
        <f>J13-J14</f>
        <v>448924052448</v>
      </c>
      <c r="K15" s="199"/>
    </row>
    <row r="16" spans="1:11" s="159" customFormat="1" ht="18" customHeight="1">
      <c r="A16" s="98" t="s">
        <v>558</v>
      </c>
      <c r="B16" s="98"/>
      <c r="C16" s="99"/>
      <c r="D16" s="98"/>
      <c r="E16" s="215"/>
      <c r="F16" s="213"/>
      <c r="G16" s="199"/>
      <c r="H16" s="214"/>
      <c r="I16" s="214"/>
      <c r="J16" s="199"/>
      <c r="K16" s="199"/>
    </row>
    <row r="17" spans="1:11" ht="18" customHeight="1">
      <c r="A17" s="204" t="s">
        <v>413</v>
      </c>
      <c r="B17" s="204"/>
      <c r="C17" s="210" t="s">
        <v>524</v>
      </c>
      <c r="D17" s="204"/>
      <c r="E17" s="211" t="s">
        <v>44</v>
      </c>
      <c r="F17" s="216"/>
      <c r="G17" s="212">
        <f>J17-119899180615</f>
        <v>133551682141</v>
      </c>
      <c r="H17" s="150"/>
      <c r="I17" s="150"/>
      <c r="J17" s="212">
        <v>253450862756</v>
      </c>
      <c r="K17" s="212"/>
    </row>
    <row r="18" spans="1:11" s="159" customFormat="1" ht="18" customHeight="1">
      <c r="A18" s="217" t="s">
        <v>414</v>
      </c>
      <c r="B18" s="217"/>
      <c r="C18" s="99" t="s">
        <v>525</v>
      </c>
      <c r="D18" s="217"/>
      <c r="E18" s="215"/>
      <c r="F18" s="213"/>
      <c r="G18" s="199">
        <f>G15-G17</f>
        <v>121235658759</v>
      </c>
      <c r="H18" s="214"/>
      <c r="I18" s="214"/>
      <c r="J18" s="199">
        <f>J15-J17</f>
        <v>195473189692</v>
      </c>
      <c r="K18" s="199"/>
    </row>
    <row r="19" spans="1:11" s="159" customFormat="1" ht="18" customHeight="1">
      <c r="A19" s="217" t="s">
        <v>559</v>
      </c>
      <c r="B19" s="217"/>
      <c r="C19" s="99"/>
      <c r="D19" s="217"/>
      <c r="E19" s="215"/>
      <c r="F19" s="213"/>
      <c r="G19" s="199"/>
      <c r="H19" s="214"/>
      <c r="I19" s="214"/>
      <c r="J19" s="199"/>
      <c r="K19" s="199"/>
    </row>
    <row r="20" spans="1:11" ht="18" customHeight="1">
      <c r="A20" s="204" t="s">
        <v>418</v>
      </c>
      <c r="B20" s="204"/>
      <c r="C20" s="210" t="s">
        <v>526</v>
      </c>
      <c r="D20" s="204"/>
      <c r="E20" s="211" t="s">
        <v>82</v>
      </c>
      <c r="F20" s="216"/>
      <c r="G20" s="212">
        <f>J20-127600215</f>
        <v>284147662</v>
      </c>
      <c r="H20" s="150"/>
      <c r="I20" s="150"/>
      <c r="J20" s="212">
        <v>411747877</v>
      </c>
      <c r="K20" s="212"/>
    </row>
    <row r="21" spans="1:11" ht="18" customHeight="1">
      <c r="A21" s="204" t="s">
        <v>419</v>
      </c>
      <c r="B21" s="204"/>
      <c r="C21" s="210" t="s">
        <v>527</v>
      </c>
      <c r="D21" s="204"/>
      <c r="E21" s="211" t="s">
        <v>725</v>
      </c>
      <c r="F21" s="216"/>
      <c r="G21" s="212">
        <f>J21-7558816415</f>
        <v>2159090320</v>
      </c>
      <c r="H21" s="150"/>
      <c r="I21" s="150"/>
      <c r="J21" s="212">
        <v>9717906735</v>
      </c>
      <c r="K21" s="212"/>
    </row>
    <row r="22" spans="1:11" s="159" customFormat="1" ht="18" customHeight="1">
      <c r="A22" s="218" t="s">
        <v>420</v>
      </c>
      <c r="B22" s="218"/>
      <c r="C22" s="219" t="s">
        <v>534</v>
      </c>
      <c r="D22" s="218"/>
      <c r="E22" s="220"/>
      <c r="F22" s="221"/>
      <c r="G22" s="222">
        <f>J22-7558816415</f>
        <v>2133318506</v>
      </c>
      <c r="H22" s="214"/>
      <c r="I22" s="214"/>
      <c r="J22" s="222">
        <v>9692134921</v>
      </c>
      <c r="K22" s="222"/>
    </row>
    <row r="23" spans="1:11" ht="18" customHeight="1">
      <c r="A23" s="209" t="s">
        <v>421</v>
      </c>
      <c r="B23" s="209"/>
      <c r="C23" s="210" t="s">
        <v>535</v>
      </c>
      <c r="D23" s="209"/>
      <c r="E23" s="154"/>
      <c r="F23" s="216"/>
      <c r="G23" s="212">
        <f>J23-833532002</f>
        <v>518994594</v>
      </c>
      <c r="H23" s="150"/>
      <c r="I23" s="150"/>
      <c r="J23" s="212">
        <v>1352526596</v>
      </c>
      <c r="K23" s="212"/>
    </row>
    <row r="24" spans="1:11" ht="18" customHeight="1">
      <c r="A24" s="209" t="s">
        <v>422</v>
      </c>
      <c r="B24" s="209"/>
      <c r="C24" s="210" t="s">
        <v>536</v>
      </c>
      <c r="D24" s="209"/>
      <c r="E24" s="154"/>
      <c r="F24" s="216"/>
      <c r="G24" s="212">
        <f>J24-19091374316</f>
        <v>19072218219</v>
      </c>
      <c r="H24" s="212"/>
      <c r="I24" s="212"/>
      <c r="J24" s="212">
        <v>38163592535</v>
      </c>
      <c r="K24" s="212"/>
    </row>
    <row r="25" spans="1:11" s="159" customFormat="1" ht="18" customHeight="1">
      <c r="A25" s="217" t="s">
        <v>409</v>
      </c>
      <c r="B25" s="217"/>
      <c r="C25" s="99" t="s">
        <v>528</v>
      </c>
      <c r="D25" s="217"/>
      <c r="E25" s="215"/>
      <c r="F25" s="213"/>
      <c r="G25" s="199">
        <f>G18+(G20-G21)-(G23+G24)</f>
        <v>99769503288</v>
      </c>
      <c r="H25" s="214"/>
      <c r="I25" s="214"/>
      <c r="J25" s="347">
        <f>J18+J20-J21-J23-J24</f>
        <v>146650911703</v>
      </c>
      <c r="K25" s="347"/>
    </row>
    <row r="26" spans="1:11" s="159" customFormat="1" ht="18" customHeight="1">
      <c r="A26" s="217" t="s">
        <v>560</v>
      </c>
      <c r="B26" s="217"/>
      <c r="C26" s="99"/>
      <c r="D26" s="217"/>
      <c r="E26" s="215"/>
      <c r="F26" s="213"/>
      <c r="G26" s="199"/>
      <c r="H26" s="214"/>
      <c r="I26" s="214"/>
      <c r="J26" s="199"/>
      <c r="K26" s="199"/>
    </row>
    <row r="27" spans="1:11" ht="18" customHeight="1">
      <c r="A27" s="209" t="s">
        <v>415</v>
      </c>
      <c r="B27" s="209"/>
      <c r="C27" s="210" t="s">
        <v>529</v>
      </c>
      <c r="D27" s="209"/>
      <c r="E27" s="211"/>
      <c r="F27" s="216"/>
      <c r="G27" s="212">
        <f>J27-499086066</f>
        <v>49736191</v>
      </c>
      <c r="H27" s="150"/>
      <c r="I27" s="150"/>
      <c r="J27" s="141">
        <v>548822257</v>
      </c>
      <c r="K27" s="141"/>
    </row>
    <row r="28" spans="1:11" ht="18" customHeight="1">
      <c r="A28" s="209" t="s">
        <v>423</v>
      </c>
      <c r="B28" s="209"/>
      <c r="C28" s="210" t="s">
        <v>530</v>
      </c>
      <c r="D28" s="209"/>
      <c r="E28" s="211"/>
      <c r="F28" s="223"/>
      <c r="G28" s="212">
        <f>J28-641524064</f>
        <v>3910477963</v>
      </c>
      <c r="H28" s="150"/>
      <c r="I28" s="150"/>
      <c r="J28" s="141">
        <v>4552002027</v>
      </c>
      <c r="K28" s="141"/>
    </row>
    <row r="29" spans="1:11" s="159" customFormat="1" ht="18" customHeight="1">
      <c r="A29" s="98" t="s">
        <v>416</v>
      </c>
      <c r="B29" s="98"/>
      <c r="C29" s="99" t="s">
        <v>531</v>
      </c>
      <c r="D29" s="98"/>
      <c r="E29" s="215"/>
      <c r="F29" s="213"/>
      <c r="G29" s="199">
        <f>G27-G28</f>
        <v>-3860741772</v>
      </c>
      <c r="H29" s="214"/>
      <c r="I29" s="214"/>
      <c r="J29" s="199">
        <f>J27-J28</f>
        <v>-4003179770</v>
      </c>
      <c r="K29" s="199"/>
    </row>
    <row r="30" spans="1:11" s="159" customFormat="1" ht="18" customHeight="1">
      <c r="A30" s="209" t="s">
        <v>162</v>
      </c>
      <c r="B30" s="98"/>
      <c r="C30" s="99" t="s">
        <v>163</v>
      </c>
      <c r="D30" s="98"/>
      <c r="E30" s="215"/>
      <c r="F30" s="213"/>
      <c r="G30" s="212">
        <f>J30+1116495</f>
        <v>-756537</v>
      </c>
      <c r="H30" s="214"/>
      <c r="I30" s="214"/>
      <c r="J30" s="212">
        <v>-1873032</v>
      </c>
      <c r="K30" s="212"/>
    </row>
    <row r="31" spans="1:11" ht="32.25" customHeight="1">
      <c r="A31" s="98" t="s">
        <v>796</v>
      </c>
      <c r="B31" s="98"/>
      <c r="C31" s="99" t="s">
        <v>532</v>
      </c>
      <c r="D31" s="98"/>
      <c r="E31" s="100"/>
      <c r="F31" s="101"/>
      <c r="G31" s="199">
        <f>G25+G29+G30</f>
        <v>95908004979</v>
      </c>
      <c r="H31" s="150"/>
      <c r="I31" s="150"/>
      <c r="J31" s="199">
        <f>J25+J29+J30</f>
        <v>142645858901</v>
      </c>
      <c r="K31" s="199"/>
    </row>
    <row r="32" spans="1:11" ht="18" customHeight="1">
      <c r="A32" s="117" t="s">
        <v>120</v>
      </c>
      <c r="B32" s="130"/>
      <c r="C32" s="224" t="s">
        <v>548</v>
      </c>
      <c r="D32" s="130"/>
      <c r="E32" s="145"/>
      <c r="F32" s="225"/>
      <c r="G32" s="212">
        <f>J32-11258267239</f>
        <v>24880720653</v>
      </c>
      <c r="H32" s="150"/>
      <c r="I32" s="150"/>
      <c r="J32" s="212">
        <v>36138987892</v>
      </c>
      <c r="K32" s="212"/>
    </row>
    <row r="33" spans="1:11" ht="18" customHeight="1">
      <c r="A33" s="117" t="s">
        <v>121</v>
      </c>
      <c r="B33" s="130"/>
      <c r="C33" s="224" t="s">
        <v>561</v>
      </c>
      <c r="D33" s="130"/>
      <c r="E33" s="574" t="s">
        <v>737</v>
      </c>
      <c r="F33" s="225"/>
      <c r="G33" s="212">
        <f>J33-384419578</f>
        <v>-1349237730</v>
      </c>
      <c r="H33" s="150"/>
      <c r="I33" s="150"/>
      <c r="J33" s="212">
        <v>-964818152</v>
      </c>
      <c r="K33" s="212"/>
    </row>
    <row r="34" spans="1:11" ht="18" customHeight="1">
      <c r="A34" s="130" t="s">
        <v>122</v>
      </c>
      <c r="B34" s="130"/>
      <c r="C34" s="226" t="s">
        <v>541</v>
      </c>
      <c r="D34" s="130"/>
      <c r="E34" s="145"/>
      <c r="F34" s="227"/>
      <c r="G34" s="135">
        <f>G31-G32-G33</f>
        <v>72376522056</v>
      </c>
      <c r="H34" s="150"/>
      <c r="I34" s="150"/>
      <c r="J34" s="135">
        <f>J31-J32-J33</f>
        <v>107471689161</v>
      </c>
      <c r="K34" s="135"/>
    </row>
    <row r="35" spans="1:11" ht="18" customHeight="1">
      <c r="A35" s="130" t="s">
        <v>562</v>
      </c>
      <c r="B35" s="130"/>
      <c r="C35" s="226"/>
      <c r="D35" s="130"/>
      <c r="E35" s="145"/>
      <c r="F35" s="227"/>
      <c r="G35" s="135"/>
      <c r="H35" s="150"/>
      <c r="I35" s="150"/>
      <c r="J35" s="135"/>
      <c r="K35" s="135"/>
    </row>
    <row r="36" spans="1:11" ht="18" customHeight="1">
      <c r="A36" s="117" t="s">
        <v>164</v>
      </c>
      <c r="C36" s="224" t="s">
        <v>165</v>
      </c>
      <c r="E36" s="145"/>
      <c r="F36" s="227"/>
      <c r="G36" s="141">
        <f>J36-2328612600</f>
        <v>20053225787</v>
      </c>
      <c r="H36" s="150"/>
      <c r="I36" s="150"/>
      <c r="J36" s="141">
        <v>22381838387</v>
      </c>
      <c r="K36" s="141"/>
    </row>
    <row r="37" spans="1:11" ht="18" customHeight="1">
      <c r="A37" s="117" t="s">
        <v>119</v>
      </c>
      <c r="C37" s="224" t="s">
        <v>161</v>
      </c>
      <c r="E37" s="145"/>
      <c r="F37" s="227"/>
      <c r="G37" s="141">
        <f>G34-G36</f>
        <v>52323296269</v>
      </c>
      <c r="H37" s="150"/>
      <c r="I37" s="150"/>
      <c r="J37" s="141">
        <f>J34-J36</f>
        <v>85089850774</v>
      </c>
      <c r="K37" s="141"/>
    </row>
    <row r="38" spans="1:11" ht="18" customHeight="1">
      <c r="A38" s="117" t="s">
        <v>735</v>
      </c>
      <c r="C38" s="224"/>
      <c r="E38" s="145"/>
      <c r="F38" s="227"/>
      <c r="G38" s="141"/>
      <c r="H38" s="150"/>
      <c r="I38" s="150"/>
      <c r="J38" s="141"/>
      <c r="K38" s="141"/>
    </row>
    <row r="39" spans="1:11" ht="18" customHeight="1">
      <c r="A39" s="130" t="s">
        <v>123</v>
      </c>
      <c r="B39" s="130"/>
      <c r="C39" s="226" t="s">
        <v>568</v>
      </c>
      <c r="D39" s="130"/>
      <c r="E39" s="574" t="s">
        <v>789</v>
      </c>
      <c r="F39" s="227"/>
      <c r="G39" s="135">
        <f>'Thuyet minh BCTC 1'!I469</f>
        <v>2109.3648366381931</v>
      </c>
      <c r="H39" s="150"/>
      <c r="I39" s="150"/>
      <c r="J39" s="135">
        <v>2440</v>
      </c>
      <c r="K39" s="135"/>
    </row>
    <row r="40" spans="1:11" ht="3.95" customHeight="1">
      <c r="A40" s="130"/>
      <c r="B40" s="130"/>
      <c r="C40" s="226"/>
      <c r="D40" s="226"/>
      <c r="F40" s="227"/>
      <c r="G40" s="228"/>
      <c r="J40" s="228"/>
      <c r="K40" s="228"/>
    </row>
    <row r="41" spans="1:11" ht="6.75" customHeight="1">
      <c r="A41" s="130"/>
      <c r="B41" s="130"/>
      <c r="C41" s="226"/>
      <c r="D41" s="226"/>
      <c r="F41" s="227"/>
      <c r="G41" s="228"/>
      <c r="J41" s="228"/>
      <c r="K41" s="228"/>
    </row>
    <row r="42" spans="1:11" ht="16.5" customHeight="1">
      <c r="D42" s="159"/>
      <c r="E42" s="159"/>
      <c r="F42" s="159"/>
      <c r="G42" s="229" t="str">
        <f>'Ban CDKT'!G118</f>
        <v>Hà Nội, ngày 14 tháng 02 năm 2015</v>
      </c>
      <c r="H42" s="229"/>
      <c r="I42" s="229"/>
      <c r="J42" s="229"/>
      <c r="K42" s="229"/>
    </row>
    <row r="43" spans="1:11" ht="15.75" customHeight="1">
      <c r="B43" s="130"/>
      <c r="D43" s="230"/>
      <c r="E43" s="230"/>
      <c r="F43" s="230"/>
      <c r="G43" s="231" t="s">
        <v>47</v>
      </c>
      <c r="H43" s="231"/>
      <c r="I43" s="231"/>
      <c r="J43" s="231"/>
      <c r="K43" s="231"/>
    </row>
    <row r="44" spans="1:11" s="130" customFormat="1" ht="16.5" customHeight="1">
      <c r="A44" s="691" t="s">
        <v>838</v>
      </c>
      <c r="C44" s="759" t="s">
        <v>836</v>
      </c>
      <c r="D44" s="759"/>
      <c r="E44" s="759"/>
      <c r="F44" s="759"/>
      <c r="G44" s="759"/>
      <c r="I44" s="759" t="str">
        <f>'BC LCTT'!I46</f>
        <v>Chủ tịch HĐQT</v>
      </c>
      <c r="J44" s="759"/>
    </row>
    <row r="45" spans="1:11" ht="15" customHeight="1">
      <c r="F45" s="227"/>
      <c r="G45" s="140"/>
      <c r="J45" s="128"/>
      <c r="K45" s="128"/>
    </row>
    <row r="46" spans="1:11" ht="15" customHeight="1">
      <c r="F46" s="227"/>
      <c r="G46" s="140"/>
      <c r="J46" s="128"/>
      <c r="K46" s="128"/>
    </row>
    <row r="47" spans="1:11" ht="14.25" customHeight="1">
      <c r="F47" s="227"/>
      <c r="G47" s="140"/>
      <c r="J47" s="128"/>
      <c r="K47" s="128"/>
    </row>
    <row r="48" spans="1:11" ht="16.5" customHeight="1">
      <c r="F48" s="227"/>
      <c r="G48" s="140"/>
      <c r="J48" s="128"/>
      <c r="K48" s="128"/>
    </row>
    <row r="49" spans="1:11" ht="11.25" customHeight="1">
      <c r="F49" s="227"/>
      <c r="G49" s="140"/>
      <c r="J49" s="128"/>
      <c r="K49" s="128"/>
    </row>
    <row r="50" spans="1:11" s="130" customFormat="1" ht="18" customHeight="1">
      <c r="A50" s="691" t="s">
        <v>839</v>
      </c>
      <c r="C50" s="759" t="s">
        <v>837</v>
      </c>
      <c r="D50" s="759"/>
      <c r="E50" s="759"/>
      <c r="F50" s="759"/>
      <c r="G50" s="759"/>
      <c r="I50" s="759" t="s">
        <v>103</v>
      </c>
      <c r="J50" s="759"/>
    </row>
    <row r="51" spans="1:11" ht="3" customHeight="1"/>
    <row r="52" spans="1:11" s="116" customFormat="1" ht="16.5" customHeight="1">
      <c r="A52" s="702"/>
      <c r="B52" s="211"/>
      <c r="C52" s="211"/>
      <c r="D52" s="211"/>
      <c r="E52" s="286"/>
      <c r="F52" s="211"/>
      <c r="G52" s="125"/>
      <c r="H52" s="211"/>
      <c r="I52" s="211"/>
      <c r="J52" s="211"/>
      <c r="K52" s="211"/>
    </row>
    <row r="55" spans="1:11" ht="15.75">
      <c r="A55" s="531"/>
      <c r="B55" s="531"/>
      <c r="C55" s="531"/>
      <c r="D55" s="531"/>
      <c r="E55" s="531"/>
      <c r="F55" s="531"/>
      <c r="G55" s="635"/>
    </row>
    <row r="56" spans="1:11" ht="15.75">
      <c r="A56" s="531"/>
      <c r="B56" s="531"/>
      <c r="C56" s="531"/>
      <c r="D56" s="531"/>
      <c r="E56" s="531"/>
      <c r="F56" s="531"/>
      <c r="G56" s="635"/>
    </row>
    <row r="57" spans="1:11" ht="15.75">
      <c r="A57" s="531"/>
      <c r="B57" s="531"/>
      <c r="C57" s="531"/>
      <c r="D57" s="531"/>
      <c r="E57" s="531"/>
      <c r="F57" s="531"/>
      <c r="G57" s="636"/>
      <c r="J57" s="128"/>
      <c r="K57" s="128"/>
    </row>
    <row r="58" spans="1:11" ht="15.75">
      <c r="A58" s="549"/>
      <c r="B58" s="549"/>
      <c r="C58" s="549"/>
      <c r="D58" s="549"/>
      <c r="E58" s="549"/>
      <c r="F58" s="549"/>
      <c r="G58" s="637"/>
    </row>
    <row r="60" spans="1:11">
      <c r="G60" s="133"/>
    </row>
    <row r="61" spans="1:11">
      <c r="G61" s="133"/>
    </row>
  </sheetData>
  <mergeCells count="19">
    <mergeCell ref="A2:F2"/>
    <mergeCell ref="A10:A11"/>
    <mergeCell ref="C10:C11"/>
    <mergeCell ref="E10:E11"/>
    <mergeCell ref="G9:J9"/>
    <mergeCell ref="F3:H3"/>
    <mergeCell ref="I44:J44"/>
    <mergeCell ref="I50:J50"/>
    <mergeCell ref="A7:K7"/>
    <mergeCell ref="A8:K8"/>
    <mergeCell ref="C44:G44"/>
    <mergeCell ref="C50:G50"/>
    <mergeCell ref="G10:G11"/>
    <mergeCell ref="J10:J11"/>
    <mergeCell ref="I10:I11"/>
    <mergeCell ref="K10:K11"/>
    <mergeCell ref="J1:K1"/>
    <mergeCell ref="J2:K2"/>
    <mergeCell ref="J6:K6"/>
  </mergeCells>
  <phoneticPr fontId="0" type="noConversion"/>
  <pageMargins left="1.366141732" right="0.47244094488188998" top="0.47244094488188998" bottom="0.48" header="0.196850393700787" footer="0.22"/>
  <pageSetup paperSize="9" firstPageNumber="4" orientation="landscape" useFirstPageNumber="1"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72"/>
  <sheetViews>
    <sheetView view="pageBreakPreview" zoomScale="120" zoomScaleNormal="100" zoomScaleSheetLayoutView="120" workbookViewId="0">
      <pane xSplit="11" ySplit="6" topLeftCell="L553" activePane="bottomRight" state="frozen"/>
      <selection pane="topRight" activeCell="L1" sqref="L1"/>
      <selection pane="bottomLeft" activeCell="A7" sqref="A7"/>
      <selection pane="bottomRight" activeCell="E587" sqref="E587"/>
    </sheetView>
  </sheetViews>
  <sheetFormatPr defaultColWidth="0" defaultRowHeight="15"/>
  <cols>
    <col min="1" max="1" width="4" style="584" customWidth="1"/>
    <col min="2" max="2" width="0.25" style="75" customWidth="1"/>
    <col min="3" max="3" width="19.375" style="77" customWidth="1"/>
    <col min="4" max="4" width="0.25" style="77" customWidth="1"/>
    <col min="5" max="5" width="15.25" style="77" customWidth="1"/>
    <col min="6" max="6" width="0.25" style="77" customWidth="1"/>
    <col min="7" max="7" width="13.125" style="77" customWidth="1"/>
    <col min="8" max="8" width="0.25" style="77" hidden="1" customWidth="1"/>
    <col min="9" max="9" width="15.25" style="81" customWidth="1"/>
    <col min="10" max="10" width="0.25" style="68" customWidth="1"/>
    <col min="11" max="11" width="14.625" style="68" customWidth="1"/>
    <col min="12" max="12" width="13.125" style="433" customWidth="1"/>
    <col min="13" max="14" width="24.5" style="433" hidden="1" customWidth="1"/>
    <col min="15" max="18" width="0" style="433" hidden="1" customWidth="1"/>
    <col min="19" max="16384" width="24.5" style="433" hidden="1"/>
  </cols>
  <sheetData>
    <row r="1" spans="1:11" ht="18" customHeight="1">
      <c r="A1" s="782" t="str">
        <f>'Ban CDKT'!A1</f>
        <v>CÔNG TY CỔ PHẦN ĐẦU TƯ C.E.O</v>
      </c>
      <c r="B1" s="782"/>
      <c r="C1" s="782"/>
      <c r="D1" s="782"/>
      <c r="E1" s="782"/>
      <c r="F1" s="783"/>
      <c r="G1" s="783"/>
      <c r="K1" s="268" t="s">
        <v>68</v>
      </c>
    </row>
    <row r="2" spans="1:11" ht="16.5" customHeight="1">
      <c r="A2" s="237" t="str">
        <f>'Ban CDKT'!A2</f>
        <v>Tầng 5 tháp C.E.O, Mễ Trì, Nam Từ Liêm, Hà Nội</v>
      </c>
      <c r="B2" s="238"/>
      <c r="C2" s="238"/>
      <c r="D2" s="238"/>
      <c r="E2" s="238"/>
      <c r="K2" s="269" t="str">
        <f>'Ban CDKT'!I2</f>
        <v>Quý 4 năm tài chính 2014</v>
      </c>
    </row>
    <row r="3" spans="1:11" ht="16.5" customHeight="1">
      <c r="A3" s="270" t="str">
        <f>'Ban CDKT'!A3</f>
        <v>Tel: (84-4) 37 875 136          Fax: (84-4) 37 875 137</v>
      </c>
      <c r="B3" s="270"/>
      <c r="C3" s="270"/>
      <c r="D3" s="270"/>
      <c r="E3" s="270"/>
      <c r="F3" s="271"/>
      <c r="G3" s="271"/>
      <c r="H3" s="271"/>
      <c r="I3" s="784"/>
      <c r="J3" s="784"/>
      <c r="K3" s="784"/>
    </row>
    <row r="4" spans="1:11" ht="1.5" customHeight="1"/>
    <row r="5" spans="1:11" s="464" customFormat="1" ht="16.5" customHeight="1">
      <c r="A5" s="584"/>
      <c r="B5" s="75"/>
      <c r="C5" s="77"/>
      <c r="D5" s="77"/>
      <c r="E5" s="77"/>
      <c r="F5" s="77"/>
      <c r="G5" s="77"/>
      <c r="H5" s="77"/>
      <c r="I5" s="81"/>
      <c r="J5" s="68"/>
      <c r="K5" s="272" t="s">
        <v>640</v>
      </c>
    </row>
    <row r="6" spans="1:11" s="464" customFormat="1" ht="18" customHeight="1">
      <c r="A6" s="274" t="s">
        <v>853</v>
      </c>
      <c r="B6" s="274"/>
      <c r="C6" s="274"/>
      <c r="D6" s="274"/>
      <c r="E6" s="274"/>
      <c r="F6" s="274"/>
      <c r="G6" s="274"/>
      <c r="H6" s="274"/>
      <c r="I6" s="275"/>
      <c r="J6" s="276"/>
      <c r="K6" s="276"/>
    </row>
    <row r="7" spans="1:11" s="464" customFormat="1" ht="17.100000000000001" customHeight="1">
      <c r="A7" s="277"/>
      <c r="B7" s="278"/>
      <c r="C7" s="278"/>
      <c r="D7" s="278"/>
      <c r="E7" s="278"/>
      <c r="F7" s="278"/>
      <c r="G7" s="278"/>
      <c r="H7" s="278"/>
      <c r="I7" s="279"/>
      <c r="J7" s="280"/>
      <c r="K7" s="280"/>
    </row>
    <row r="8" spans="1:11" s="464" customFormat="1" ht="2.25" customHeight="1">
      <c r="A8" s="577"/>
      <c r="B8" s="86"/>
      <c r="C8" s="47"/>
      <c r="D8" s="47"/>
      <c r="E8" s="47"/>
      <c r="F8" s="47"/>
      <c r="G8" s="47"/>
      <c r="H8" s="47"/>
      <c r="I8" s="273"/>
      <c r="J8" s="89"/>
      <c r="K8" s="89"/>
    </row>
    <row r="9" spans="1:11" s="464" customFormat="1" ht="20.100000000000001" customHeight="1">
      <c r="A9" s="577" t="s">
        <v>563</v>
      </c>
      <c r="B9" s="86"/>
      <c r="C9" s="86" t="s">
        <v>124</v>
      </c>
      <c r="D9" s="47"/>
      <c r="E9" s="47"/>
      <c r="F9" s="47"/>
      <c r="G9" s="47"/>
      <c r="H9" s="47"/>
      <c r="I9" s="273"/>
      <c r="J9" s="89"/>
      <c r="K9" s="89"/>
    </row>
    <row r="10" spans="1:11" ht="1.5" customHeight="1"/>
    <row r="11" spans="1:11" s="465" customFormat="1" ht="20.100000000000001" customHeight="1">
      <c r="A11" s="74" t="s">
        <v>564</v>
      </c>
      <c r="B11" s="75"/>
      <c r="C11" s="75" t="s">
        <v>615</v>
      </c>
      <c r="D11" s="75"/>
      <c r="E11" s="75"/>
      <c r="F11" s="75"/>
      <c r="G11" s="75"/>
      <c r="H11" s="75"/>
      <c r="I11" s="281"/>
      <c r="J11" s="282"/>
      <c r="K11" s="281"/>
    </row>
    <row r="12" spans="1:11" s="465" customFormat="1" ht="18" customHeight="1">
      <c r="A12" s="74"/>
      <c r="B12" s="75"/>
      <c r="C12" s="75"/>
      <c r="D12" s="75"/>
      <c r="E12" s="75"/>
      <c r="F12" s="75"/>
      <c r="G12" s="75"/>
      <c r="H12" s="75"/>
      <c r="I12" s="698">
        <v>42004</v>
      </c>
      <c r="J12" s="85"/>
      <c r="K12" s="698">
        <v>41640</v>
      </c>
    </row>
    <row r="13" spans="1:11" s="465" customFormat="1" ht="18" customHeight="1">
      <c r="A13" s="74"/>
      <c r="B13" s="75"/>
      <c r="C13" s="75"/>
      <c r="D13" s="75"/>
      <c r="E13" s="75"/>
      <c r="F13" s="75"/>
      <c r="G13" s="75"/>
      <c r="H13" s="75"/>
      <c r="I13" s="498" t="s">
        <v>543</v>
      </c>
      <c r="J13" s="85"/>
      <c r="K13" s="498" t="s">
        <v>543</v>
      </c>
    </row>
    <row r="14" spans="1:11" ht="18" customHeight="1">
      <c r="A14" s="421"/>
      <c r="B14" s="77"/>
      <c r="C14" s="47" t="s">
        <v>511</v>
      </c>
      <c r="I14" s="109">
        <f>SUM(I15:I20)</f>
        <v>2643234077</v>
      </c>
      <c r="J14" s="109">
        <f t="shared" ref="J14" si="0">SUM(J15:J20)</f>
        <v>0</v>
      </c>
      <c r="K14" s="109">
        <v>3536240806</v>
      </c>
    </row>
    <row r="15" spans="1:11" s="443" customFormat="1" ht="18" hidden="1" customHeight="1">
      <c r="A15" s="494"/>
      <c r="C15" s="443" t="s">
        <v>54</v>
      </c>
      <c r="I15" s="493">
        <v>1492861323</v>
      </c>
      <c r="J15" s="495"/>
      <c r="K15" s="495">
        <v>0</v>
      </c>
    </row>
    <row r="16" spans="1:11" s="443" customFormat="1" ht="18" hidden="1" customHeight="1">
      <c r="A16" s="494"/>
      <c r="C16" s="443" t="s">
        <v>55</v>
      </c>
      <c r="I16" s="493">
        <v>27145071</v>
      </c>
      <c r="J16" s="495"/>
      <c r="K16" s="493">
        <v>0</v>
      </c>
    </row>
    <row r="17" spans="1:11" s="443" customFormat="1" ht="18" hidden="1" customHeight="1">
      <c r="A17" s="494"/>
      <c r="C17" s="443" t="s">
        <v>56</v>
      </c>
      <c r="I17" s="492">
        <v>162788180</v>
      </c>
      <c r="J17" s="492"/>
      <c r="K17" s="492">
        <v>0</v>
      </c>
    </row>
    <row r="18" spans="1:11" s="443" customFormat="1" ht="31.5" hidden="1" customHeight="1">
      <c r="A18" s="494"/>
      <c r="C18" s="443" t="s">
        <v>57</v>
      </c>
      <c r="I18" s="493">
        <v>767578528</v>
      </c>
      <c r="J18" s="495"/>
      <c r="K18" s="493">
        <v>0</v>
      </c>
    </row>
    <row r="19" spans="1:11" s="443" customFormat="1" ht="18" hidden="1" customHeight="1">
      <c r="A19" s="494"/>
      <c r="C19" s="443" t="s">
        <v>58</v>
      </c>
      <c r="I19" s="493">
        <v>156580607</v>
      </c>
      <c r="J19" s="495"/>
      <c r="K19" s="493">
        <v>0</v>
      </c>
    </row>
    <row r="20" spans="1:11" s="443" customFormat="1" ht="18" hidden="1" customHeight="1">
      <c r="A20" s="494"/>
      <c r="C20" s="443" t="s">
        <v>130</v>
      </c>
      <c r="I20" s="493">
        <v>36280368</v>
      </c>
      <c r="J20" s="495"/>
      <c r="K20" s="493">
        <v>0</v>
      </c>
    </row>
    <row r="21" spans="1:11" ht="18" customHeight="1">
      <c r="A21" s="286"/>
      <c r="B21" s="77"/>
      <c r="C21" s="77" t="s">
        <v>462</v>
      </c>
      <c r="I21" s="349">
        <f>40768091246-I14</f>
        <v>38124857169</v>
      </c>
      <c r="J21" s="349">
        <f t="shared" ref="J21" si="1">SUM(J22:J27)</f>
        <v>0</v>
      </c>
      <c r="K21" s="349">
        <v>2887749903</v>
      </c>
    </row>
    <row r="22" spans="1:11" s="443" customFormat="1" ht="18" hidden="1" customHeight="1">
      <c r="A22" s="494"/>
      <c r="C22" s="443" t="s">
        <v>54</v>
      </c>
      <c r="I22" s="493">
        <v>209683917</v>
      </c>
      <c r="J22" s="495"/>
      <c r="K22" s="493"/>
    </row>
    <row r="23" spans="1:11" s="443" customFormat="1" ht="16.5" hidden="1" customHeight="1">
      <c r="A23" s="494"/>
      <c r="C23" s="443" t="s">
        <v>55</v>
      </c>
      <c r="I23" s="493">
        <v>10826081</v>
      </c>
      <c r="J23" s="495"/>
      <c r="K23" s="493"/>
    </row>
    <row r="24" spans="1:11" s="443" customFormat="1" ht="16.5" hidden="1" customHeight="1">
      <c r="A24" s="494"/>
      <c r="C24" s="443" t="s">
        <v>56</v>
      </c>
      <c r="I24" s="492">
        <v>60942954</v>
      </c>
      <c r="J24" s="492"/>
      <c r="K24" s="492"/>
    </row>
    <row r="25" spans="1:11" s="443" customFormat="1" ht="16.5" hidden="1" customHeight="1">
      <c r="A25" s="494"/>
      <c r="C25" s="443" t="s">
        <v>57</v>
      </c>
      <c r="I25" s="493">
        <v>947940246</v>
      </c>
      <c r="J25" s="495"/>
      <c r="K25" s="493"/>
    </row>
    <row r="26" spans="1:11" s="443" customFormat="1" ht="16.5" hidden="1" customHeight="1">
      <c r="A26" s="494"/>
      <c r="C26" s="443" t="s">
        <v>58</v>
      </c>
      <c r="I26" s="493">
        <v>178539714</v>
      </c>
      <c r="J26" s="495"/>
      <c r="K26" s="493"/>
    </row>
    <row r="27" spans="1:11" s="443" customFormat="1" ht="18" hidden="1" customHeight="1">
      <c r="A27" s="494"/>
      <c r="C27" s="443" t="s">
        <v>130</v>
      </c>
      <c r="I27" s="493">
        <v>1064889882</v>
      </c>
      <c r="J27" s="495"/>
      <c r="K27" s="493"/>
    </row>
    <row r="28" spans="1:11" ht="20.100000000000001" customHeight="1">
      <c r="A28" s="421"/>
      <c r="B28" s="77"/>
      <c r="C28" s="77" t="s">
        <v>42</v>
      </c>
      <c r="I28" s="349">
        <f>I29+SUM(I32:I33)</f>
        <v>0</v>
      </c>
      <c r="J28" s="363"/>
      <c r="K28" s="349">
        <f>K29+SUM(K32:K33)</f>
        <v>0</v>
      </c>
    </row>
    <row r="29" spans="1:11" ht="18" hidden="1" customHeight="1">
      <c r="C29" s="77" t="s">
        <v>55</v>
      </c>
      <c r="I29" s="363">
        <f>I30+I31</f>
        <v>0</v>
      </c>
      <c r="J29" s="85"/>
      <c r="K29" s="363">
        <f>K30+K31</f>
        <v>0</v>
      </c>
    </row>
    <row r="30" spans="1:11" ht="15.95" hidden="1" customHeight="1">
      <c r="A30" s="82"/>
      <c r="B30" s="83"/>
      <c r="C30" s="84" t="s">
        <v>75</v>
      </c>
      <c r="D30" s="84"/>
      <c r="E30" s="84"/>
      <c r="F30" s="84"/>
      <c r="G30" s="84"/>
      <c r="H30" s="84"/>
      <c r="I30" s="73">
        <v>0</v>
      </c>
      <c r="J30" s="289"/>
      <c r="K30" s="290">
        <v>0</v>
      </c>
    </row>
    <row r="31" spans="1:11" ht="15.95" hidden="1" customHeight="1">
      <c r="A31" s="82"/>
      <c r="B31" s="83"/>
      <c r="C31" s="84" t="s">
        <v>76</v>
      </c>
      <c r="D31" s="84"/>
      <c r="E31" s="84"/>
      <c r="F31" s="84"/>
      <c r="G31" s="84"/>
      <c r="H31" s="84"/>
      <c r="I31" s="73">
        <v>0</v>
      </c>
      <c r="J31" s="289"/>
      <c r="K31" s="290">
        <v>0</v>
      </c>
    </row>
    <row r="32" spans="1:11" s="443" customFormat="1" ht="20.25" hidden="1" customHeight="1">
      <c r="A32" s="471"/>
      <c r="B32" s="463"/>
      <c r="C32" s="443" t="s">
        <v>717</v>
      </c>
      <c r="I32" s="492"/>
      <c r="J32" s="472"/>
      <c r="K32" s="493">
        <v>0</v>
      </c>
    </row>
    <row r="33" spans="1:11" s="443" customFormat="1" ht="20.25" hidden="1" customHeight="1">
      <c r="A33" s="471"/>
      <c r="B33" s="463"/>
      <c r="C33" s="443" t="s">
        <v>130</v>
      </c>
      <c r="I33" s="492">
        <v>0</v>
      </c>
      <c r="J33" s="472"/>
      <c r="K33" s="493">
        <v>0</v>
      </c>
    </row>
    <row r="34" spans="1:11" ht="20.100000000000001" customHeight="1" thickBot="1">
      <c r="C34" s="75" t="s">
        <v>508</v>
      </c>
      <c r="I34" s="288">
        <f>I14+I21+I28</f>
        <v>40768091246</v>
      </c>
      <c r="J34" s="288">
        <f t="shared" ref="J34:K34" si="2">J14+J21+J28</f>
        <v>0</v>
      </c>
      <c r="K34" s="288">
        <f t="shared" si="2"/>
        <v>6423990709</v>
      </c>
    </row>
    <row r="35" spans="1:11" ht="16.5" customHeight="1" thickTop="1">
      <c r="I35" s="79"/>
      <c r="J35" s="272"/>
      <c r="K35" s="272"/>
    </row>
    <row r="36" spans="1:11" s="464" customFormat="1" ht="18" customHeight="1">
      <c r="A36" s="291" t="s">
        <v>549</v>
      </c>
      <c r="B36" s="86"/>
      <c r="C36" s="86" t="s">
        <v>24</v>
      </c>
      <c r="D36" s="47"/>
      <c r="E36" s="47"/>
      <c r="F36" s="47"/>
      <c r="G36" s="47"/>
      <c r="H36" s="47"/>
      <c r="I36" s="273"/>
      <c r="J36" s="282"/>
      <c r="K36" s="89"/>
    </row>
    <row r="37" spans="1:11" ht="21.95" customHeight="1">
      <c r="I37" s="698">
        <f>I12</f>
        <v>42004</v>
      </c>
      <c r="J37" s="85"/>
      <c r="K37" s="698">
        <f>K12</f>
        <v>41640</v>
      </c>
    </row>
    <row r="38" spans="1:11" ht="21.95" customHeight="1">
      <c r="I38" s="498" t="s">
        <v>543</v>
      </c>
      <c r="J38" s="85"/>
      <c r="K38" s="498" t="s">
        <v>543</v>
      </c>
    </row>
    <row r="39" spans="1:11" s="465" customFormat="1" ht="18.75" customHeight="1">
      <c r="A39" s="82"/>
      <c r="B39" s="83"/>
      <c r="C39" s="83" t="s">
        <v>581</v>
      </c>
      <c r="D39" s="83"/>
      <c r="E39" s="83"/>
      <c r="F39" s="83"/>
      <c r="G39" s="83"/>
      <c r="H39" s="83"/>
      <c r="I39" s="353">
        <f>SUM(I40:I42)</f>
        <v>58749400000</v>
      </c>
      <c r="J39" s="289"/>
      <c r="K39" s="353">
        <f>K40+K44+K45+K46+K47+K49</f>
        <v>8024400000</v>
      </c>
    </row>
    <row r="40" spans="1:11" s="465" customFormat="1" ht="18.75" hidden="1" customHeight="1">
      <c r="A40" s="584"/>
      <c r="B40" s="75"/>
      <c r="C40" s="77" t="s">
        <v>54</v>
      </c>
      <c r="D40" s="75"/>
      <c r="E40" s="75"/>
      <c r="F40" s="75"/>
      <c r="G40" s="75"/>
      <c r="H40" s="75"/>
      <c r="I40" s="363">
        <f>SUM(I42:I43)</f>
        <v>24400000</v>
      </c>
      <c r="J40" s="363"/>
      <c r="K40" s="363">
        <f>SUM(K42:K43)</f>
        <v>8024400000</v>
      </c>
    </row>
    <row r="41" spans="1:11" s="465" customFormat="1" ht="18.75" hidden="1" customHeight="1">
      <c r="A41" s="709"/>
      <c r="B41" s="75"/>
      <c r="C41" s="77" t="s">
        <v>854</v>
      </c>
      <c r="D41" s="75"/>
      <c r="E41" s="75"/>
      <c r="F41" s="75"/>
      <c r="G41" s="75"/>
      <c r="H41" s="75"/>
      <c r="I41" s="363">
        <f>96275000000-37550000000</f>
        <v>58725000000</v>
      </c>
      <c r="J41" s="363"/>
      <c r="K41" s="363"/>
    </row>
    <row r="42" spans="1:11" s="465" customFormat="1" ht="18.75" hidden="1" customHeight="1">
      <c r="A42" s="82"/>
      <c r="B42" s="83"/>
      <c r="C42" s="84" t="s">
        <v>638</v>
      </c>
      <c r="D42" s="83"/>
      <c r="E42" s="83"/>
      <c r="F42" s="83"/>
      <c r="G42" s="83"/>
      <c r="H42" s="83"/>
      <c r="I42" s="73">
        <v>0</v>
      </c>
      <c r="J42" s="73"/>
      <c r="K42" s="73">
        <v>8000000000</v>
      </c>
    </row>
    <row r="43" spans="1:11" s="465" customFormat="1" ht="18.75" hidden="1" customHeight="1">
      <c r="A43" s="520"/>
      <c r="C43" s="433" t="s">
        <v>637</v>
      </c>
      <c r="I43" s="505">
        <v>24400000</v>
      </c>
      <c r="J43" s="505"/>
      <c r="K43" s="505">
        <v>24400000</v>
      </c>
    </row>
    <row r="44" spans="1:11" ht="17.25" hidden="1" customHeight="1">
      <c r="A44" s="432"/>
      <c r="B44" s="433"/>
      <c r="C44" s="433" t="s">
        <v>755</v>
      </c>
      <c r="D44" s="433"/>
      <c r="E44" s="433"/>
      <c r="F44" s="433"/>
      <c r="G44" s="433"/>
      <c r="H44" s="433"/>
      <c r="I44" s="505" t="e">
        <f>850000000-#REF!</f>
        <v>#REF!</v>
      </c>
      <c r="J44" s="505"/>
      <c r="K44" s="505">
        <v>0</v>
      </c>
    </row>
    <row r="45" spans="1:11" ht="21.75" hidden="1" customHeight="1">
      <c r="A45" s="432"/>
      <c r="B45" s="433"/>
      <c r="C45" s="630" t="s">
        <v>751</v>
      </c>
      <c r="D45" s="433"/>
      <c r="E45" s="433"/>
      <c r="F45" s="433"/>
      <c r="G45" s="433"/>
      <c r="H45" s="433"/>
      <c r="I45" s="505">
        <v>0</v>
      </c>
      <c r="J45" s="505"/>
      <c r="K45" s="505">
        <v>0</v>
      </c>
    </row>
    <row r="46" spans="1:11" ht="21.75" hidden="1" customHeight="1">
      <c r="A46" s="432"/>
      <c r="B46" s="433"/>
      <c r="C46" s="508" t="s">
        <v>674</v>
      </c>
      <c r="D46" s="627"/>
      <c r="E46" s="627"/>
      <c r="F46" s="627"/>
      <c r="G46" s="627"/>
      <c r="H46" s="433"/>
      <c r="I46" s="505">
        <v>0</v>
      </c>
      <c r="J46" s="505"/>
      <c r="K46" s="505">
        <v>0</v>
      </c>
    </row>
    <row r="47" spans="1:11" s="465" customFormat="1" ht="18.75" hidden="1" customHeight="1">
      <c r="A47" s="520"/>
      <c r="C47" s="433" t="s">
        <v>58</v>
      </c>
      <c r="D47" s="631"/>
      <c r="E47" s="631"/>
      <c r="F47" s="631"/>
      <c r="G47" s="631"/>
      <c r="I47" s="505">
        <v>0</v>
      </c>
      <c r="J47" s="505"/>
      <c r="K47" s="505">
        <f>K48</f>
        <v>0</v>
      </c>
    </row>
    <row r="48" spans="1:11" ht="18.75" hidden="1" customHeight="1">
      <c r="A48" s="432"/>
      <c r="B48" s="433"/>
      <c r="C48" s="433" t="s">
        <v>754</v>
      </c>
      <c r="D48" s="627"/>
      <c r="E48" s="627"/>
      <c r="F48" s="627"/>
      <c r="G48" s="627"/>
      <c r="H48" s="433"/>
      <c r="I48" s="505">
        <v>0</v>
      </c>
      <c r="J48" s="505"/>
      <c r="K48" s="505">
        <v>0</v>
      </c>
    </row>
    <row r="49" spans="1:14" ht="21.75" hidden="1" customHeight="1">
      <c r="A49" s="432"/>
      <c r="B49" s="433"/>
      <c r="C49" s="433" t="s">
        <v>130</v>
      </c>
      <c r="D49" s="627"/>
      <c r="E49" s="627"/>
      <c r="F49" s="627"/>
      <c r="G49" s="627"/>
      <c r="H49" s="433"/>
      <c r="I49" s="505">
        <f>I50</f>
        <v>0</v>
      </c>
      <c r="J49" s="505"/>
      <c r="K49" s="505">
        <v>0</v>
      </c>
    </row>
    <row r="50" spans="1:14" ht="21.75" hidden="1" customHeight="1">
      <c r="A50" s="432"/>
      <c r="B50" s="433"/>
      <c r="C50" s="433" t="s">
        <v>767</v>
      </c>
      <c r="D50" s="627"/>
      <c r="E50" s="627"/>
      <c r="F50" s="627"/>
      <c r="G50" s="627"/>
      <c r="H50" s="433"/>
      <c r="I50" s="505">
        <v>0</v>
      </c>
      <c r="J50" s="505"/>
      <c r="K50" s="505">
        <v>0</v>
      </c>
    </row>
    <row r="51" spans="1:14" ht="18.75" hidden="1" customHeight="1">
      <c r="A51" s="292"/>
      <c r="B51" s="84"/>
      <c r="C51" s="470" t="s">
        <v>54</v>
      </c>
      <c r="D51" s="108"/>
      <c r="E51" s="108"/>
      <c r="F51" s="108"/>
      <c r="G51" s="108"/>
      <c r="H51" s="84"/>
      <c r="I51" s="73">
        <v>0</v>
      </c>
      <c r="J51" s="73"/>
      <c r="K51" s="73">
        <v>0</v>
      </c>
    </row>
    <row r="52" spans="1:14" s="465" customFormat="1" ht="18.75" customHeight="1">
      <c r="A52" s="82"/>
      <c r="B52" s="83"/>
      <c r="C52" s="83" t="s">
        <v>582</v>
      </c>
      <c r="D52" s="296"/>
      <c r="E52" s="296"/>
      <c r="F52" s="296"/>
      <c r="G52" s="296"/>
      <c r="H52" s="83"/>
      <c r="I52" s="289">
        <f>I53</f>
        <v>-14400000</v>
      </c>
      <c r="J52" s="289"/>
      <c r="K52" s="289">
        <f>K53</f>
        <v>-14400000</v>
      </c>
    </row>
    <row r="53" spans="1:14" ht="18.75" hidden="1" customHeight="1">
      <c r="A53" s="286"/>
      <c r="B53" s="77"/>
      <c r="C53" s="77" t="s">
        <v>54</v>
      </c>
      <c r="D53" s="580"/>
      <c r="E53" s="580"/>
      <c r="F53" s="580"/>
      <c r="G53" s="580"/>
      <c r="I53" s="363">
        <f>I54</f>
        <v>-14400000</v>
      </c>
      <c r="J53" s="363"/>
      <c r="K53" s="363">
        <f>K54</f>
        <v>-14400000</v>
      </c>
    </row>
    <row r="54" spans="1:14" ht="18.75" customHeight="1">
      <c r="A54" s="432"/>
      <c r="B54" s="433"/>
      <c r="C54" s="433" t="s">
        <v>644</v>
      </c>
      <c r="D54" s="627"/>
      <c r="E54" s="627"/>
      <c r="F54" s="627"/>
      <c r="G54" s="627"/>
      <c r="H54" s="433"/>
      <c r="I54" s="505">
        <v>-14400000</v>
      </c>
      <c r="J54" s="505"/>
      <c r="K54" s="505">
        <v>-14400000</v>
      </c>
    </row>
    <row r="55" spans="1:14" ht="18" customHeight="1" thickBot="1">
      <c r="C55" s="75" t="s">
        <v>508</v>
      </c>
      <c r="I55" s="288">
        <f>I39+I52</f>
        <v>58735000000</v>
      </c>
      <c r="J55" s="288">
        <f t="shared" ref="J55:K55" si="3">J39+J52</f>
        <v>0</v>
      </c>
      <c r="K55" s="288">
        <f t="shared" si="3"/>
        <v>8010000000</v>
      </c>
    </row>
    <row r="56" spans="1:14" ht="24" hidden="1" customHeight="1" thickTop="1">
      <c r="C56" s="75"/>
      <c r="I56" s="281"/>
      <c r="K56" s="281"/>
    </row>
    <row r="57" spans="1:14" ht="16.5" customHeight="1" thickTop="1">
      <c r="C57" s="75"/>
      <c r="I57" s="281"/>
      <c r="K57" s="281"/>
    </row>
    <row r="58" spans="1:14" s="464" customFormat="1" ht="15" customHeight="1">
      <c r="A58" s="291" t="s">
        <v>542</v>
      </c>
      <c r="B58" s="86"/>
      <c r="C58" s="86" t="s">
        <v>444</v>
      </c>
      <c r="D58" s="47"/>
      <c r="E58" s="47"/>
      <c r="F58" s="47"/>
      <c r="G58" s="47"/>
      <c r="H58" s="47"/>
      <c r="I58" s="273"/>
      <c r="J58" s="282"/>
      <c r="K58" s="89"/>
    </row>
    <row r="59" spans="1:14" ht="15" customHeight="1">
      <c r="I59" s="698">
        <f>I12</f>
        <v>42004</v>
      </c>
      <c r="J59" s="85"/>
      <c r="K59" s="698">
        <f>K37</f>
        <v>41640</v>
      </c>
    </row>
    <row r="60" spans="1:14" ht="15" customHeight="1">
      <c r="I60" s="498" t="s">
        <v>543</v>
      </c>
      <c r="J60" s="85"/>
      <c r="K60" s="498" t="s">
        <v>543</v>
      </c>
      <c r="L60" s="586"/>
      <c r="M60" s="586" t="s">
        <v>74</v>
      </c>
      <c r="N60" s="586" t="s">
        <v>596</v>
      </c>
    </row>
    <row r="61" spans="1:14" ht="15.95" customHeight="1">
      <c r="A61" s="432"/>
      <c r="B61" s="433"/>
      <c r="C61" s="433" t="s">
        <v>756</v>
      </c>
      <c r="D61" s="433"/>
      <c r="E61" s="433"/>
      <c r="F61" s="433"/>
      <c r="G61" s="433"/>
      <c r="H61" s="433"/>
      <c r="I61" s="504">
        <v>25700000000</v>
      </c>
      <c r="J61" s="505"/>
      <c r="K61" s="504">
        <v>25700000000</v>
      </c>
    </row>
    <row r="62" spans="1:14" ht="15.95" customHeight="1">
      <c r="A62" s="432"/>
      <c r="B62" s="433"/>
      <c r="C62" s="433" t="s">
        <v>827</v>
      </c>
      <c r="D62" s="433"/>
      <c r="E62" s="433"/>
      <c r="F62" s="433"/>
      <c r="G62" s="433"/>
      <c r="H62" s="433"/>
      <c r="I62" s="504"/>
      <c r="J62" s="505"/>
      <c r="K62" s="504">
        <v>23867462</v>
      </c>
    </row>
    <row r="63" spans="1:14" ht="15.95" customHeight="1">
      <c r="A63" s="432"/>
      <c r="B63" s="433"/>
      <c r="C63" s="433" t="s">
        <v>718</v>
      </c>
      <c r="D63" s="433"/>
      <c r="E63" s="433"/>
      <c r="F63" s="433"/>
      <c r="G63" s="433"/>
      <c r="H63" s="433"/>
      <c r="I63" s="504">
        <v>1026944329</v>
      </c>
      <c r="J63" s="505"/>
      <c r="K63" s="504">
        <v>1606206954</v>
      </c>
      <c r="L63" s="690"/>
    </row>
    <row r="64" spans="1:14" ht="15.95" customHeight="1" thickBot="1">
      <c r="C64" s="75" t="s">
        <v>508</v>
      </c>
      <c r="I64" s="288">
        <f>SUM(I61:I63)</f>
        <v>26726944329</v>
      </c>
      <c r="J64" s="288">
        <f t="shared" ref="J64" si="4">SUM(J61:J63)</f>
        <v>0</v>
      </c>
      <c r="K64" s="288">
        <f>SUM(K61:K63)</f>
        <v>27330074416</v>
      </c>
    </row>
    <row r="65" spans="1:11" ht="30" customHeight="1" thickTop="1">
      <c r="C65" s="75"/>
      <c r="I65" s="281"/>
      <c r="K65" s="281"/>
    </row>
    <row r="66" spans="1:11" ht="15" customHeight="1">
      <c r="A66" s="291" t="s">
        <v>552</v>
      </c>
      <c r="B66" s="86"/>
      <c r="C66" s="86" t="s">
        <v>519</v>
      </c>
      <c r="I66" s="79"/>
      <c r="J66" s="272"/>
      <c r="K66" s="272"/>
    </row>
    <row r="67" spans="1:11" ht="15" customHeight="1">
      <c r="I67" s="698">
        <f>I12</f>
        <v>42004</v>
      </c>
      <c r="J67" s="85"/>
      <c r="K67" s="698">
        <f>K59</f>
        <v>41640</v>
      </c>
    </row>
    <row r="68" spans="1:11" ht="15" customHeight="1">
      <c r="I68" s="498" t="s">
        <v>543</v>
      </c>
      <c r="J68" s="85"/>
      <c r="K68" s="498" t="s">
        <v>543</v>
      </c>
    </row>
    <row r="69" spans="1:11" ht="18" customHeight="1">
      <c r="A69" s="286"/>
      <c r="B69" s="77"/>
      <c r="C69" s="77" t="s">
        <v>59</v>
      </c>
      <c r="I69" s="109">
        <v>0</v>
      </c>
      <c r="J69" s="109"/>
      <c r="K69" s="109">
        <v>0</v>
      </c>
    </row>
    <row r="70" spans="1:11" ht="18" customHeight="1">
      <c r="A70" s="286"/>
      <c r="B70" s="77"/>
      <c r="C70" s="77" t="s">
        <v>60</v>
      </c>
      <c r="I70" s="109">
        <v>8699437</v>
      </c>
      <c r="J70" s="109"/>
      <c r="K70" s="109">
        <v>2671585</v>
      </c>
    </row>
    <row r="71" spans="1:11" ht="18" customHeight="1">
      <c r="A71" s="286"/>
      <c r="B71" s="77"/>
      <c r="C71" s="77" t="s">
        <v>22</v>
      </c>
      <c r="I71" s="109">
        <v>3560233</v>
      </c>
      <c r="J71" s="109"/>
      <c r="K71" s="109">
        <v>6556374</v>
      </c>
    </row>
    <row r="72" spans="1:11" ht="18" customHeight="1">
      <c r="A72" s="286"/>
      <c r="B72" s="77"/>
      <c r="C72" s="77" t="s">
        <v>645</v>
      </c>
      <c r="I72" s="109">
        <f>236562608663+17773048212+1280733360-2167030392</f>
        <v>253449359843</v>
      </c>
      <c r="J72" s="109"/>
      <c r="K72" s="109">
        <v>320984716513</v>
      </c>
    </row>
    <row r="73" spans="1:11" ht="18" customHeight="1">
      <c r="A73" s="286"/>
      <c r="B73" s="77"/>
      <c r="C73" s="77" t="s">
        <v>61</v>
      </c>
      <c r="I73" s="109">
        <v>210892845</v>
      </c>
      <c r="J73" s="109"/>
      <c r="K73" s="109">
        <v>99852320</v>
      </c>
    </row>
    <row r="74" spans="1:11" ht="18" customHeight="1">
      <c r="A74" s="286"/>
      <c r="B74" s="77"/>
      <c r="C74" s="77" t="s">
        <v>62</v>
      </c>
      <c r="I74" s="109">
        <v>193992925</v>
      </c>
      <c r="J74" s="109"/>
      <c r="K74" s="109">
        <v>193992925</v>
      </c>
    </row>
    <row r="75" spans="1:11" s="514" customFormat="1" ht="18" customHeight="1" thickBot="1">
      <c r="A75" s="509"/>
      <c r="B75" s="510"/>
      <c r="C75" s="510" t="s">
        <v>585</v>
      </c>
      <c r="D75" s="511"/>
      <c r="E75" s="511"/>
      <c r="F75" s="511"/>
      <c r="G75" s="511"/>
      <c r="H75" s="511"/>
      <c r="I75" s="512">
        <f>I74+I73+I72+I71+I70+I69</f>
        <v>253866505283</v>
      </c>
      <c r="J75" s="513"/>
      <c r="K75" s="512">
        <f>K74+K73+K72+K71+K70+K69</f>
        <v>321287789717</v>
      </c>
    </row>
    <row r="76" spans="1:11" ht="12.75" customHeight="1" thickTop="1">
      <c r="C76" s="75"/>
      <c r="I76" s="285"/>
      <c r="J76" s="363"/>
      <c r="K76" s="285"/>
    </row>
    <row r="77" spans="1:11" ht="31.5" customHeight="1">
      <c r="C77" s="772" t="s">
        <v>703</v>
      </c>
      <c r="D77" s="772"/>
      <c r="E77" s="772"/>
      <c r="F77" s="772"/>
      <c r="G77" s="772"/>
      <c r="H77" s="772"/>
      <c r="I77" s="772"/>
      <c r="J77" s="772"/>
      <c r="K77" s="772"/>
    </row>
    <row r="78" spans="1:11" ht="19.5" customHeight="1">
      <c r="C78" s="75"/>
      <c r="I78" s="281"/>
      <c r="K78" s="281"/>
    </row>
    <row r="79" spans="1:11" s="466" customFormat="1" ht="15.95" customHeight="1">
      <c r="A79" s="434" t="s">
        <v>79</v>
      </c>
      <c r="B79" s="587"/>
      <c r="C79" s="358" t="s">
        <v>665</v>
      </c>
      <c r="D79" s="587"/>
      <c r="E79" s="588"/>
      <c r="F79" s="587"/>
      <c r="G79" s="589"/>
      <c r="H79" s="589"/>
      <c r="I79" s="589"/>
      <c r="J79" s="587"/>
      <c r="K79" s="590"/>
    </row>
    <row r="80" spans="1:11" s="466" customFormat="1" ht="15.95" customHeight="1">
      <c r="A80" s="435"/>
      <c r="B80" s="358"/>
      <c r="C80" s="358"/>
      <c r="D80" s="357"/>
      <c r="E80" s="357"/>
      <c r="F80" s="357"/>
      <c r="G80" s="357"/>
      <c r="H80" s="357"/>
      <c r="I80" s="698">
        <f>I67</f>
        <v>42004</v>
      </c>
      <c r="J80" s="85"/>
      <c r="K80" s="698">
        <f>K67</f>
        <v>41640</v>
      </c>
    </row>
    <row r="81" spans="1:11" s="466" customFormat="1" ht="15.95" customHeight="1">
      <c r="A81" s="434"/>
      <c r="B81" s="587"/>
      <c r="C81" s="358"/>
      <c r="D81" s="587"/>
      <c r="E81" s="588"/>
      <c r="F81" s="587"/>
      <c r="G81" s="589"/>
      <c r="H81" s="589"/>
      <c r="I81" s="498" t="s">
        <v>543</v>
      </c>
      <c r="J81" s="85"/>
      <c r="K81" s="498" t="s">
        <v>543</v>
      </c>
    </row>
    <row r="82" spans="1:11" s="466" customFormat="1" ht="18" customHeight="1">
      <c r="A82" s="530"/>
      <c r="B82" s="591"/>
      <c r="C82" s="466" t="s">
        <v>750</v>
      </c>
      <c r="D82" s="591"/>
      <c r="E82" s="592"/>
      <c r="F82" s="591"/>
      <c r="G82" s="593"/>
      <c r="H82" s="593"/>
      <c r="I82" s="109">
        <v>0</v>
      </c>
      <c r="J82" s="505"/>
      <c r="K82" s="504">
        <v>12572363</v>
      </c>
    </row>
    <row r="83" spans="1:11" s="466" customFormat="1" ht="18" customHeight="1">
      <c r="A83" s="436"/>
      <c r="B83" s="594"/>
      <c r="C83" s="356" t="s">
        <v>463</v>
      </c>
      <c r="D83" s="358"/>
      <c r="E83" s="595"/>
      <c r="F83" s="358"/>
      <c r="G83" s="596"/>
      <c r="H83" s="596"/>
      <c r="I83" s="109">
        <v>0</v>
      </c>
      <c r="J83" s="597"/>
      <c r="K83" s="598">
        <v>6758708</v>
      </c>
    </row>
    <row r="84" spans="1:11" s="466" customFormat="1">
      <c r="A84" s="436"/>
      <c r="B84" s="594"/>
      <c r="C84" s="356" t="s">
        <v>800</v>
      </c>
      <c r="D84" s="358"/>
      <c r="E84" s="595"/>
      <c r="F84" s="358"/>
      <c r="G84" s="596"/>
      <c r="H84" s="596"/>
      <c r="I84" s="109"/>
      <c r="J84" s="597"/>
      <c r="K84" s="598"/>
    </row>
    <row r="85" spans="1:11" s="516" customFormat="1" ht="15.95" customHeight="1" thickBot="1">
      <c r="A85" s="515"/>
      <c r="B85" s="599"/>
      <c r="C85" s="599" t="s">
        <v>346</v>
      </c>
      <c r="D85" s="599"/>
      <c r="E85" s="599"/>
      <c r="F85" s="599"/>
      <c r="G85" s="599"/>
      <c r="H85" s="599"/>
      <c r="I85" s="600">
        <f>SUM(I82:I84)</f>
        <v>0</v>
      </c>
      <c r="J85" s="601"/>
      <c r="K85" s="600">
        <f>SUM(K82:K83)</f>
        <v>19331071</v>
      </c>
    </row>
    <row r="86" spans="1:11" s="467" customFormat="1" ht="18" customHeight="1" thickTop="1">
      <c r="A86" s="437"/>
      <c r="B86" s="438"/>
      <c r="C86" s="439"/>
      <c r="D86" s="438"/>
      <c r="E86" s="440"/>
      <c r="F86" s="438"/>
      <c r="G86" s="441"/>
      <c r="H86" s="441"/>
      <c r="I86" s="441"/>
      <c r="J86" s="438"/>
      <c r="K86" s="442"/>
    </row>
    <row r="87" spans="1:11" s="466" customFormat="1" ht="21.95" customHeight="1">
      <c r="A87" s="434" t="s">
        <v>544</v>
      </c>
      <c r="B87" s="587"/>
      <c r="C87" s="358" t="s">
        <v>671</v>
      </c>
      <c r="D87" s="587"/>
      <c r="E87" s="588"/>
      <c r="F87" s="587"/>
      <c r="G87" s="589"/>
      <c r="H87" s="589"/>
      <c r="I87" s="589"/>
      <c r="J87" s="587"/>
      <c r="K87" s="590"/>
    </row>
    <row r="88" spans="1:11" s="466" customFormat="1" ht="21.95" customHeight="1">
      <c r="A88" s="435"/>
      <c r="B88" s="358"/>
      <c r="C88" s="358"/>
      <c r="D88" s="357"/>
      <c r="E88" s="357"/>
      <c r="F88" s="357"/>
      <c r="G88" s="357"/>
      <c r="H88" s="357"/>
      <c r="I88" s="698">
        <f>I80</f>
        <v>42004</v>
      </c>
      <c r="J88" s="85"/>
      <c r="K88" s="698">
        <f>K80</f>
        <v>41640</v>
      </c>
    </row>
    <row r="89" spans="1:11" s="466" customFormat="1" ht="21.95" customHeight="1">
      <c r="A89" s="434"/>
      <c r="B89" s="587"/>
      <c r="C89" s="358"/>
      <c r="D89" s="587"/>
      <c r="E89" s="588"/>
      <c r="F89" s="587"/>
      <c r="G89" s="589"/>
      <c r="H89" s="589"/>
      <c r="I89" s="498" t="s">
        <v>543</v>
      </c>
      <c r="J89" s="85"/>
      <c r="K89" s="498" t="s">
        <v>543</v>
      </c>
    </row>
    <row r="90" spans="1:11" s="466" customFormat="1" ht="18" customHeight="1">
      <c r="A90" s="436"/>
      <c r="B90" s="594"/>
      <c r="C90" s="356" t="s">
        <v>672</v>
      </c>
      <c r="D90" s="358"/>
      <c r="E90" s="595"/>
      <c r="F90" s="358"/>
      <c r="G90" s="596"/>
      <c r="H90" s="596"/>
      <c r="I90" s="109">
        <v>500000000</v>
      </c>
      <c r="J90" s="597"/>
      <c r="K90" s="598">
        <v>500000000</v>
      </c>
    </row>
    <row r="91" spans="1:11" s="466" customFormat="1" ht="18" customHeight="1">
      <c r="A91" s="436"/>
      <c r="B91" s="594"/>
      <c r="C91" s="356" t="s">
        <v>673</v>
      </c>
      <c r="D91" s="358"/>
      <c r="E91" s="595"/>
      <c r="F91" s="358"/>
      <c r="G91" s="596"/>
      <c r="H91" s="596"/>
      <c r="I91" s="109">
        <v>421918000</v>
      </c>
      <c r="J91" s="597"/>
      <c r="K91" s="598">
        <v>421918000</v>
      </c>
    </row>
    <row r="92" spans="1:11" s="466" customFormat="1" ht="18" customHeight="1">
      <c r="A92" s="436"/>
      <c r="B92" s="594"/>
      <c r="C92" s="356" t="s">
        <v>704</v>
      </c>
      <c r="D92" s="358"/>
      <c r="E92" s="595"/>
      <c r="F92" s="358"/>
      <c r="G92" s="596"/>
      <c r="H92" s="596"/>
      <c r="I92" s="109">
        <v>425444135</v>
      </c>
      <c r="J92" s="597"/>
      <c r="K92" s="598">
        <v>425444135</v>
      </c>
    </row>
    <row r="93" spans="1:11" s="466" customFormat="1" ht="18" customHeight="1">
      <c r="A93" s="436"/>
      <c r="B93" s="594"/>
      <c r="C93" s="356" t="s">
        <v>757</v>
      </c>
      <c r="D93" s="358"/>
      <c r="E93" s="595"/>
      <c r="F93" s="358"/>
      <c r="G93" s="596"/>
      <c r="H93" s="596"/>
      <c r="I93" s="109">
        <v>98000000</v>
      </c>
      <c r="J93" s="597"/>
      <c r="K93" s="598">
        <v>98000000</v>
      </c>
    </row>
    <row r="94" spans="1:11" s="516" customFormat="1" ht="18" customHeight="1" thickBot="1">
      <c r="A94" s="515"/>
      <c r="B94" s="599"/>
      <c r="C94" s="599" t="s">
        <v>346</v>
      </c>
      <c r="D94" s="599"/>
      <c r="E94" s="599"/>
      <c r="F94" s="599"/>
      <c r="G94" s="599"/>
      <c r="H94" s="599"/>
      <c r="I94" s="600">
        <f>SUM(I90:J93)</f>
        <v>1445362135</v>
      </c>
      <c r="J94" s="601"/>
      <c r="K94" s="600">
        <f>SUM(K90:K93)</f>
        <v>1445362135</v>
      </c>
    </row>
    <row r="95" spans="1:11" s="467" customFormat="1" ht="18" customHeight="1" thickTop="1">
      <c r="A95" s="437"/>
      <c r="B95" s="438"/>
      <c r="C95" s="439"/>
      <c r="D95" s="438"/>
      <c r="E95" s="440"/>
      <c r="F95" s="438"/>
      <c r="G95" s="441"/>
      <c r="H95" s="441"/>
      <c r="I95" s="441"/>
      <c r="J95" s="438"/>
      <c r="K95" s="442"/>
    </row>
    <row r="96" spans="1:11" ht="15.95" customHeight="1">
      <c r="C96" s="75"/>
      <c r="I96" s="281"/>
      <c r="K96" s="281"/>
    </row>
    <row r="97" spans="3:11" ht="15.95" customHeight="1">
      <c r="C97" s="75"/>
      <c r="I97" s="281"/>
      <c r="K97" s="281"/>
    </row>
    <row r="98" spans="3:11" ht="15.95" customHeight="1">
      <c r="C98" s="75"/>
      <c r="I98" s="281"/>
      <c r="K98" s="281"/>
    </row>
    <row r="99" spans="3:11" ht="15.95" customHeight="1">
      <c r="C99" s="75"/>
      <c r="I99" s="281"/>
      <c r="K99" s="281"/>
    </row>
    <row r="100" spans="3:11" ht="15.95" customHeight="1">
      <c r="C100" s="75"/>
      <c r="I100" s="281"/>
      <c r="K100" s="281"/>
    </row>
    <row r="101" spans="3:11" ht="15.95" customHeight="1">
      <c r="C101" s="75"/>
      <c r="I101" s="281"/>
      <c r="K101" s="281"/>
    </row>
    <row r="102" spans="3:11" ht="15.95" customHeight="1">
      <c r="C102" s="75"/>
      <c r="I102" s="281"/>
      <c r="K102" s="281"/>
    </row>
    <row r="103" spans="3:11" ht="15.95" customHeight="1">
      <c r="C103" s="75"/>
      <c r="I103" s="281"/>
      <c r="K103" s="281"/>
    </row>
    <row r="104" spans="3:11" ht="15.95" customHeight="1">
      <c r="C104" s="75"/>
      <c r="I104" s="281"/>
      <c r="K104" s="281"/>
    </row>
    <row r="105" spans="3:11" ht="15.95" customHeight="1">
      <c r="C105" s="75"/>
      <c r="I105" s="281"/>
      <c r="K105" s="281"/>
    </row>
    <row r="106" spans="3:11" ht="15.95" customHeight="1">
      <c r="C106" s="75"/>
      <c r="I106" s="281"/>
      <c r="K106" s="281"/>
    </row>
    <row r="107" spans="3:11" ht="15.95" customHeight="1">
      <c r="C107" s="75"/>
      <c r="I107" s="281"/>
      <c r="K107" s="281"/>
    </row>
    <row r="108" spans="3:11" ht="15.95" customHeight="1">
      <c r="C108" s="75"/>
      <c r="I108" s="281"/>
      <c r="K108" s="281"/>
    </row>
    <row r="109" spans="3:11" ht="15.95" customHeight="1">
      <c r="C109" s="75"/>
      <c r="I109" s="281"/>
      <c r="K109" s="281"/>
    </row>
    <row r="110" spans="3:11" ht="15.95" customHeight="1">
      <c r="C110" s="75"/>
      <c r="I110" s="281"/>
      <c r="K110" s="281"/>
    </row>
    <row r="111" spans="3:11" ht="15.95" customHeight="1">
      <c r="C111" s="75"/>
      <c r="I111" s="281"/>
      <c r="K111" s="281"/>
    </row>
    <row r="112" spans="3:11" ht="15.95" customHeight="1">
      <c r="C112" s="75"/>
      <c r="I112" s="281"/>
      <c r="K112" s="281"/>
    </row>
    <row r="113" spans="3:11" ht="15.95" customHeight="1">
      <c r="C113" s="75"/>
      <c r="I113" s="281"/>
      <c r="K113" s="281"/>
    </row>
    <row r="114" spans="3:11" ht="15.95" customHeight="1">
      <c r="C114" s="75"/>
      <c r="I114" s="281"/>
      <c r="K114" s="281"/>
    </row>
    <row r="115" spans="3:11" ht="15.95" customHeight="1">
      <c r="C115" s="75"/>
      <c r="I115" s="281"/>
      <c r="K115" s="281"/>
    </row>
    <row r="116" spans="3:11" ht="15.95" customHeight="1">
      <c r="C116" s="75"/>
      <c r="I116" s="281"/>
      <c r="K116" s="281"/>
    </row>
    <row r="117" spans="3:11" ht="15.95" customHeight="1">
      <c r="C117" s="75"/>
      <c r="I117" s="281"/>
      <c r="K117" s="281"/>
    </row>
    <row r="118" spans="3:11" ht="15.95" customHeight="1">
      <c r="C118" s="75"/>
      <c r="I118" s="281"/>
      <c r="K118" s="281"/>
    </row>
    <row r="119" spans="3:11" ht="15.95" customHeight="1">
      <c r="C119" s="75"/>
      <c r="I119" s="281"/>
      <c r="K119" s="281"/>
    </row>
    <row r="120" spans="3:11" ht="15.95" customHeight="1">
      <c r="C120" s="75"/>
      <c r="I120" s="281"/>
      <c r="K120" s="281"/>
    </row>
    <row r="121" spans="3:11" ht="15.95" customHeight="1">
      <c r="C121" s="75"/>
      <c r="I121" s="281"/>
      <c r="K121" s="281"/>
    </row>
    <row r="122" spans="3:11" ht="15.95" customHeight="1">
      <c r="C122" s="75"/>
      <c r="I122" s="281"/>
      <c r="K122" s="281"/>
    </row>
    <row r="123" spans="3:11" ht="14.25" customHeight="1">
      <c r="C123" s="75"/>
      <c r="I123" s="281"/>
      <c r="K123" s="281"/>
    </row>
    <row r="124" spans="3:11" ht="14.25" customHeight="1">
      <c r="C124" s="75"/>
      <c r="I124" s="281"/>
      <c r="K124" s="281"/>
    </row>
    <row r="125" spans="3:11" ht="14.25" customHeight="1">
      <c r="C125" s="75"/>
      <c r="I125" s="281"/>
      <c r="K125" s="281"/>
    </row>
    <row r="126" spans="3:11" ht="14.25" customHeight="1">
      <c r="C126" s="75"/>
      <c r="I126" s="281"/>
      <c r="K126" s="281"/>
    </row>
    <row r="127" spans="3:11" ht="24.75" customHeight="1">
      <c r="C127" s="75"/>
      <c r="I127" s="281"/>
      <c r="K127" s="281"/>
    </row>
    <row r="128" spans="3:11" ht="14.25" customHeight="1">
      <c r="C128" s="75"/>
      <c r="I128" s="281"/>
      <c r="K128" s="281"/>
    </row>
    <row r="129" spans="1:11" ht="31.5" customHeight="1">
      <c r="C129" s="75"/>
      <c r="I129" s="281"/>
      <c r="K129" s="281"/>
    </row>
    <row r="130" spans="1:11" ht="31.5" customHeight="1">
      <c r="A130" s="692"/>
      <c r="C130" s="75"/>
      <c r="I130" s="281"/>
      <c r="K130" s="281"/>
    </row>
    <row r="131" spans="1:11" ht="31.5" customHeight="1">
      <c r="A131" s="692"/>
      <c r="C131" s="75"/>
      <c r="I131" s="281"/>
      <c r="K131" s="281"/>
    </row>
    <row r="132" spans="1:11" ht="31.5" customHeight="1">
      <c r="A132" s="692"/>
      <c r="C132" s="75"/>
      <c r="I132" s="281"/>
      <c r="K132" s="281"/>
    </row>
    <row r="133" spans="1:11" ht="31.5" customHeight="1">
      <c r="A133" s="692"/>
      <c r="C133" s="75"/>
      <c r="I133" s="281"/>
      <c r="K133" s="281"/>
    </row>
    <row r="134" spans="1:11" ht="31.5" customHeight="1">
      <c r="A134" s="692"/>
      <c r="C134" s="75"/>
      <c r="I134" s="281"/>
      <c r="K134" s="281"/>
    </row>
    <row r="135" spans="1:11" ht="31.5" customHeight="1">
      <c r="A135" s="692"/>
      <c r="C135" s="75"/>
      <c r="I135" s="281"/>
      <c r="K135" s="281"/>
    </row>
    <row r="136" spans="1:11" ht="31.5" customHeight="1">
      <c r="A136" s="692"/>
      <c r="C136" s="75"/>
      <c r="I136" s="281"/>
      <c r="K136" s="281"/>
    </row>
    <row r="137" spans="1:11" ht="14.25" customHeight="1">
      <c r="C137" s="75"/>
      <c r="I137" s="281"/>
      <c r="K137" s="281"/>
    </row>
    <row r="138" spans="1:11" ht="14.25" customHeight="1">
      <c r="C138" s="75"/>
      <c r="I138" s="281"/>
      <c r="K138" s="281"/>
    </row>
    <row r="139" spans="1:11" ht="14.25" customHeight="1">
      <c r="C139" s="75"/>
      <c r="I139" s="281"/>
      <c r="K139" s="281"/>
    </row>
    <row r="140" spans="1:11" ht="14.25" customHeight="1">
      <c r="C140" s="75"/>
      <c r="I140" s="281"/>
      <c r="K140" s="281"/>
    </row>
    <row r="141" spans="1:11" ht="14.25" customHeight="1">
      <c r="C141" s="75"/>
      <c r="I141" s="281"/>
      <c r="K141" s="281"/>
    </row>
    <row r="142" spans="1:11" ht="14.25" customHeight="1">
      <c r="C142" s="75"/>
      <c r="I142" s="281"/>
      <c r="K142" s="281"/>
    </row>
    <row r="143" spans="1:11" ht="14.25" customHeight="1">
      <c r="C143" s="75"/>
      <c r="I143" s="281"/>
      <c r="K143" s="281"/>
    </row>
    <row r="144" spans="1:11" ht="14.25" customHeight="1">
      <c r="C144" s="75"/>
      <c r="I144" s="281"/>
      <c r="K144" s="281"/>
    </row>
    <row r="145" spans="1:11" ht="14.25" customHeight="1">
      <c r="A145" s="703"/>
      <c r="C145" s="75"/>
      <c r="I145" s="281"/>
      <c r="K145" s="281"/>
    </row>
    <row r="146" spans="1:11" ht="14.25" customHeight="1">
      <c r="A146" s="703"/>
      <c r="C146" s="75"/>
      <c r="I146" s="281"/>
      <c r="K146" s="281"/>
    </row>
    <row r="147" spans="1:11" ht="14.25" customHeight="1">
      <c r="A147" s="703"/>
      <c r="C147" s="75"/>
      <c r="I147" s="281"/>
      <c r="K147" s="281"/>
    </row>
    <row r="148" spans="1:11" ht="14.25" customHeight="1">
      <c r="A148" s="703"/>
      <c r="C148" s="75"/>
      <c r="I148" s="281"/>
      <c r="K148" s="281"/>
    </row>
    <row r="149" spans="1:11" ht="14.25" customHeight="1">
      <c r="A149" s="692"/>
      <c r="C149" s="75"/>
      <c r="I149" s="281"/>
      <c r="K149" s="281"/>
    </row>
    <row r="150" spans="1:11" ht="14.25" customHeight="1">
      <c r="A150" s="704"/>
      <c r="C150" s="75"/>
      <c r="I150" s="281"/>
      <c r="K150" s="281"/>
    </row>
    <row r="151" spans="1:11" ht="14.25" customHeight="1">
      <c r="A151" s="704"/>
      <c r="C151" s="75"/>
      <c r="I151" s="281"/>
      <c r="K151" s="281"/>
    </row>
    <row r="152" spans="1:11" ht="14.25" customHeight="1">
      <c r="A152" s="704"/>
      <c r="C152" s="75"/>
      <c r="I152" s="281"/>
      <c r="K152" s="281"/>
    </row>
    <row r="153" spans="1:11" ht="14.25" customHeight="1">
      <c r="A153" s="713"/>
      <c r="C153" s="75"/>
      <c r="I153" s="281"/>
      <c r="K153" s="281"/>
    </row>
    <row r="154" spans="1:11" ht="14.25" customHeight="1">
      <c r="A154" s="713"/>
      <c r="C154" s="75"/>
      <c r="I154" s="281"/>
      <c r="K154" s="281"/>
    </row>
    <row r="155" spans="1:11" ht="14.25" customHeight="1">
      <c r="A155" s="713"/>
      <c r="C155" s="75"/>
      <c r="I155" s="281"/>
      <c r="K155" s="281"/>
    </row>
    <row r="156" spans="1:11" s="638" customFormat="1" ht="15" customHeight="1">
      <c r="A156" s="643" t="s">
        <v>546</v>
      </c>
      <c r="B156" s="75"/>
      <c r="C156" s="130" t="s">
        <v>137</v>
      </c>
      <c r="E156" s="634"/>
      <c r="F156" s="634"/>
      <c r="G156" s="634"/>
      <c r="H156" s="634"/>
      <c r="I156" s="642"/>
      <c r="J156" s="634"/>
      <c r="K156" s="642"/>
    </row>
    <row r="157" spans="1:11" ht="15" customHeight="1">
      <c r="C157" s="130"/>
      <c r="E157" s="117"/>
      <c r="F157" s="117"/>
      <c r="G157" s="117"/>
      <c r="H157" s="117"/>
      <c r="I157" s="368"/>
      <c r="J157" s="117"/>
      <c r="K157" s="367" t="s">
        <v>397</v>
      </c>
    </row>
    <row r="158" spans="1:11" ht="15" customHeight="1">
      <c r="C158" s="786" t="s">
        <v>509</v>
      </c>
      <c r="E158" s="786" t="s">
        <v>138</v>
      </c>
      <c r="F158" s="117"/>
      <c r="G158" s="788" t="s">
        <v>128</v>
      </c>
      <c r="H158" s="117"/>
      <c r="I158" s="788" t="s">
        <v>597</v>
      </c>
      <c r="J158" s="117"/>
      <c r="K158" s="786" t="s">
        <v>508</v>
      </c>
    </row>
    <row r="159" spans="1:11" ht="15" customHeight="1">
      <c r="C159" s="787"/>
      <c r="E159" s="787"/>
      <c r="F159" s="117"/>
      <c r="G159" s="789"/>
      <c r="H159" s="117"/>
      <c r="I159" s="789"/>
      <c r="J159" s="117"/>
      <c r="K159" s="787"/>
    </row>
    <row r="160" spans="1:11" ht="1.5" customHeight="1">
      <c r="C160" s="130"/>
      <c r="E160" s="117"/>
      <c r="F160" s="117"/>
      <c r="G160" s="140"/>
      <c r="H160" s="117"/>
      <c r="I160" s="140"/>
      <c r="J160" s="117"/>
      <c r="K160" s="368"/>
    </row>
    <row r="161" spans="3:11" ht="18" customHeight="1">
      <c r="C161" s="256" t="s">
        <v>139</v>
      </c>
      <c r="E161" s="117"/>
      <c r="F161" s="117"/>
      <c r="G161" s="140"/>
      <c r="H161" s="117"/>
      <c r="I161" s="140"/>
      <c r="J161" s="117"/>
      <c r="K161" s="368"/>
    </row>
    <row r="162" spans="3:11" ht="18" customHeight="1">
      <c r="C162" s="364" t="s">
        <v>803</v>
      </c>
      <c r="E162" s="250">
        <v>47000000</v>
      </c>
      <c r="F162" s="138"/>
      <c r="G162" s="141">
        <v>256705750</v>
      </c>
      <c r="H162" s="138"/>
      <c r="I162" s="141">
        <v>267227596</v>
      </c>
      <c r="J162" s="138"/>
      <c r="K162" s="369">
        <f>SUM(E162:I162)</f>
        <v>570933346</v>
      </c>
    </row>
    <row r="163" spans="3:11" ht="18" customHeight="1">
      <c r="C163" s="364" t="s">
        <v>344</v>
      </c>
      <c r="E163" s="141">
        <v>0</v>
      </c>
      <c r="F163" s="138"/>
      <c r="G163" s="141">
        <v>0</v>
      </c>
      <c r="H163" s="138"/>
      <c r="I163" s="141">
        <v>0</v>
      </c>
      <c r="J163" s="138"/>
      <c r="K163" s="369">
        <f t="shared" ref="K163:K168" si="5">SUM(E163:I163)</f>
        <v>0</v>
      </c>
    </row>
    <row r="164" spans="3:11" ht="15" customHeight="1">
      <c r="C164" s="364" t="s">
        <v>828</v>
      </c>
      <c r="E164" s="141">
        <v>15000000</v>
      </c>
      <c r="F164" s="138"/>
      <c r="G164" s="141">
        <v>-15000000</v>
      </c>
      <c r="H164" s="138"/>
      <c r="I164" s="141">
        <v>0</v>
      </c>
      <c r="J164" s="138"/>
      <c r="K164" s="369">
        <f t="shared" si="5"/>
        <v>0</v>
      </c>
    </row>
    <row r="165" spans="3:11" ht="18" customHeight="1">
      <c r="C165" s="364" t="s">
        <v>347</v>
      </c>
      <c r="E165" s="141">
        <v>0</v>
      </c>
      <c r="F165" s="138"/>
      <c r="G165" s="141">
        <v>0</v>
      </c>
      <c r="H165" s="138"/>
      <c r="I165" s="141">
        <v>0</v>
      </c>
      <c r="J165" s="138"/>
      <c r="K165" s="369">
        <f t="shared" si="5"/>
        <v>0</v>
      </c>
    </row>
    <row r="166" spans="3:11" ht="15" customHeight="1">
      <c r="C166" s="364" t="s">
        <v>351</v>
      </c>
      <c r="E166" s="141">
        <v>0</v>
      </c>
      <c r="F166" s="138"/>
      <c r="G166" s="141">
        <v>0</v>
      </c>
      <c r="H166" s="138"/>
      <c r="I166" s="141">
        <v>0</v>
      </c>
      <c r="J166" s="138"/>
      <c r="K166" s="369">
        <f t="shared" si="5"/>
        <v>0</v>
      </c>
    </row>
    <row r="167" spans="3:11" ht="15" customHeight="1">
      <c r="C167" s="364" t="s">
        <v>792</v>
      </c>
      <c r="E167" s="141">
        <v>0</v>
      </c>
      <c r="F167" s="138"/>
      <c r="G167" s="141">
        <v>0</v>
      </c>
      <c r="H167" s="138"/>
      <c r="I167" s="141">
        <v>0</v>
      </c>
      <c r="J167" s="138"/>
      <c r="K167" s="369">
        <f t="shared" si="5"/>
        <v>0</v>
      </c>
    </row>
    <row r="168" spans="3:11" ht="18" customHeight="1">
      <c r="C168" s="364" t="s">
        <v>855</v>
      </c>
      <c r="E168" s="141">
        <f>SUM(E162:E167)</f>
        <v>62000000</v>
      </c>
      <c r="F168" s="138"/>
      <c r="G168" s="141">
        <f>SUM(G162:G167)</f>
        <v>241705750</v>
      </c>
      <c r="H168" s="138"/>
      <c r="I168" s="141">
        <f>SUM(I162:I167)</f>
        <v>267227596</v>
      </c>
      <c r="J168" s="138"/>
      <c r="K168" s="369">
        <f t="shared" si="5"/>
        <v>570933346</v>
      </c>
    </row>
    <row r="169" spans="3:11" ht="1.5" customHeight="1">
      <c r="C169" s="365"/>
      <c r="E169" s="138"/>
      <c r="F169" s="138"/>
      <c r="G169" s="141"/>
      <c r="H169" s="138"/>
      <c r="I169" s="141"/>
      <c r="J169" s="138"/>
      <c r="K169" s="369"/>
    </row>
    <row r="170" spans="3:11" ht="18" customHeight="1">
      <c r="C170" s="256" t="s">
        <v>467</v>
      </c>
      <c r="E170" s="138"/>
      <c r="F170" s="138"/>
      <c r="G170" s="141"/>
      <c r="H170" s="138"/>
      <c r="I170" s="141"/>
      <c r="J170" s="138"/>
      <c r="K170" s="369"/>
    </row>
    <row r="171" spans="3:11" ht="18" customHeight="1">
      <c r="C171" s="364" t="s">
        <v>803</v>
      </c>
      <c r="E171" s="250">
        <v>28776013</v>
      </c>
      <c r="F171" s="138"/>
      <c r="G171" s="141">
        <v>254061922</v>
      </c>
      <c r="H171" s="138"/>
      <c r="I171" s="141">
        <v>119692654</v>
      </c>
      <c r="J171" s="138"/>
      <c r="K171" s="369">
        <f t="shared" ref="K171:K176" si="6">SUM(E171:I171)</f>
        <v>402530589</v>
      </c>
    </row>
    <row r="172" spans="3:11" ht="18" customHeight="1">
      <c r="C172" s="364" t="s">
        <v>345</v>
      </c>
      <c r="E172" s="141">
        <v>12400000</v>
      </c>
      <c r="F172" s="138"/>
      <c r="G172" s="141">
        <v>12</v>
      </c>
      <c r="H172" s="138"/>
      <c r="I172" s="141">
        <v>53445520</v>
      </c>
      <c r="J172" s="138"/>
      <c r="K172" s="369">
        <f t="shared" si="6"/>
        <v>65845532</v>
      </c>
    </row>
    <row r="173" spans="3:11" ht="15" customHeight="1">
      <c r="C173" s="364" t="s">
        <v>828</v>
      </c>
      <c r="E173" s="141">
        <v>12356184</v>
      </c>
      <c r="F173" s="138"/>
      <c r="G173" s="141">
        <v>-12356184</v>
      </c>
      <c r="H173" s="138"/>
      <c r="I173" s="141">
        <v>0</v>
      </c>
      <c r="J173" s="138"/>
      <c r="K173" s="369">
        <f t="shared" si="6"/>
        <v>0</v>
      </c>
    </row>
    <row r="174" spans="3:11" ht="15" customHeight="1">
      <c r="C174" s="364" t="s">
        <v>351</v>
      </c>
      <c r="E174" s="250">
        <v>0</v>
      </c>
      <c r="F174" s="138"/>
      <c r="G174" s="141">
        <v>0</v>
      </c>
      <c r="H174" s="138"/>
      <c r="I174" s="141">
        <v>0</v>
      </c>
      <c r="J174" s="138"/>
      <c r="K174" s="369">
        <f t="shared" si="6"/>
        <v>0</v>
      </c>
    </row>
    <row r="175" spans="3:11" ht="15" hidden="1" customHeight="1">
      <c r="C175" s="364" t="s">
        <v>348</v>
      </c>
      <c r="E175" s="141">
        <v>0</v>
      </c>
      <c r="F175" s="138"/>
      <c r="G175" s="141">
        <v>0</v>
      </c>
      <c r="H175" s="138"/>
      <c r="I175" s="141">
        <v>0</v>
      </c>
      <c r="J175" s="138"/>
      <c r="K175" s="369">
        <f t="shared" si="6"/>
        <v>0</v>
      </c>
    </row>
    <row r="176" spans="3:11" ht="18" customHeight="1">
      <c r="C176" s="364" t="s">
        <v>855</v>
      </c>
      <c r="E176" s="141">
        <f>SUM(E171:E175)</f>
        <v>53532197</v>
      </c>
      <c r="F176" s="138"/>
      <c r="G176" s="141">
        <f>SUM(G171:G175)</f>
        <v>241705750</v>
      </c>
      <c r="H176" s="138"/>
      <c r="I176" s="141">
        <f>SUM(I171:I175)</f>
        <v>173138174</v>
      </c>
      <c r="J176" s="138"/>
      <c r="K176" s="369">
        <f t="shared" si="6"/>
        <v>468376121</v>
      </c>
    </row>
    <row r="177" spans="1:11" ht="1.5" customHeight="1">
      <c r="C177" s="365"/>
      <c r="E177" s="138"/>
      <c r="F177" s="138"/>
      <c r="G177" s="141"/>
      <c r="H177" s="138"/>
      <c r="I177" s="141"/>
      <c r="J177" s="138"/>
      <c r="K177" s="369"/>
    </row>
    <row r="178" spans="1:11" ht="18" customHeight="1">
      <c r="C178" s="256" t="s">
        <v>349</v>
      </c>
      <c r="E178" s="141"/>
      <c r="F178" s="138"/>
      <c r="G178" s="141"/>
      <c r="H178" s="138"/>
      <c r="I178" s="141"/>
      <c r="J178" s="138"/>
      <c r="K178" s="369"/>
    </row>
    <row r="179" spans="1:11" ht="18" customHeight="1">
      <c r="C179" s="366" t="s">
        <v>804</v>
      </c>
      <c r="E179" s="152">
        <f>E162-E171</f>
        <v>18223987</v>
      </c>
      <c r="F179" s="138"/>
      <c r="G179" s="369">
        <f>G162-G171</f>
        <v>2643828</v>
      </c>
      <c r="H179" s="138"/>
      <c r="I179" s="369">
        <f>I162-I171</f>
        <v>147534942</v>
      </c>
      <c r="J179" s="138"/>
      <c r="K179" s="369">
        <f>SUM(E179:I179)</f>
        <v>168402757</v>
      </c>
    </row>
    <row r="180" spans="1:11" ht="18" customHeight="1">
      <c r="C180" s="366" t="s">
        <v>856</v>
      </c>
      <c r="E180" s="152">
        <f>E168-E176</f>
        <v>8467803</v>
      </c>
      <c r="F180" s="138"/>
      <c r="G180" s="369">
        <f>G168-G176</f>
        <v>0</v>
      </c>
      <c r="H180" s="138"/>
      <c r="I180" s="369">
        <f>I168-I176</f>
        <v>94089422</v>
      </c>
      <c r="J180" s="138"/>
      <c r="K180" s="369">
        <f>SUM(E180:I180)</f>
        <v>102557225</v>
      </c>
    </row>
    <row r="181" spans="1:11" ht="3.75" customHeight="1">
      <c r="C181" s="75"/>
      <c r="I181" s="281"/>
      <c r="K181" s="281"/>
    </row>
    <row r="182" spans="1:11" ht="15.75" customHeight="1">
      <c r="C182" s="75"/>
      <c r="I182" s="281"/>
      <c r="K182" s="281"/>
    </row>
    <row r="183" spans="1:11" ht="17.25" customHeight="1">
      <c r="A183" s="74" t="s">
        <v>550</v>
      </c>
      <c r="C183" s="86" t="s">
        <v>477</v>
      </c>
      <c r="I183" s="79"/>
      <c r="J183" s="272"/>
      <c r="K183" s="67"/>
    </row>
    <row r="184" spans="1:11">
      <c r="I184" s="698">
        <f>I88</f>
        <v>42004</v>
      </c>
      <c r="J184" s="497"/>
      <c r="K184" s="698">
        <v>41640</v>
      </c>
    </row>
    <row r="185" spans="1:11" ht="18.75" customHeight="1">
      <c r="I185" s="498" t="s">
        <v>543</v>
      </c>
      <c r="J185" s="497"/>
      <c r="K185" s="498" t="s">
        <v>543</v>
      </c>
    </row>
    <row r="186" spans="1:11" ht="1.5" customHeight="1">
      <c r="I186" s="285"/>
      <c r="J186" s="85"/>
      <c r="K186" s="109"/>
    </row>
    <row r="187" spans="1:11" ht="18" customHeight="1">
      <c r="A187" s="286"/>
      <c r="B187" s="77"/>
      <c r="C187" s="77" t="s">
        <v>99</v>
      </c>
      <c r="I187" s="109">
        <v>58015006005</v>
      </c>
      <c r="J187" s="109"/>
      <c r="K187" s="109">
        <v>57877097560</v>
      </c>
    </row>
    <row r="188" spans="1:11" ht="18" customHeight="1">
      <c r="C188" s="77" t="s">
        <v>100</v>
      </c>
      <c r="I188" s="109">
        <v>698745840</v>
      </c>
      <c r="J188" s="109"/>
      <c r="K188" s="109">
        <v>208945668</v>
      </c>
    </row>
    <row r="189" spans="1:11" ht="18" customHeight="1">
      <c r="C189" s="77" t="s">
        <v>728</v>
      </c>
      <c r="I189" s="109">
        <v>246779708646</v>
      </c>
      <c r="J189" s="109"/>
      <c r="K189" s="109">
        <v>76268275539</v>
      </c>
    </row>
    <row r="190" spans="1:11" ht="1.5" customHeight="1">
      <c r="I190" s="285"/>
      <c r="J190" s="85"/>
      <c r="K190" s="109"/>
    </row>
    <row r="191" spans="1:11" ht="17.25" customHeight="1" thickBot="1">
      <c r="C191" s="75" t="s">
        <v>508</v>
      </c>
      <c r="I191" s="288">
        <f>SUM(I187:I189)</f>
        <v>305493460491</v>
      </c>
      <c r="J191" s="363"/>
      <c r="K191" s="288">
        <f>SUM(K187:K189)</f>
        <v>134354318767</v>
      </c>
    </row>
    <row r="192" spans="1:11" ht="15" customHeight="1" thickTop="1">
      <c r="C192" s="75"/>
      <c r="I192" s="281"/>
      <c r="K192" s="281"/>
    </row>
    <row r="193" spans="1:11" s="638" customFormat="1" ht="17.100000000000001" customHeight="1">
      <c r="A193" s="74" t="s">
        <v>551</v>
      </c>
      <c r="B193" s="75"/>
      <c r="C193" s="75" t="s">
        <v>514</v>
      </c>
      <c r="I193" s="639"/>
      <c r="J193" s="640"/>
      <c r="K193" s="641"/>
    </row>
    <row r="194" spans="1:11" ht="17.100000000000001" customHeight="1">
      <c r="A194" s="74"/>
      <c r="C194" s="75"/>
      <c r="I194" s="79"/>
      <c r="J194" s="272"/>
      <c r="K194" s="67" t="s">
        <v>397</v>
      </c>
    </row>
    <row r="195" spans="1:11" ht="17.100000000000001" customHeight="1">
      <c r="A195" s="74"/>
      <c r="C195" s="517" t="s">
        <v>509</v>
      </c>
      <c r="E195" s="300" t="s">
        <v>829</v>
      </c>
      <c r="F195" s="584"/>
      <c r="G195" s="585" t="s">
        <v>570</v>
      </c>
      <c r="H195" s="584"/>
      <c r="I195" s="301" t="s">
        <v>571</v>
      </c>
      <c r="J195" s="582"/>
      <c r="K195" s="710">
        <f>I184</f>
        <v>42004</v>
      </c>
    </row>
    <row r="196" spans="1:11" ht="1.5" customHeight="1">
      <c r="A196" s="74"/>
      <c r="C196" s="75"/>
      <c r="I196" s="79"/>
      <c r="J196" s="272"/>
      <c r="K196" s="302" t="s">
        <v>565</v>
      </c>
    </row>
    <row r="197" spans="1:11" ht="16.5" customHeight="1">
      <c r="A197" s="74"/>
      <c r="C197" s="75" t="s">
        <v>466</v>
      </c>
      <c r="E197" s="350">
        <f>E198+E199</f>
        <v>182512226369</v>
      </c>
      <c r="F197" s="351"/>
      <c r="G197" s="350">
        <f>SUM(G198:G199)</f>
        <v>31590908</v>
      </c>
      <c r="H197" s="351"/>
      <c r="I197" s="85">
        <f>SUM(I198:I199)</f>
        <v>0</v>
      </c>
      <c r="J197" s="85"/>
      <c r="K197" s="285">
        <f>SUM(E197:I197)</f>
        <v>182543817277</v>
      </c>
    </row>
    <row r="198" spans="1:11" ht="16.5" customHeight="1">
      <c r="A198" s="74"/>
      <c r="C198" s="77" t="s">
        <v>101</v>
      </c>
      <c r="E198" s="348">
        <v>179104658369</v>
      </c>
      <c r="F198" s="348"/>
      <c r="G198" s="348">
        <v>31590908</v>
      </c>
      <c r="H198" s="348"/>
      <c r="I198" s="109">
        <v>0</v>
      </c>
      <c r="J198" s="109"/>
      <c r="K198" s="285">
        <f>SUM(E198:I198)</f>
        <v>179136249277</v>
      </c>
    </row>
    <row r="199" spans="1:11" ht="16.5" customHeight="1">
      <c r="A199" s="74"/>
      <c r="C199" s="77" t="s">
        <v>512</v>
      </c>
      <c r="E199" s="348">
        <v>3407568000</v>
      </c>
      <c r="F199" s="348"/>
      <c r="G199" s="348">
        <v>0</v>
      </c>
      <c r="H199" s="348"/>
      <c r="I199" s="109">
        <v>0</v>
      </c>
      <c r="J199" s="109"/>
      <c r="K199" s="285">
        <f>SUM(E199:I199)</f>
        <v>3407568000</v>
      </c>
    </row>
    <row r="200" spans="1:11" ht="12" customHeight="1">
      <c r="A200" s="74"/>
      <c r="E200" s="348"/>
      <c r="F200" s="348"/>
      <c r="G200" s="348"/>
      <c r="H200" s="348"/>
      <c r="I200" s="109"/>
      <c r="J200" s="109"/>
      <c r="K200" s="109"/>
    </row>
    <row r="201" spans="1:11" s="465" customFormat="1" ht="16.5" customHeight="1">
      <c r="A201" s="74"/>
      <c r="B201" s="75"/>
      <c r="C201" s="75" t="s">
        <v>467</v>
      </c>
      <c r="D201" s="75"/>
      <c r="E201" s="347">
        <f>SUM(E202:E203)</f>
        <v>15949567496</v>
      </c>
      <c r="F201" s="347"/>
      <c r="G201" s="347">
        <f>SUM(G202:G203)</f>
        <v>3835764704</v>
      </c>
      <c r="H201" s="347"/>
      <c r="I201" s="285">
        <f>SUM(I202:I203)</f>
        <v>0</v>
      </c>
      <c r="J201" s="285"/>
      <c r="K201" s="285">
        <f>SUM(E201:I201)</f>
        <v>19785332200</v>
      </c>
    </row>
    <row r="202" spans="1:11" ht="16.5" customHeight="1">
      <c r="A202" s="74"/>
      <c r="C202" s="77" t="s">
        <v>101</v>
      </c>
      <c r="E202" s="348">
        <v>15949567496</v>
      </c>
      <c r="F202" s="348"/>
      <c r="G202" s="348">
        <v>3835764704</v>
      </c>
      <c r="H202" s="348"/>
      <c r="I202" s="109">
        <v>0</v>
      </c>
      <c r="J202" s="109"/>
      <c r="K202" s="285">
        <f>SUM(E202:I202)</f>
        <v>19785332200</v>
      </c>
    </row>
    <row r="203" spans="1:11" ht="16.5" customHeight="1">
      <c r="A203" s="74"/>
      <c r="C203" s="77" t="s">
        <v>512</v>
      </c>
      <c r="E203" s="348">
        <v>0</v>
      </c>
      <c r="F203" s="348"/>
      <c r="G203" s="348">
        <v>0</v>
      </c>
      <c r="H203" s="348"/>
      <c r="I203" s="109">
        <v>0</v>
      </c>
      <c r="J203" s="109"/>
      <c r="K203" s="285">
        <f>SUM(E203:I203)</f>
        <v>0</v>
      </c>
    </row>
    <row r="204" spans="1:11" ht="1.5" customHeight="1">
      <c r="A204" s="74"/>
      <c r="E204" s="348"/>
      <c r="F204" s="348"/>
      <c r="G204" s="348"/>
      <c r="H204" s="348"/>
      <c r="I204" s="109"/>
      <c r="J204" s="109"/>
      <c r="K204" s="109"/>
    </row>
    <row r="205" spans="1:11" ht="27.95" customHeight="1">
      <c r="A205" s="74"/>
      <c r="C205" s="76" t="s">
        <v>794</v>
      </c>
      <c r="E205" s="347">
        <f>SUM(E206:E207)</f>
        <v>166562658873</v>
      </c>
      <c r="F205" s="348"/>
      <c r="G205" s="348"/>
      <c r="H205" s="348"/>
      <c r="I205" s="109"/>
      <c r="J205" s="109"/>
      <c r="K205" s="285">
        <f>SUM(K206:K207)</f>
        <v>162758485077</v>
      </c>
    </row>
    <row r="206" spans="1:11" ht="16.5" customHeight="1">
      <c r="A206" s="74"/>
      <c r="C206" s="77" t="s">
        <v>101</v>
      </c>
      <c r="E206" s="352">
        <f>E198-E202</f>
        <v>163155090873</v>
      </c>
      <c r="F206" s="348"/>
      <c r="G206" s="348"/>
      <c r="H206" s="348"/>
      <c r="I206" s="109"/>
      <c r="J206" s="109"/>
      <c r="K206" s="90">
        <f>K198-K202</f>
        <v>159350917077</v>
      </c>
    </row>
    <row r="207" spans="1:11" ht="16.5" customHeight="1">
      <c r="C207" s="77" t="s">
        <v>512</v>
      </c>
      <c r="E207" s="352">
        <f>E199-E203</f>
        <v>3407568000</v>
      </c>
      <c r="F207" s="348"/>
      <c r="G207" s="348"/>
      <c r="H207" s="348"/>
      <c r="I207" s="349"/>
      <c r="J207" s="109"/>
      <c r="K207" s="90">
        <f>K199-K203</f>
        <v>3407568000</v>
      </c>
    </row>
    <row r="208" spans="1:11" ht="15.95" customHeight="1">
      <c r="E208" s="80"/>
      <c r="F208" s="80"/>
      <c r="G208" s="80"/>
      <c r="H208" s="80"/>
      <c r="I208" s="302"/>
      <c r="J208" s="81"/>
      <c r="K208" s="281"/>
    </row>
    <row r="209" spans="1:11" ht="18.75" customHeight="1">
      <c r="A209" s="327" t="s">
        <v>92</v>
      </c>
      <c r="B209" s="86"/>
      <c r="C209" s="86" t="s">
        <v>131</v>
      </c>
      <c r="D209" s="75"/>
      <c r="E209" s="75"/>
      <c r="F209" s="75"/>
      <c r="G209" s="75"/>
      <c r="H209" s="75"/>
      <c r="I209" s="79"/>
      <c r="J209" s="272"/>
      <c r="K209" s="326"/>
    </row>
    <row r="210" spans="1:11" ht="18.75" customHeight="1">
      <c r="C210" s="75"/>
      <c r="D210" s="75"/>
      <c r="E210" s="75"/>
      <c r="F210" s="75"/>
      <c r="G210" s="790" t="s">
        <v>83</v>
      </c>
      <c r="H210" s="75"/>
      <c r="I210" s="699">
        <f>I184</f>
        <v>42004</v>
      </c>
      <c r="J210" s="282"/>
      <c r="K210" s="699">
        <v>41640</v>
      </c>
    </row>
    <row r="211" spans="1:11" ht="18.75" customHeight="1">
      <c r="C211" s="75"/>
      <c r="D211" s="75"/>
      <c r="E211" s="75"/>
      <c r="F211" s="75"/>
      <c r="G211" s="791"/>
      <c r="H211" s="75"/>
      <c r="I211" s="284" t="s">
        <v>543</v>
      </c>
      <c r="J211" s="282"/>
      <c r="K211" s="284" t="s">
        <v>543</v>
      </c>
    </row>
    <row r="212" spans="1:11" ht="18.75" customHeight="1">
      <c r="C212" s="314" t="s">
        <v>132</v>
      </c>
      <c r="D212" s="75"/>
      <c r="E212" s="75"/>
      <c r="F212" s="75"/>
      <c r="G212" s="75"/>
      <c r="H212" s="75"/>
      <c r="I212" s="328">
        <f>I213</f>
        <v>17859067344</v>
      </c>
      <c r="J212" s="329"/>
      <c r="K212" s="328">
        <f>SUM(K213)</f>
        <v>17860940376</v>
      </c>
    </row>
    <row r="213" spans="1:11" ht="18.75" customHeight="1">
      <c r="C213" s="47" t="s">
        <v>133</v>
      </c>
      <c r="D213" s="75"/>
      <c r="E213" s="75"/>
      <c r="F213" s="75"/>
      <c r="G213" s="602">
        <v>0.43</v>
      </c>
      <c r="H213" s="75"/>
      <c r="I213" s="330">
        <f>17900000000-40932656</f>
        <v>17859067344</v>
      </c>
      <c r="J213" s="311"/>
      <c r="K213" s="330">
        <v>17860940376</v>
      </c>
    </row>
    <row r="214" spans="1:11" ht="18.75" customHeight="1" thickBot="1">
      <c r="C214" s="75" t="s">
        <v>508</v>
      </c>
      <c r="D214" s="75"/>
      <c r="E214" s="75"/>
      <c r="F214" s="75"/>
      <c r="G214" s="75"/>
      <c r="H214" s="75"/>
      <c r="I214" s="325">
        <f>I212</f>
        <v>17859067344</v>
      </c>
      <c r="J214" s="272"/>
      <c r="K214" s="325">
        <f>K212</f>
        <v>17860940376</v>
      </c>
    </row>
    <row r="215" spans="1:11" ht="15.95" customHeight="1" thickTop="1">
      <c r="C215" s="75"/>
      <c r="D215" s="75"/>
      <c r="E215" s="75"/>
      <c r="F215" s="75"/>
      <c r="G215" s="75"/>
      <c r="H215" s="75"/>
      <c r="I215" s="79"/>
      <c r="J215" s="272"/>
      <c r="K215" s="326"/>
    </row>
    <row r="216" spans="1:11" ht="18.75" hidden="1" customHeight="1">
      <c r="A216" s="74" t="s">
        <v>93</v>
      </c>
      <c r="C216" s="75" t="s">
        <v>445</v>
      </c>
      <c r="I216" s="285"/>
      <c r="J216" s="85"/>
      <c r="K216" s="109"/>
    </row>
    <row r="217" spans="1:11" ht="18.75" hidden="1" customHeight="1">
      <c r="I217" s="496">
        <f>$I$12</f>
        <v>42004</v>
      </c>
      <c r="J217" s="85"/>
      <c r="K217" s="496">
        <f>$K$12</f>
        <v>41640</v>
      </c>
    </row>
    <row r="218" spans="1:11" ht="18.75" hidden="1" customHeight="1">
      <c r="I218" s="498" t="s">
        <v>543</v>
      </c>
      <c r="J218" s="85"/>
      <c r="K218" s="498" t="s">
        <v>543</v>
      </c>
    </row>
    <row r="219" spans="1:11" ht="18" hidden="1" customHeight="1">
      <c r="C219" s="77" t="s">
        <v>54</v>
      </c>
      <c r="I219" s="348">
        <v>0</v>
      </c>
      <c r="J219" s="348"/>
      <c r="K219" s="348">
        <v>0</v>
      </c>
    </row>
    <row r="220" spans="1:11" ht="18.75" hidden="1" customHeight="1">
      <c r="A220" s="82"/>
      <c r="B220" s="83"/>
      <c r="C220" s="77" t="s">
        <v>739</v>
      </c>
      <c r="D220" s="84"/>
      <c r="E220" s="84"/>
      <c r="F220" s="84"/>
      <c r="G220" s="84"/>
      <c r="H220" s="84"/>
      <c r="I220" s="348" t="e">
        <f>SUM(I221:I223)</f>
        <v>#REF!</v>
      </c>
      <c r="J220" s="348"/>
      <c r="K220" s="348" t="e">
        <f>SUM(K221:K223)</f>
        <v>#REF!</v>
      </c>
    </row>
    <row r="221" spans="1:11" ht="18" hidden="1" customHeight="1">
      <c r="A221" s="82"/>
      <c r="B221" s="83"/>
      <c r="C221" s="84" t="s">
        <v>641</v>
      </c>
      <c r="D221" s="84"/>
      <c r="E221" s="84"/>
      <c r="F221" s="84"/>
      <c r="G221" s="84"/>
      <c r="H221" s="84"/>
      <c r="I221" s="428" t="e">
        <f>96000000000-#REF!</f>
        <v>#REF!</v>
      </c>
      <c r="J221" s="428"/>
      <c r="K221" s="428" t="e">
        <f>96000000000-#REF!</f>
        <v>#REF!</v>
      </c>
    </row>
    <row r="222" spans="1:11" ht="18" hidden="1" customHeight="1">
      <c r="A222" s="82"/>
      <c r="B222" s="83"/>
      <c r="C222" s="84" t="s">
        <v>642</v>
      </c>
      <c r="D222" s="84"/>
      <c r="E222" s="84"/>
      <c r="F222" s="84"/>
      <c r="G222" s="84"/>
      <c r="H222" s="84"/>
      <c r="I222" s="428" t="e">
        <f>29687608018-#REF!</f>
        <v>#REF!</v>
      </c>
      <c r="J222" s="428"/>
      <c r="K222" s="428" t="e">
        <f>29687608018-#REF!</f>
        <v>#REF!</v>
      </c>
    </row>
    <row r="223" spans="1:11" ht="15.95" hidden="1" customHeight="1">
      <c r="A223" s="82"/>
      <c r="B223" s="83"/>
      <c r="C223" s="84" t="s">
        <v>592</v>
      </c>
      <c r="D223" s="84"/>
      <c r="E223" s="84"/>
      <c r="F223" s="84"/>
      <c r="G223" s="84"/>
      <c r="H223" s="84"/>
      <c r="I223" s="428">
        <v>0</v>
      </c>
      <c r="J223" s="428"/>
      <c r="K223" s="428">
        <v>0</v>
      </c>
    </row>
    <row r="224" spans="1:11" ht="15.95" hidden="1" customHeight="1">
      <c r="C224" s="77" t="s">
        <v>56</v>
      </c>
      <c r="E224" s="304"/>
      <c r="F224" s="305"/>
      <c r="G224" s="306"/>
      <c r="I224" s="348">
        <v>0</v>
      </c>
      <c r="J224" s="348"/>
      <c r="K224" s="348">
        <v>0</v>
      </c>
    </row>
    <row r="225" spans="1:11" ht="15.95" hidden="1" customHeight="1">
      <c r="A225" s="82"/>
      <c r="B225" s="83"/>
      <c r="C225" s="77" t="s">
        <v>57</v>
      </c>
      <c r="D225" s="84"/>
      <c r="E225" s="307"/>
      <c r="F225" s="308"/>
      <c r="G225" s="309"/>
      <c r="H225" s="84"/>
      <c r="I225" s="348">
        <v>0</v>
      </c>
      <c r="J225" s="348"/>
      <c r="K225" s="348">
        <f>K226</f>
        <v>0</v>
      </c>
    </row>
    <row r="226" spans="1:11" ht="15.95" hidden="1" customHeight="1">
      <c r="A226" s="82"/>
      <c r="B226" s="83"/>
      <c r="C226" s="84" t="s">
        <v>646</v>
      </c>
      <c r="D226" s="84"/>
      <c r="E226" s="307"/>
      <c r="F226" s="308"/>
      <c r="G226" s="309"/>
      <c r="H226" s="84"/>
      <c r="I226" s="428">
        <v>0</v>
      </c>
      <c r="J226" s="428"/>
      <c r="K226" s="428">
        <v>0</v>
      </c>
    </row>
    <row r="227" spans="1:11" ht="15.95" hidden="1" customHeight="1">
      <c r="C227" s="77" t="s">
        <v>58</v>
      </c>
      <c r="E227" s="304"/>
      <c r="F227" s="305"/>
      <c r="G227" s="306"/>
      <c r="I227" s="348">
        <v>0</v>
      </c>
      <c r="J227" s="348"/>
      <c r="K227" s="348">
        <v>0</v>
      </c>
    </row>
    <row r="228" spans="1:11" ht="15.95" hidden="1" customHeight="1">
      <c r="C228" s="77" t="s">
        <v>130</v>
      </c>
      <c r="E228" s="304"/>
      <c r="F228" s="305"/>
      <c r="G228" s="306"/>
      <c r="I228" s="348">
        <v>0</v>
      </c>
      <c r="J228" s="348"/>
      <c r="K228" s="348">
        <v>0</v>
      </c>
    </row>
    <row r="229" spans="1:11" ht="18.75" hidden="1" customHeight="1" thickBot="1">
      <c r="C229" s="75" t="s">
        <v>508</v>
      </c>
      <c r="I229" s="288" t="e">
        <f>I220+I225</f>
        <v>#REF!</v>
      </c>
      <c r="J229" s="363"/>
      <c r="K229" s="288" t="e">
        <f>K220+K225</f>
        <v>#REF!</v>
      </c>
    </row>
    <row r="230" spans="1:11" ht="18.75" hidden="1" customHeight="1" thickTop="1">
      <c r="I230" s="79"/>
      <c r="J230" s="272"/>
      <c r="K230" s="67"/>
    </row>
    <row r="231" spans="1:11" ht="18.75" customHeight="1">
      <c r="A231" s="584" t="s">
        <v>93</v>
      </c>
      <c r="C231" s="75" t="s">
        <v>478</v>
      </c>
      <c r="E231" s="80"/>
      <c r="F231" s="80"/>
      <c r="G231" s="80"/>
      <c r="H231" s="80"/>
      <c r="J231" s="81"/>
      <c r="K231" s="81"/>
    </row>
    <row r="232" spans="1:11" ht="18.75" customHeight="1">
      <c r="I232" s="698">
        <f>I184</f>
        <v>42004</v>
      </c>
      <c r="J232" s="85"/>
      <c r="K232" s="698">
        <v>41640</v>
      </c>
    </row>
    <row r="233" spans="1:11" ht="18.75" customHeight="1">
      <c r="I233" s="498" t="s">
        <v>543</v>
      </c>
      <c r="J233" s="85"/>
      <c r="K233" s="498" t="s">
        <v>543</v>
      </c>
    </row>
    <row r="234" spans="1:11" ht="18.75" customHeight="1">
      <c r="C234" s="77" t="s">
        <v>647</v>
      </c>
      <c r="I234" s="109">
        <v>5977839052</v>
      </c>
      <c r="J234" s="348"/>
      <c r="K234" s="348">
        <v>5389478274</v>
      </c>
    </row>
    <row r="235" spans="1:11" ht="18.75" hidden="1" customHeight="1">
      <c r="C235" s="77" t="s">
        <v>648</v>
      </c>
      <c r="I235" s="109"/>
      <c r="J235" s="348"/>
      <c r="K235" s="348">
        <v>0</v>
      </c>
    </row>
    <row r="236" spans="1:11" ht="18.75" customHeight="1">
      <c r="C236" s="77" t="s">
        <v>730</v>
      </c>
      <c r="I236" s="109">
        <v>4755896325</v>
      </c>
      <c r="J236" s="348"/>
      <c r="K236" s="348">
        <v>4870496236</v>
      </c>
    </row>
    <row r="237" spans="1:11" ht="18.75" customHeight="1">
      <c r="A237" s="633"/>
      <c r="C237" s="77" t="s">
        <v>801</v>
      </c>
      <c r="I237" s="109">
        <v>3442583104</v>
      </c>
      <c r="J237" s="348"/>
      <c r="K237" s="348">
        <v>0</v>
      </c>
    </row>
    <row r="238" spans="1:11" ht="18.75" hidden="1" customHeight="1">
      <c r="C238" s="77" t="s">
        <v>649</v>
      </c>
      <c r="I238" s="109">
        <v>0</v>
      </c>
      <c r="J238" s="348"/>
      <c r="K238" s="348">
        <v>0</v>
      </c>
    </row>
    <row r="239" spans="1:11" ht="18.75" customHeight="1">
      <c r="C239" s="77" t="s">
        <v>652</v>
      </c>
      <c r="I239" s="109">
        <v>1960058463</v>
      </c>
      <c r="J239" s="348"/>
      <c r="K239" s="348">
        <v>1960058463</v>
      </c>
    </row>
    <row r="240" spans="1:11" ht="18.75" customHeight="1">
      <c r="C240" s="77" t="s">
        <v>650</v>
      </c>
      <c r="I240" s="109">
        <v>29245182835</v>
      </c>
      <c r="J240" s="348"/>
      <c r="K240" s="348">
        <v>29957446800</v>
      </c>
    </row>
    <row r="241" spans="1:11" ht="18.75" hidden="1" customHeight="1">
      <c r="C241" s="77" t="s">
        <v>651</v>
      </c>
      <c r="I241" s="109"/>
      <c r="J241" s="348"/>
      <c r="K241" s="348">
        <v>0</v>
      </c>
    </row>
    <row r="242" spans="1:11" ht="18.75" customHeight="1" thickBot="1">
      <c r="C242" s="75" t="s">
        <v>508</v>
      </c>
      <c r="G242" s="91"/>
      <c r="I242" s="288">
        <f>SUM(I234:I240)</f>
        <v>45381559779</v>
      </c>
      <c r="J242" s="363"/>
      <c r="K242" s="288">
        <f>SUM(K234:K241)</f>
        <v>42177479773</v>
      </c>
    </row>
    <row r="243" spans="1:11" ht="18.75" customHeight="1" thickTop="1">
      <c r="C243" s="75"/>
      <c r="G243" s="91"/>
      <c r="I243" s="285"/>
      <c r="J243" s="363"/>
      <c r="K243" s="285"/>
    </row>
    <row r="244" spans="1:11" ht="18.75" customHeight="1">
      <c r="A244" s="74" t="s">
        <v>94</v>
      </c>
      <c r="C244" s="75" t="s">
        <v>595</v>
      </c>
      <c r="I244" s="285"/>
      <c r="J244" s="85"/>
      <c r="K244" s="109"/>
    </row>
    <row r="245" spans="1:11" ht="18.75" customHeight="1">
      <c r="I245" s="698">
        <f>I232</f>
        <v>42004</v>
      </c>
      <c r="J245" s="85"/>
      <c r="K245" s="698">
        <v>41640</v>
      </c>
    </row>
    <row r="246" spans="1:11" ht="18.75" customHeight="1">
      <c r="I246" s="498" t="s">
        <v>543</v>
      </c>
      <c r="J246" s="85"/>
      <c r="K246" s="498" t="s">
        <v>543</v>
      </c>
    </row>
    <row r="247" spans="1:11" ht="30" customHeight="1">
      <c r="C247" s="772" t="s">
        <v>798</v>
      </c>
      <c r="D247" s="780"/>
      <c r="E247" s="780"/>
      <c r="F247" s="780"/>
      <c r="G247" s="780"/>
      <c r="I247" s="348">
        <v>2743986000</v>
      </c>
      <c r="J247" s="348"/>
      <c r="K247" s="348">
        <v>3135984000</v>
      </c>
    </row>
    <row r="248" spans="1:11" ht="30" customHeight="1">
      <c r="A248" s="82"/>
      <c r="B248" s="83"/>
      <c r="C248" s="772" t="s">
        <v>727</v>
      </c>
      <c r="D248" s="780"/>
      <c r="E248" s="780"/>
      <c r="F248" s="780"/>
      <c r="G248" s="780"/>
      <c r="H248" s="84"/>
      <c r="I248" s="348">
        <v>67477285714</v>
      </c>
      <c r="J248" s="348"/>
      <c r="K248" s="348">
        <v>26379500000</v>
      </c>
    </row>
    <row r="249" spans="1:11" ht="18" customHeight="1" thickBot="1">
      <c r="C249" s="75" t="s">
        <v>508</v>
      </c>
      <c r="I249" s="288">
        <f>SUM(I247:I248)</f>
        <v>70221271714</v>
      </c>
      <c r="J249" s="363"/>
      <c r="K249" s="288">
        <f>SUM(K247:K248)</f>
        <v>29515484000</v>
      </c>
    </row>
    <row r="250" spans="1:11" ht="20.25" customHeight="1" thickTop="1">
      <c r="I250" s="79"/>
      <c r="J250" s="272"/>
      <c r="K250" s="67"/>
    </row>
    <row r="251" spans="1:11" ht="17.100000000000001" customHeight="1">
      <c r="A251" s="584" t="s">
        <v>545</v>
      </c>
      <c r="C251" s="75" t="s">
        <v>439</v>
      </c>
      <c r="I251" s="285"/>
      <c r="J251" s="85"/>
      <c r="K251" s="109"/>
    </row>
    <row r="252" spans="1:11" ht="17.100000000000001" customHeight="1">
      <c r="I252" s="698">
        <f>I245</f>
        <v>42004</v>
      </c>
      <c r="J252" s="85"/>
      <c r="K252" s="698">
        <v>41640</v>
      </c>
    </row>
    <row r="253" spans="1:11" ht="17.100000000000001" customHeight="1">
      <c r="I253" s="498" t="s">
        <v>543</v>
      </c>
      <c r="J253" s="85"/>
      <c r="K253" s="498" t="s">
        <v>543</v>
      </c>
    </row>
    <row r="254" spans="1:11" ht="1.5" customHeight="1">
      <c r="I254" s="285"/>
      <c r="J254" s="85"/>
      <c r="K254" s="109"/>
    </row>
    <row r="255" spans="1:11" s="465" customFormat="1" ht="16.5" customHeight="1">
      <c r="A255" s="520"/>
      <c r="C255" s="465" t="s">
        <v>102</v>
      </c>
      <c r="I255" s="521">
        <f>I257+I263+I267</f>
        <v>93531558855</v>
      </c>
      <c r="J255" s="521">
        <f>J256+J266+J270</f>
        <v>0</v>
      </c>
      <c r="K255" s="521">
        <f>K256+K266+K270</f>
        <v>62557966705</v>
      </c>
    </row>
    <row r="256" spans="1:11" s="465" customFormat="1" ht="20.100000000000001" hidden="1" customHeight="1">
      <c r="A256" s="520"/>
      <c r="C256" s="433" t="s">
        <v>54</v>
      </c>
      <c r="I256" s="523">
        <f>SUM(I257:I264)</f>
        <v>54728000000</v>
      </c>
      <c r="J256" s="522"/>
      <c r="K256" s="523">
        <v>56031875605</v>
      </c>
    </row>
    <row r="257" spans="1:11" s="465" customFormat="1" ht="16.5" customHeight="1">
      <c r="A257" s="520"/>
      <c r="C257" s="84" t="s">
        <v>840</v>
      </c>
      <c r="I257" s="428">
        <v>0</v>
      </c>
      <c r="J257" s="522"/>
      <c r="K257" s="523">
        <v>43461875605</v>
      </c>
    </row>
    <row r="258" spans="1:11" s="465" customFormat="1" ht="15.95" hidden="1" customHeight="1">
      <c r="A258" s="520"/>
      <c r="C258" s="84" t="s">
        <v>731</v>
      </c>
      <c r="I258" s="428">
        <v>0</v>
      </c>
      <c r="J258" s="522"/>
      <c r="K258" s="523">
        <v>0</v>
      </c>
    </row>
    <row r="259" spans="1:11" s="465" customFormat="1" ht="15.95" hidden="1" customHeight="1">
      <c r="A259" s="520"/>
      <c r="C259" s="84" t="s">
        <v>732</v>
      </c>
      <c r="I259" s="428">
        <v>0</v>
      </c>
      <c r="J259" s="522"/>
      <c r="K259" s="523">
        <v>0</v>
      </c>
    </row>
    <row r="260" spans="1:11" s="465" customFormat="1" ht="15.95" hidden="1" customHeight="1">
      <c r="A260" s="520"/>
      <c r="C260" s="84" t="s">
        <v>758</v>
      </c>
      <c r="I260" s="428">
        <v>0</v>
      </c>
      <c r="J260" s="522"/>
      <c r="K260" s="523">
        <v>0</v>
      </c>
    </row>
    <row r="261" spans="1:11" s="465" customFormat="1" ht="15.95" hidden="1" customHeight="1">
      <c r="A261" s="520"/>
      <c r="C261" s="84" t="s">
        <v>759</v>
      </c>
      <c r="I261" s="428">
        <v>0</v>
      </c>
      <c r="J261" s="522"/>
      <c r="K261" s="523">
        <v>0</v>
      </c>
    </row>
    <row r="262" spans="1:11" s="465" customFormat="1" ht="15.95" hidden="1" customHeight="1">
      <c r="A262" s="520"/>
      <c r="C262" s="84" t="s">
        <v>58</v>
      </c>
      <c r="I262" s="428">
        <v>0</v>
      </c>
      <c r="J262" s="522"/>
      <c r="K262" s="523">
        <v>0</v>
      </c>
    </row>
    <row r="263" spans="1:11" s="465" customFormat="1" ht="15.95" customHeight="1">
      <c r="A263" s="520"/>
      <c r="C263" s="84" t="s">
        <v>857</v>
      </c>
      <c r="I263" s="428">
        <v>54728000000</v>
      </c>
      <c r="J263" s="289"/>
      <c r="K263" s="428">
        <v>14920000000</v>
      </c>
    </row>
    <row r="264" spans="1:11" s="465" customFormat="1" ht="20.100000000000001" hidden="1" customHeight="1">
      <c r="A264" s="520"/>
      <c r="C264" s="84" t="s">
        <v>802</v>
      </c>
      <c r="I264" s="428">
        <v>0</v>
      </c>
      <c r="J264" s="289"/>
      <c r="K264" s="428">
        <v>0</v>
      </c>
    </row>
    <row r="265" spans="1:11" ht="15.95" hidden="1" customHeight="1">
      <c r="A265" s="520"/>
      <c r="B265" s="465"/>
      <c r="C265" s="433" t="s">
        <v>55</v>
      </c>
      <c r="D265" s="433"/>
      <c r="E265" s="433"/>
      <c r="F265" s="433"/>
      <c r="G265" s="433"/>
      <c r="H265" s="433"/>
      <c r="I265" s="428">
        <v>0</v>
      </c>
      <c r="J265" s="289"/>
      <c r="K265" s="428">
        <v>0</v>
      </c>
    </row>
    <row r="266" spans="1:11" ht="20.100000000000001" hidden="1" customHeight="1">
      <c r="A266" s="520"/>
      <c r="B266" s="465"/>
      <c r="C266" s="433" t="s">
        <v>56</v>
      </c>
      <c r="D266" s="433"/>
      <c r="E266" s="433"/>
      <c r="F266" s="433"/>
      <c r="G266" s="433"/>
      <c r="H266" s="433"/>
      <c r="I266" s="428">
        <f>I267</f>
        <v>38803558855</v>
      </c>
      <c r="J266" s="289"/>
      <c r="K266" s="428">
        <v>4176091100</v>
      </c>
    </row>
    <row r="267" spans="1:11" ht="16.5" customHeight="1">
      <c r="A267" s="520"/>
      <c r="B267" s="465"/>
      <c r="C267" s="84" t="s">
        <v>841</v>
      </c>
      <c r="D267" s="433"/>
      <c r="E267" s="433"/>
      <c r="F267" s="433"/>
      <c r="G267" s="433"/>
      <c r="H267" s="433"/>
      <c r="I267" s="428">
        <v>38803558855</v>
      </c>
      <c r="J267" s="289"/>
      <c r="K267" s="428">
        <v>4176091100</v>
      </c>
    </row>
    <row r="268" spans="1:11" ht="15.95" hidden="1" customHeight="1">
      <c r="A268" s="520"/>
      <c r="B268" s="465"/>
      <c r="C268" s="433" t="s">
        <v>57</v>
      </c>
      <c r="D268" s="433"/>
      <c r="E268" s="433"/>
      <c r="F268" s="433"/>
      <c r="G268" s="433"/>
      <c r="H268" s="433"/>
      <c r="I268" s="523">
        <v>0</v>
      </c>
      <c r="J268" s="522"/>
      <c r="K268" s="523">
        <v>0</v>
      </c>
    </row>
    <row r="269" spans="1:11" ht="15.75" hidden="1" customHeight="1">
      <c r="A269" s="520"/>
      <c r="B269" s="465"/>
      <c r="C269" s="433" t="s">
        <v>58</v>
      </c>
      <c r="D269" s="433"/>
      <c r="E269" s="433"/>
      <c r="F269" s="433"/>
      <c r="G269" s="433"/>
      <c r="H269" s="433"/>
      <c r="I269" s="523">
        <v>0</v>
      </c>
      <c r="J269" s="522"/>
      <c r="K269" s="523">
        <v>0</v>
      </c>
    </row>
    <row r="270" spans="1:11" ht="20.100000000000001" hidden="1" customHeight="1">
      <c r="A270" s="520"/>
      <c r="B270" s="465"/>
      <c r="C270" s="433" t="s">
        <v>130</v>
      </c>
      <c r="D270" s="433"/>
      <c r="E270" s="433"/>
      <c r="F270" s="433"/>
      <c r="G270" s="433"/>
      <c r="H270" s="433"/>
      <c r="I270" s="523" t="e">
        <f>#REF!</f>
        <v>#REF!</v>
      </c>
      <c r="J270" s="522"/>
      <c r="K270" s="523">
        <v>2350000000</v>
      </c>
    </row>
    <row r="271" spans="1:11" s="465" customFormat="1" ht="16.5" customHeight="1">
      <c r="A271" s="520"/>
      <c r="C271" s="465" t="s">
        <v>104</v>
      </c>
      <c r="I271" s="521">
        <f>I272+I276</f>
        <v>0</v>
      </c>
      <c r="J271" s="521">
        <f t="shared" ref="J271:K271" si="7">J272+J276</f>
        <v>0</v>
      </c>
      <c r="K271" s="521">
        <f t="shared" si="7"/>
        <v>13652471947</v>
      </c>
    </row>
    <row r="272" spans="1:11" ht="20.100000000000001" hidden="1" customHeight="1">
      <c r="A272" s="520"/>
      <c r="B272" s="465"/>
      <c r="C272" s="433" t="s">
        <v>192</v>
      </c>
      <c r="D272" s="433"/>
      <c r="E272" s="433"/>
      <c r="F272" s="433"/>
      <c r="G272" s="433"/>
      <c r="H272" s="433"/>
      <c r="I272" s="523">
        <f>I273</f>
        <v>0</v>
      </c>
      <c r="J272" s="522"/>
      <c r="K272" s="523">
        <v>13652471947</v>
      </c>
    </row>
    <row r="273" spans="1:11" ht="16.5" customHeight="1">
      <c r="A273" s="520"/>
      <c r="B273" s="465"/>
      <c r="C273" s="433" t="s">
        <v>653</v>
      </c>
      <c r="D273" s="433"/>
      <c r="E273" s="433"/>
      <c r="F273" s="433"/>
      <c r="G273" s="433"/>
      <c r="H273" s="433"/>
      <c r="I273" s="523">
        <v>0</v>
      </c>
      <c r="J273" s="522"/>
      <c r="K273" s="523">
        <v>13652471947</v>
      </c>
    </row>
    <row r="274" spans="1:11" ht="16.5" hidden="1" customHeight="1">
      <c r="A274" s="520"/>
      <c r="B274" s="465"/>
      <c r="C274" s="433" t="s">
        <v>543</v>
      </c>
      <c r="D274" s="433"/>
      <c r="E274" s="433"/>
      <c r="F274" s="433"/>
      <c r="G274" s="433"/>
      <c r="H274" s="433"/>
      <c r="I274" s="523">
        <v>0</v>
      </c>
      <c r="J274" s="522"/>
      <c r="K274" s="523">
        <v>11641167256</v>
      </c>
    </row>
    <row r="275" spans="1:11" ht="16.5" hidden="1" customHeight="1">
      <c r="A275" s="520"/>
      <c r="B275" s="465"/>
      <c r="C275" s="433" t="s">
        <v>768</v>
      </c>
      <c r="D275" s="433"/>
      <c r="E275" s="433"/>
      <c r="F275" s="433"/>
      <c r="G275" s="433"/>
      <c r="H275" s="433"/>
      <c r="I275" s="523">
        <v>0</v>
      </c>
      <c r="J275" s="522"/>
      <c r="K275" s="523">
        <v>2011304691</v>
      </c>
    </row>
    <row r="276" spans="1:11" ht="20.45" hidden="1" customHeight="1">
      <c r="C276" s="77" t="s">
        <v>56</v>
      </c>
      <c r="I276" s="348">
        <v>0</v>
      </c>
      <c r="J276" s="85"/>
      <c r="K276" s="348">
        <v>0</v>
      </c>
    </row>
    <row r="277" spans="1:11" ht="20.45" hidden="1" customHeight="1">
      <c r="A277" s="82"/>
      <c r="B277" s="83"/>
      <c r="C277" s="84" t="s">
        <v>654</v>
      </c>
      <c r="D277" s="84"/>
      <c r="E277" s="84"/>
      <c r="F277" s="84"/>
      <c r="G277" s="84"/>
      <c r="H277" s="84"/>
      <c r="I277" s="428"/>
      <c r="J277" s="289"/>
      <c r="K277" s="428"/>
    </row>
    <row r="278" spans="1:11" ht="20.45" hidden="1" customHeight="1">
      <c r="C278" s="86" t="s">
        <v>104</v>
      </c>
      <c r="I278" s="534">
        <f>I279</f>
        <v>0</v>
      </c>
      <c r="J278" s="85"/>
      <c r="K278" s="109">
        <v>0</v>
      </c>
    </row>
    <row r="279" spans="1:11" ht="20.45" hidden="1" customHeight="1">
      <c r="C279" s="47" t="s">
        <v>653</v>
      </c>
      <c r="I279" s="535">
        <f>SUM(I280:I281)</f>
        <v>0</v>
      </c>
      <c r="J279" s="85"/>
      <c r="K279" s="109">
        <v>0</v>
      </c>
    </row>
    <row r="280" spans="1:11" ht="20.45" hidden="1" customHeight="1">
      <c r="C280" s="533" t="s">
        <v>543</v>
      </c>
      <c r="I280" s="536">
        <v>0</v>
      </c>
      <c r="J280" s="85"/>
      <c r="K280" s="109">
        <v>0</v>
      </c>
    </row>
    <row r="281" spans="1:11" ht="20.45" hidden="1" customHeight="1">
      <c r="C281" s="533" t="s">
        <v>760</v>
      </c>
      <c r="I281" s="536">
        <v>0</v>
      </c>
      <c r="J281" s="85"/>
      <c r="K281" s="109">
        <v>0</v>
      </c>
    </row>
    <row r="282" spans="1:11" ht="20.100000000000001" customHeight="1" thickBot="1">
      <c r="C282" s="75" t="s">
        <v>508</v>
      </c>
      <c r="I282" s="288">
        <f>I271+I255+I278</f>
        <v>93531558855</v>
      </c>
      <c r="J282" s="288">
        <f>J271+J255+J278</f>
        <v>0</v>
      </c>
      <c r="K282" s="288">
        <f>K271+K255+K278</f>
        <v>76210438652</v>
      </c>
    </row>
    <row r="283" spans="1:11" ht="1.5" customHeight="1" thickTop="1">
      <c r="I283" s="285"/>
      <c r="J283" s="85"/>
      <c r="K283" s="85"/>
    </row>
    <row r="284" spans="1:11" s="695" customFormat="1" ht="79.5" hidden="1" customHeight="1">
      <c r="A284" s="693"/>
      <c r="B284" s="694"/>
      <c r="C284" s="773"/>
      <c r="D284" s="774"/>
      <c r="E284" s="774"/>
      <c r="F284" s="774"/>
      <c r="G284" s="774"/>
      <c r="H284" s="774"/>
      <c r="I284" s="774"/>
      <c r="J284" s="774"/>
      <c r="K284" s="774"/>
    </row>
    <row r="285" spans="1:11" s="695" customFormat="1" ht="48" hidden="1" customHeight="1">
      <c r="A285" s="693"/>
      <c r="B285" s="694"/>
      <c r="C285" s="773"/>
      <c r="D285" s="774"/>
      <c r="E285" s="774"/>
      <c r="F285" s="774"/>
      <c r="G285" s="774"/>
      <c r="H285" s="774"/>
      <c r="I285" s="774"/>
      <c r="J285" s="774"/>
      <c r="K285" s="774"/>
    </row>
    <row r="286" spans="1:11" ht="13.5" customHeight="1">
      <c r="I286" s="285"/>
      <c r="J286" s="85"/>
      <c r="K286" s="85"/>
    </row>
    <row r="287" spans="1:11" ht="20.100000000000001" customHeight="1">
      <c r="A287" s="584" t="s">
        <v>95</v>
      </c>
      <c r="C287" s="86" t="s">
        <v>770</v>
      </c>
      <c r="I287" s="285"/>
      <c r="J287" s="85"/>
      <c r="K287" s="363"/>
    </row>
    <row r="288" spans="1:11" ht="15.95" customHeight="1">
      <c r="C288" s="86"/>
      <c r="I288" s="698">
        <f>I245</f>
        <v>42004</v>
      </c>
      <c r="J288" s="497"/>
      <c r="K288" s="698">
        <v>41640</v>
      </c>
    </row>
    <row r="289" spans="1:11" ht="15.95" customHeight="1">
      <c r="C289" s="86"/>
      <c r="I289" s="498" t="s">
        <v>543</v>
      </c>
      <c r="J289" s="497"/>
      <c r="K289" s="498" t="s">
        <v>543</v>
      </c>
    </row>
    <row r="290" spans="1:11" ht="18" customHeight="1">
      <c r="C290" s="47" t="s">
        <v>446</v>
      </c>
      <c r="I290" s="109">
        <v>9711373769</v>
      </c>
      <c r="J290" s="85"/>
      <c r="K290" s="363">
        <v>8209452106</v>
      </c>
    </row>
    <row r="291" spans="1:11" ht="18" customHeight="1">
      <c r="C291" s="47" t="s">
        <v>84</v>
      </c>
      <c r="I291" s="109">
        <v>35356782703</v>
      </c>
      <c r="J291" s="85"/>
      <c r="K291" s="363">
        <v>8482357111</v>
      </c>
    </row>
    <row r="292" spans="1:11" ht="18" customHeight="1">
      <c r="C292" s="47" t="s">
        <v>463</v>
      </c>
      <c r="I292" s="109">
        <v>1070729485</v>
      </c>
      <c r="J292" s="85"/>
      <c r="K292" s="363">
        <v>308622367</v>
      </c>
    </row>
    <row r="293" spans="1:11" ht="18" customHeight="1" thickBot="1">
      <c r="C293" s="75" t="s">
        <v>508</v>
      </c>
      <c r="I293" s="288">
        <f>SUM(I290:I292)</f>
        <v>46138885957</v>
      </c>
      <c r="J293" s="363"/>
      <c r="K293" s="288">
        <f>SUM(K290:K292)</f>
        <v>17000431584</v>
      </c>
    </row>
    <row r="294" spans="1:11" ht="11.25" customHeight="1" thickTop="1">
      <c r="C294" s="86"/>
      <c r="I294" s="285"/>
      <c r="J294" s="85"/>
      <c r="K294" s="363"/>
    </row>
    <row r="295" spans="1:11" s="464" customFormat="1" ht="20.100000000000001" customHeight="1">
      <c r="A295" s="291" t="s">
        <v>96</v>
      </c>
      <c r="B295" s="86"/>
      <c r="C295" s="86" t="s">
        <v>190</v>
      </c>
      <c r="D295" s="47"/>
      <c r="E295" s="47"/>
      <c r="F295" s="47"/>
      <c r="G295" s="47"/>
      <c r="H295" s="47"/>
      <c r="I295" s="85"/>
      <c r="J295" s="315"/>
      <c r="K295" s="85"/>
    </row>
    <row r="296" spans="1:11" ht="16.5" customHeight="1">
      <c r="I296" s="698">
        <f>I288</f>
        <v>42004</v>
      </c>
      <c r="J296" s="497"/>
      <c r="K296" s="698">
        <v>41640</v>
      </c>
    </row>
    <row r="297" spans="1:11" ht="16.5" customHeight="1">
      <c r="I297" s="498" t="s">
        <v>543</v>
      </c>
      <c r="J297" s="497"/>
      <c r="K297" s="498" t="s">
        <v>543</v>
      </c>
    </row>
    <row r="298" spans="1:11" ht="19.7" customHeight="1">
      <c r="C298" s="77" t="s">
        <v>643</v>
      </c>
      <c r="I298" s="109">
        <v>14944816855</v>
      </c>
      <c r="J298" s="363"/>
      <c r="K298" s="363">
        <v>14848551400</v>
      </c>
    </row>
    <row r="299" spans="1:11" ht="19.7" customHeight="1">
      <c r="C299" s="77" t="s">
        <v>676</v>
      </c>
      <c r="I299" s="109">
        <v>2010023142</v>
      </c>
      <c r="J299" s="363"/>
      <c r="K299" s="363">
        <v>3244917016</v>
      </c>
    </row>
    <row r="300" spans="1:11" ht="19.7" customHeight="1">
      <c r="C300" s="77" t="s">
        <v>583</v>
      </c>
      <c r="I300" s="109">
        <v>3233125810</v>
      </c>
      <c r="J300" s="363"/>
      <c r="K300" s="363">
        <v>17772615</v>
      </c>
    </row>
    <row r="301" spans="1:11" ht="19.7" customHeight="1" thickBot="1">
      <c r="A301" s="88"/>
      <c r="B301" s="86"/>
      <c r="C301" s="86" t="s">
        <v>346</v>
      </c>
      <c r="D301" s="86"/>
      <c r="E301" s="86"/>
      <c r="F301" s="86"/>
      <c r="G301" s="86"/>
      <c r="H301" s="86"/>
      <c r="I301" s="354">
        <f>SUM(I298:I300)</f>
        <v>20187965807</v>
      </c>
      <c r="J301" s="355"/>
      <c r="K301" s="354">
        <f>SUM(K298:K300)</f>
        <v>18111241031</v>
      </c>
    </row>
    <row r="302" spans="1:11" ht="15" customHeight="1" thickTop="1">
      <c r="A302" s="88"/>
      <c r="B302" s="86"/>
      <c r="C302" s="86"/>
      <c r="D302" s="86"/>
      <c r="E302" s="86"/>
      <c r="F302" s="86"/>
      <c r="G302" s="86"/>
      <c r="H302" s="86"/>
      <c r="I302" s="491"/>
      <c r="J302" s="355"/>
      <c r="K302" s="491"/>
    </row>
    <row r="303" spans="1:11" ht="19.7" customHeight="1">
      <c r="A303" s="584" t="s">
        <v>693</v>
      </c>
      <c r="C303" s="86" t="s">
        <v>447</v>
      </c>
      <c r="I303" s="79"/>
      <c r="J303" s="272"/>
      <c r="K303" s="272"/>
    </row>
    <row r="304" spans="1:11" ht="16.5" customHeight="1">
      <c r="I304" s="698">
        <f>I288</f>
        <v>42004</v>
      </c>
      <c r="J304" s="497"/>
      <c r="K304" s="698">
        <v>41640</v>
      </c>
    </row>
    <row r="305" spans="1:11" ht="16.5" customHeight="1">
      <c r="I305" s="498" t="s">
        <v>543</v>
      </c>
      <c r="J305" s="497"/>
      <c r="K305" s="498" t="s">
        <v>543</v>
      </c>
    </row>
    <row r="306" spans="1:11" ht="16.5" customHeight="1">
      <c r="A306" s="432"/>
      <c r="B306" s="433"/>
      <c r="C306" s="433" t="s">
        <v>655</v>
      </c>
      <c r="D306" s="433"/>
      <c r="E306" s="433"/>
      <c r="F306" s="433"/>
      <c r="G306" s="433"/>
      <c r="H306" s="433"/>
      <c r="I306" s="504">
        <v>0</v>
      </c>
      <c r="J306" s="505"/>
      <c r="K306" s="504">
        <v>4106121437</v>
      </c>
    </row>
    <row r="307" spans="1:11" ht="16.5" customHeight="1">
      <c r="A307" s="432"/>
      <c r="B307" s="433"/>
      <c r="C307" s="433" t="s">
        <v>656</v>
      </c>
      <c r="D307" s="433"/>
      <c r="E307" s="433"/>
      <c r="F307" s="433"/>
      <c r="G307" s="433"/>
      <c r="H307" s="433"/>
      <c r="I307" s="504">
        <v>226316834</v>
      </c>
      <c r="J307" s="505"/>
      <c r="K307" s="504">
        <v>182037352</v>
      </c>
    </row>
    <row r="308" spans="1:11" ht="16.5" customHeight="1">
      <c r="A308" s="432"/>
      <c r="B308" s="433"/>
      <c r="C308" s="433" t="s">
        <v>662</v>
      </c>
      <c r="D308" s="433"/>
      <c r="E308" s="433"/>
      <c r="F308" s="433"/>
      <c r="G308" s="433"/>
      <c r="H308" s="433"/>
      <c r="I308" s="504">
        <v>0</v>
      </c>
      <c r="J308" s="505"/>
      <c r="K308" s="504">
        <v>0</v>
      </c>
    </row>
    <row r="309" spans="1:11" ht="16.5" customHeight="1">
      <c r="A309" s="432"/>
      <c r="B309" s="433"/>
      <c r="C309" s="433" t="s">
        <v>658</v>
      </c>
      <c r="D309" s="433"/>
      <c r="E309" s="433"/>
      <c r="F309" s="433"/>
      <c r="G309" s="433"/>
      <c r="H309" s="433"/>
      <c r="I309" s="504">
        <v>0</v>
      </c>
      <c r="J309" s="505"/>
      <c r="K309" s="504">
        <v>54011160</v>
      </c>
    </row>
    <row r="310" spans="1:11" ht="16.5" customHeight="1">
      <c r="A310" s="432"/>
      <c r="B310" s="433"/>
      <c r="C310" s="433" t="s">
        <v>752</v>
      </c>
      <c r="D310" s="433"/>
      <c r="E310" s="433"/>
      <c r="F310" s="433"/>
      <c r="G310" s="433"/>
      <c r="H310" s="433"/>
      <c r="I310" s="504">
        <v>0</v>
      </c>
      <c r="J310" s="505"/>
      <c r="K310" s="504">
        <v>13647181</v>
      </c>
    </row>
    <row r="311" spans="1:11" ht="16.5" customHeight="1">
      <c r="A311" s="432"/>
      <c r="B311" s="433"/>
      <c r="C311" s="433" t="s">
        <v>753</v>
      </c>
      <c r="D311" s="433"/>
      <c r="E311" s="433"/>
      <c r="F311" s="433"/>
      <c r="G311" s="433"/>
      <c r="H311" s="433"/>
      <c r="I311" s="504">
        <v>0</v>
      </c>
      <c r="J311" s="505"/>
      <c r="K311" s="504">
        <v>4500930</v>
      </c>
    </row>
    <row r="312" spans="1:11" ht="16.5" customHeight="1">
      <c r="A312" s="432"/>
      <c r="B312" s="433"/>
      <c r="C312" s="433" t="s">
        <v>813</v>
      </c>
      <c r="D312" s="433"/>
      <c r="E312" s="433"/>
      <c r="F312" s="433"/>
      <c r="G312" s="433"/>
      <c r="H312" s="433"/>
      <c r="I312" s="504">
        <v>10000000000</v>
      </c>
      <c r="J312" s="505"/>
      <c r="K312" s="505">
        <v>69029922</v>
      </c>
    </row>
    <row r="313" spans="1:11" ht="16.5" customHeight="1">
      <c r="A313" s="432"/>
      <c r="B313" s="433"/>
      <c r="C313" s="433" t="s">
        <v>657</v>
      </c>
      <c r="D313" s="433"/>
      <c r="E313" s="433"/>
      <c r="F313" s="433"/>
      <c r="G313" s="433"/>
      <c r="H313" s="433"/>
      <c r="I313" s="504">
        <v>16288402187</v>
      </c>
      <c r="J313" s="505"/>
      <c r="K313" s="504">
        <v>445465720</v>
      </c>
    </row>
    <row r="314" spans="1:11" ht="19.7" customHeight="1" thickBot="1">
      <c r="C314" s="75" t="s">
        <v>508</v>
      </c>
      <c r="I314" s="501">
        <f>SUM(I306:I313)</f>
        <v>26514719021</v>
      </c>
      <c r="J314" s="500"/>
      <c r="K314" s="501">
        <f>SUM(K306:K313)</f>
        <v>4874813702</v>
      </c>
    </row>
    <row r="315" spans="1:11" ht="15" customHeight="1" thickTop="1">
      <c r="C315" s="75"/>
      <c r="I315" s="281"/>
      <c r="K315" s="281"/>
    </row>
    <row r="316" spans="1:11" s="475" customFormat="1" ht="16.5" customHeight="1">
      <c r="A316" s="473" t="s">
        <v>616</v>
      </c>
      <c r="B316" s="130"/>
      <c r="C316" s="130" t="s">
        <v>677</v>
      </c>
      <c r="D316" s="130"/>
      <c r="E316" s="211"/>
      <c r="F316" s="211"/>
      <c r="G316" s="532"/>
      <c r="H316" s="245"/>
      <c r="I316" s="603"/>
      <c r="J316" s="603"/>
      <c r="K316" s="603"/>
    </row>
    <row r="317" spans="1:11" s="475" customFormat="1" ht="16.5" customHeight="1">
      <c r="A317" s="179"/>
      <c r="B317" s="117"/>
      <c r="C317" s="117"/>
      <c r="D317" s="117"/>
      <c r="E317" s="117"/>
      <c r="F317" s="117"/>
      <c r="G317" s="117"/>
      <c r="H317" s="117"/>
      <c r="I317" s="698">
        <f>I288</f>
        <v>42004</v>
      </c>
      <c r="J317" s="497"/>
      <c r="K317" s="698">
        <v>41640</v>
      </c>
    </row>
    <row r="318" spans="1:11" s="475" customFormat="1" ht="16.5" customHeight="1">
      <c r="A318" s="179"/>
      <c r="B318" s="117"/>
      <c r="C318" s="117"/>
      <c r="D318" s="117"/>
      <c r="E318" s="117"/>
      <c r="F318" s="117"/>
      <c r="G318" s="117"/>
      <c r="H318" s="117"/>
      <c r="I318" s="498" t="s">
        <v>543</v>
      </c>
      <c r="J318" s="497"/>
      <c r="K318" s="498" t="s">
        <v>543</v>
      </c>
    </row>
    <row r="319" spans="1:11" s="475" customFormat="1" ht="45" customHeight="1">
      <c r="A319" s="179"/>
      <c r="B319" s="117"/>
      <c r="C319" s="779" t="s">
        <v>842</v>
      </c>
      <c r="D319" s="780"/>
      <c r="E319" s="780"/>
      <c r="F319" s="780"/>
      <c r="G319" s="780"/>
      <c r="H319" s="117"/>
      <c r="I319" s="505">
        <v>1308547053</v>
      </c>
      <c r="J319" s="212"/>
      <c r="K319" s="505">
        <v>1291684053</v>
      </c>
    </row>
    <row r="320" spans="1:11" s="475" customFormat="1" ht="16.5" customHeight="1" thickBot="1">
      <c r="A320" s="604"/>
      <c r="B320" s="474"/>
      <c r="C320" s="476" t="s">
        <v>508</v>
      </c>
      <c r="D320" s="476"/>
      <c r="E320" s="477"/>
      <c r="F320" s="477"/>
      <c r="G320" s="477"/>
      <c r="H320" s="477"/>
      <c r="I320" s="370">
        <f>I319</f>
        <v>1308547053</v>
      </c>
      <c r="J320" s="199"/>
      <c r="K320" s="370">
        <f>K319</f>
        <v>1291684053</v>
      </c>
    </row>
    <row r="321" spans="1:11" s="475" customFormat="1" ht="15" customHeight="1" thickTop="1">
      <c r="A321" s="604"/>
      <c r="B321" s="474"/>
      <c r="C321" s="476"/>
      <c r="D321" s="476"/>
      <c r="E321" s="477"/>
      <c r="F321" s="477"/>
      <c r="G321" s="477"/>
      <c r="H321" s="477"/>
      <c r="I321" s="347"/>
      <c r="J321" s="478"/>
      <c r="K321" s="347"/>
    </row>
    <row r="322" spans="1:11" ht="18" customHeight="1">
      <c r="A322" s="584" t="s">
        <v>617</v>
      </c>
      <c r="C322" s="75" t="s">
        <v>440</v>
      </c>
      <c r="I322" s="79"/>
      <c r="J322" s="272"/>
      <c r="K322" s="272"/>
    </row>
    <row r="323" spans="1:11" ht="18" customHeight="1">
      <c r="E323" s="778" t="s">
        <v>632</v>
      </c>
      <c r="F323" s="47"/>
      <c r="G323" s="778" t="s">
        <v>633</v>
      </c>
      <c r="I323" s="698">
        <f>I317</f>
        <v>42004</v>
      </c>
      <c r="J323" s="497"/>
      <c r="K323" s="698">
        <v>41640</v>
      </c>
    </row>
    <row r="324" spans="1:11" ht="18" customHeight="1">
      <c r="E324" s="778"/>
      <c r="F324" s="47"/>
      <c r="G324" s="778"/>
      <c r="I324" s="498" t="s">
        <v>543</v>
      </c>
      <c r="J324" s="497"/>
      <c r="K324" s="498" t="s">
        <v>543</v>
      </c>
    </row>
    <row r="325" spans="1:11" s="463" customFormat="1" ht="19.7" customHeight="1">
      <c r="A325" s="471"/>
      <c r="C325" s="545" t="s">
        <v>675</v>
      </c>
      <c r="D325" s="545"/>
      <c r="G325" s="471"/>
      <c r="I325" s="538">
        <f>I326+I327+I328</f>
        <v>356298444967</v>
      </c>
      <c r="J325" s="539"/>
      <c r="K325" s="538">
        <f>K326+K327</f>
        <v>10173874747</v>
      </c>
    </row>
    <row r="326" spans="1:11" ht="46.5" customHeight="1">
      <c r="A326" s="518" t="s">
        <v>612</v>
      </c>
      <c r="B326" s="84"/>
      <c r="C326" s="422" t="s">
        <v>761</v>
      </c>
      <c r="D326" s="423"/>
      <c r="E326" s="546">
        <v>1.0166666666666666E-2</v>
      </c>
      <c r="F326" s="84"/>
      <c r="G326" s="292">
        <v>84</v>
      </c>
      <c r="H326" s="84"/>
      <c r="I326" s="424">
        <v>0</v>
      </c>
      <c r="J326" s="425"/>
      <c r="K326" s="424">
        <v>8675042497</v>
      </c>
    </row>
    <row r="327" spans="1:11" ht="46.5" customHeight="1">
      <c r="A327" s="518" t="s">
        <v>612</v>
      </c>
      <c r="B327" s="84"/>
      <c r="C327" s="422" t="s">
        <v>762</v>
      </c>
      <c r="D327" s="423"/>
      <c r="E327" s="546">
        <v>6.4583333333333333E-3</v>
      </c>
      <c r="F327" s="84"/>
      <c r="G327" s="292">
        <v>84</v>
      </c>
      <c r="H327" s="84"/>
      <c r="I327" s="424">
        <v>0</v>
      </c>
      <c r="J327" s="425"/>
      <c r="K327" s="424">
        <v>1498832250</v>
      </c>
    </row>
    <row r="328" spans="1:11" s="75" customFormat="1" ht="46.5" customHeight="1">
      <c r="A328" s="351"/>
      <c r="C328" s="711" t="s">
        <v>858</v>
      </c>
      <c r="D328" s="87"/>
      <c r="E328" s="546">
        <v>8.7500000000000008E-3</v>
      </c>
      <c r="G328" s="292">
        <v>36</v>
      </c>
      <c r="I328" s="424">
        <v>356298444967</v>
      </c>
      <c r="J328" s="350"/>
      <c r="K328" s="645"/>
    </row>
    <row r="329" spans="1:11" s="465" customFormat="1" ht="15.95" customHeight="1">
      <c r="A329" s="540"/>
      <c r="C329" s="537" t="s">
        <v>764</v>
      </c>
      <c r="D329" s="541"/>
      <c r="E329" s="542"/>
      <c r="G329" s="520"/>
      <c r="I329" s="543">
        <f>I330</f>
        <v>15350716440</v>
      </c>
      <c r="J329" s="544"/>
      <c r="K329" s="543">
        <f>K330</f>
        <v>46014458875</v>
      </c>
    </row>
    <row r="330" spans="1:11" ht="19.7" customHeight="1">
      <c r="A330" s="371"/>
      <c r="B330" s="77"/>
      <c r="C330" s="117" t="s">
        <v>765</v>
      </c>
      <c r="D330" s="117"/>
      <c r="E330" s="550">
        <v>1.1250000000000001E-2</v>
      </c>
      <c r="G330" s="286" t="s">
        <v>763</v>
      </c>
      <c r="I330" s="426">
        <v>15350716440</v>
      </c>
      <c r="J330" s="350"/>
      <c r="K330" s="427">
        <v>46014458875</v>
      </c>
    </row>
    <row r="331" spans="1:11" ht="19.7" customHeight="1" thickBot="1">
      <c r="C331" s="75" t="s">
        <v>508</v>
      </c>
      <c r="I331" s="501">
        <f>I325+I329</f>
        <v>371649161407</v>
      </c>
      <c r="J331" s="500"/>
      <c r="K331" s="501">
        <f>K325+K330</f>
        <v>56188333622</v>
      </c>
    </row>
    <row r="332" spans="1:11" ht="11.25" customHeight="1" thickTop="1">
      <c r="C332" s="75"/>
      <c r="I332" s="281"/>
      <c r="K332" s="281"/>
    </row>
    <row r="333" spans="1:11" ht="15.95" customHeight="1">
      <c r="A333" s="584" t="s">
        <v>16</v>
      </c>
      <c r="C333" s="75" t="s">
        <v>53</v>
      </c>
      <c r="I333" s="281"/>
      <c r="K333" s="281"/>
    </row>
    <row r="334" spans="1:11" ht="15.95" customHeight="1">
      <c r="C334" s="75"/>
      <c r="I334" s="698">
        <f>I317</f>
        <v>42004</v>
      </c>
      <c r="J334" s="497"/>
      <c r="K334" s="698">
        <v>41640</v>
      </c>
    </row>
    <row r="335" spans="1:11" ht="15.95" customHeight="1">
      <c r="C335" s="75"/>
      <c r="I335" s="498" t="s">
        <v>543</v>
      </c>
      <c r="J335" s="497"/>
      <c r="K335" s="498" t="s">
        <v>543</v>
      </c>
    </row>
    <row r="336" spans="1:11" ht="21" customHeight="1">
      <c r="A336" s="286"/>
      <c r="B336" s="77"/>
      <c r="C336" s="77" t="s">
        <v>814</v>
      </c>
      <c r="I336" s="109">
        <v>154907382390</v>
      </c>
      <c r="J336" s="500"/>
      <c r="K336" s="499">
        <v>168121119682</v>
      </c>
    </row>
    <row r="337" spans="1:12" ht="21" customHeight="1">
      <c r="A337" s="286"/>
      <c r="B337" s="77"/>
      <c r="C337" s="77" t="s">
        <v>594</v>
      </c>
      <c r="I337" s="109">
        <v>0</v>
      </c>
      <c r="J337" s="500"/>
      <c r="K337" s="499">
        <v>78550000</v>
      </c>
    </row>
    <row r="338" spans="1:12" ht="21" customHeight="1">
      <c r="A338" s="286"/>
      <c r="B338" s="77"/>
      <c r="C338" s="77" t="s">
        <v>105</v>
      </c>
      <c r="I338" s="109">
        <v>43245843176</v>
      </c>
      <c r="J338" s="500"/>
      <c r="K338" s="499">
        <v>45471126240</v>
      </c>
    </row>
    <row r="339" spans="1:12" ht="21" customHeight="1" thickBot="1">
      <c r="C339" s="75" t="s">
        <v>508</v>
      </c>
      <c r="I339" s="501">
        <f>SUM(I336:I338)</f>
        <v>198153225566</v>
      </c>
      <c r="J339" s="500"/>
      <c r="K339" s="501">
        <f>SUM(K336:K338)</f>
        <v>213670795922</v>
      </c>
    </row>
    <row r="340" spans="1:12" ht="15" customHeight="1" thickTop="1">
      <c r="C340" s="75"/>
      <c r="I340" s="281"/>
      <c r="K340" s="281"/>
    </row>
    <row r="341" spans="1:12" ht="18" customHeight="1">
      <c r="A341" s="643" t="s">
        <v>618</v>
      </c>
      <c r="C341" s="75" t="s">
        <v>510</v>
      </c>
      <c r="I341" s="79"/>
      <c r="J341" s="272"/>
      <c r="K341" s="272"/>
    </row>
    <row r="342" spans="1:12" ht="18" customHeight="1">
      <c r="A342" s="526" t="s">
        <v>744</v>
      </c>
      <c r="B342" s="83"/>
      <c r="C342" s="83" t="s">
        <v>513</v>
      </c>
      <c r="D342" s="84"/>
      <c r="E342" s="84"/>
      <c r="F342" s="84"/>
      <c r="G342" s="84"/>
      <c r="H342" s="84"/>
      <c r="I342" s="298"/>
      <c r="J342" s="297"/>
      <c r="K342" s="295" t="s">
        <v>397</v>
      </c>
    </row>
    <row r="343" spans="1:12" ht="32.25" customHeight="1">
      <c r="A343" s="471"/>
      <c r="E343" s="579" t="s">
        <v>515</v>
      </c>
      <c r="G343" s="579" t="s">
        <v>78</v>
      </c>
      <c r="I343" s="312" t="s">
        <v>464</v>
      </c>
      <c r="J343" s="272"/>
      <c r="K343" s="313" t="s">
        <v>508</v>
      </c>
    </row>
    <row r="344" spans="1:12" ht="18" customHeight="1">
      <c r="A344" s="471"/>
      <c r="C344" s="75" t="s">
        <v>830</v>
      </c>
      <c r="E344" s="506">
        <v>343119980000</v>
      </c>
      <c r="F344" s="506"/>
      <c r="G344" s="506">
        <v>0</v>
      </c>
      <c r="H344" s="506"/>
      <c r="I344" s="285">
        <v>19593878168</v>
      </c>
      <c r="J344" s="285"/>
      <c r="K344" s="285">
        <f>SUM(E344:I344)</f>
        <v>362713858168</v>
      </c>
      <c r="L344" s="548"/>
    </row>
    <row r="345" spans="1:12" s="77" customFormat="1" ht="18" customHeight="1">
      <c r="A345" s="292"/>
      <c r="C345" s="77" t="s">
        <v>860</v>
      </c>
      <c r="E345" s="503"/>
      <c r="F345" s="503"/>
      <c r="G345" s="503"/>
      <c r="H345" s="503"/>
      <c r="I345" s="109">
        <f>14111439806+18655114698</f>
        <v>32766554504</v>
      </c>
      <c r="J345" s="109"/>
      <c r="K345" s="109">
        <f t="shared" ref="K345:K355" si="8">SUM(E345:I345)</f>
        <v>32766554504</v>
      </c>
      <c r="L345" s="80"/>
    </row>
    <row r="346" spans="1:12" s="77" customFormat="1" ht="18" customHeight="1">
      <c r="A346" s="292"/>
      <c r="C346" s="77" t="s">
        <v>816</v>
      </c>
      <c r="E346" s="503"/>
      <c r="F346" s="503"/>
      <c r="G346" s="503"/>
      <c r="H346" s="503"/>
      <c r="I346" s="109">
        <v>-4824847297</v>
      </c>
      <c r="J346" s="109"/>
      <c r="K346" s="109">
        <f t="shared" si="8"/>
        <v>-4824847297</v>
      </c>
      <c r="L346" s="80"/>
    </row>
    <row r="347" spans="1:12" s="77" customFormat="1" ht="18" customHeight="1">
      <c r="A347" s="292"/>
      <c r="C347" s="77" t="s">
        <v>817</v>
      </c>
      <c r="E347" s="503"/>
      <c r="F347" s="503"/>
      <c r="G347" s="503"/>
      <c r="H347" s="503"/>
      <c r="I347" s="109">
        <f>1178121300-852450959</f>
        <v>325670341</v>
      </c>
      <c r="J347" s="109"/>
      <c r="K347" s="109">
        <f t="shared" si="8"/>
        <v>325670341</v>
      </c>
      <c r="L347" s="80"/>
    </row>
    <row r="348" spans="1:12" s="77" customFormat="1" ht="18" customHeight="1">
      <c r="A348" s="292"/>
      <c r="C348" s="77" t="s">
        <v>448</v>
      </c>
      <c r="E348" s="503"/>
      <c r="F348" s="503"/>
      <c r="G348" s="503"/>
      <c r="H348" s="503"/>
      <c r="I348" s="109">
        <v>2376067966</v>
      </c>
      <c r="J348" s="109"/>
      <c r="K348" s="109">
        <f>SUM(E348:I348)</f>
        <v>2376067966</v>
      </c>
      <c r="L348" s="80"/>
    </row>
    <row r="349" spans="1:12" ht="18" customHeight="1">
      <c r="A349" s="471"/>
      <c r="C349" s="75" t="s">
        <v>815</v>
      </c>
      <c r="E349" s="506"/>
      <c r="F349" s="506"/>
      <c r="G349" s="506"/>
      <c r="H349" s="506"/>
      <c r="I349" s="285">
        <f>I344+SUM(I345:I348)</f>
        <v>50237323682</v>
      </c>
      <c r="J349" s="285"/>
      <c r="K349" s="285">
        <f t="shared" si="8"/>
        <v>50237323682</v>
      </c>
      <c r="L349" s="548"/>
    </row>
    <row r="350" spans="1:12" ht="18" customHeight="1">
      <c r="A350" s="471"/>
      <c r="C350" s="77" t="s">
        <v>631</v>
      </c>
      <c r="E350" s="503">
        <v>0</v>
      </c>
      <c r="F350" s="503"/>
      <c r="G350" s="503">
        <v>0</v>
      </c>
      <c r="H350" s="503"/>
      <c r="I350" s="109">
        <v>0</v>
      </c>
      <c r="J350" s="285"/>
      <c r="K350" s="109">
        <f t="shared" si="8"/>
        <v>0</v>
      </c>
    </row>
    <row r="351" spans="1:12" ht="18" customHeight="1">
      <c r="A351" s="471"/>
      <c r="C351" s="77" t="s">
        <v>442</v>
      </c>
      <c r="E351" s="503">
        <v>0</v>
      </c>
      <c r="F351" s="503"/>
      <c r="G351" s="503">
        <v>0</v>
      </c>
      <c r="H351" s="503"/>
      <c r="I351" s="109">
        <f>85089850774-I345</f>
        <v>52323296270</v>
      </c>
      <c r="J351" s="285"/>
      <c r="K351" s="109">
        <f t="shared" si="8"/>
        <v>52323296270</v>
      </c>
    </row>
    <row r="352" spans="1:12" ht="18" customHeight="1">
      <c r="A352" s="471"/>
      <c r="C352" s="77" t="s">
        <v>817</v>
      </c>
      <c r="E352" s="503">
        <v>0</v>
      </c>
      <c r="F352" s="503"/>
      <c r="G352" s="503">
        <v>0</v>
      </c>
      <c r="H352" s="503"/>
      <c r="I352" s="109">
        <v>852450959</v>
      </c>
      <c r="J352" s="285"/>
      <c r="K352" s="109">
        <f t="shared" si="8"/>
        <v>852450959</v>
      </c>
    </row>
    <row r="353" spans="1:11" ht="18.399999999999999" customHeight="1">
      <c r="A353" s="471"/>
      <c r="C353" s="77" t="s">
        <v>859</v>
      </c>
      <c r="E353" s="503">
        <v>0</v>
      </c>
      <c r="F353" s="503"/>
      <c r="G353" s="503">
        <v>0</v>
      </c>
      <c r="H353" s="503"/>
      <c r="I353" s="109">
        <v>-20587197850</v>
      </c>
      <c r="J353" s="285"/>
      <c r="K353" s="109">
        <f t="shared" si="8"/>
        <v>-20587197850</v>
      </c>
    </row>
    <row r="354" spans="1:11" ht="18" customHeight="1">
      <c r="A354" s="471"/>
      <c r="C354" s="77" t="s">
        <v>449</v>
      </c>
      <c r="E354" s="503">
        <v>0</v>
      </c>
      <c r="F354" s="503"/>
      <c r="G354" s="503">
        <v>0</v>
      </c>
      <c r="H354" s="503"/>
      <c r="I354" s="109">
        <v>0</v>
      </c>
      <c r="J354" s="285"/>
      <c r="K354" s="109">
        <f t="shared" si="8"/>
        <v>0</v>
      </c>
    </row>
    <row r="355" spans="1:11" ht="21" customHeight="1">
      <c r="A355" s="471"/>
      <c r="C355" s="75" t="s">
        <v>861</v>
      </c>
      <c r="E355" s="506">
        <f>SUM(E344:E354)</f>
        <v>343119980000</v>
      </c>
      <c r="F355" s="506"/>
      <c r="G355" s="506">
        <v>0</v>
      </c>
      <c r="H355" s="506"/>
      <c r="I355" s="506">
        <f>I349+I351+I352+I353</f>
        <v>82825873061</v>
      </c>
      <c r="J355" s="285"/>
      <c r="K355" s="285">
        <f t="shared" si="8"/>
        <v>425945853061</v>
      </c>
    </row>
    <row r="356" spans="1:11" ht="15" customHeight="1">
      <c r="A356" s="471"/>
      <c r="C356" s="75"/>
      <c r="E356" s="303"/>
      <c r="F356" s="303"/>
      <c r="G356" s="303"/>
      <c r="H356" s="303"/>
      <c r="I356" s="281"/>
      <c r="J356" s="79"/>
      <c r="K356" s="79"/>
    </row>
    <row r="357" spans="1:11" ht="17.100000000000001" customHeight="1">
      <c r="A357" s="527" t="s">
        <v>745</v>
      </c>
      <c r="C357" s="314" t="s">
        <v>516</v>
      </c>
      <c r="E357" s="80"/>
      <c r="F357" s="80"/>
      <c r="G357" s="80"/>
      <c r="H357" s="80"/>
      <c r="I357" s="79"/>
      <c r="J357" s="79"/>
      <c r="K357" s="79"/>
    </row>
    <row r="358" spans="1:11">
      <c r="A358" s="471"/>
      <c r="E358" s="80"/>
      <c r="F358" s="80"/>
      <c r="G358" s="80"/>
      <c r="H358" s="80"/>
      <c r="I358" s="698">
        <f>I317</f>
        <v>42004</v>
      </c>
      <c r="J358" s="497"/>
      <c r="K358" s="698">
        <v>41640</v>
      </c>
    </row>
    <row r="359" spans="1:11" ht="15.95" customHeight="1">
      <c r="A359" s="471"/>
      <c r="E359" s="80"/>
      <c r="F359" s="80"/>
      <c r="G359" s="80"/>
      <c r="H359" s="80"/>
      <c r="I359" s="498" t="s">
        <v>543</v>
      </c>
      <c r="J359" s="497"/>
      <c r="K359" s="498" t="s">
        <v>543</v>
      </c>
    </row>
    <row r="360" spans="1:11" ht="15.95" customHeight="1">
      <c r="A360" s="471"/>
      <c r="C360" s="77" t="s">
        <v>26</v>
      </c>
      <c r="E360" s="80"/>
      <c r="F360" s="80"/>
      <c r="G360" s="80"/>
      <c r="H360" s="80"/>
      <c r="I360" s="109">
        <v>343119980000</v>
      </c>
      <c r="J360" s="109"/>
      <c r="K360" s="109">
        <v>343119980000</v>
      </c>
    </row>
    <row r="361" spans="1:11" ht="15.95" customHeight="1" thickBot="1">
      <c r="A361" s="471"/>
      <c r="C361" s="75" t="s">
        <v>508</v>
      </c>
      <c r="I361" s="288">
        <f>SUM(I360:I360)</f>
        <v>343119980000</v>
      </c>
      <c r="J361" s="363"/>
      <c r="K361" s="288">
        <f>SUM(K360:K360)</f>
        <v>343119980000</v>
      </c>
    </row>
    <row r="362" spans="1:11" ht="15" customHeight="1" thickTop="1">
      <c r="A362" s="471"/>
      <c r="C362" s="75"/>
      <c r="I362" s="281"/>
      <c r="K362" s="281"/>
    </row>
    <row r="363" spans="1:11" ht="17.100000000000001" customHeight="1">
      <c r="A363" s="527" t="s">
        <v>746</v>
      </c>
      <c r="C363" s="83" t="s">
        <v>450</v>
      </c>
      <c r="I363" s="79"/>
      <c r="J363" s="272"/>
    </row>
    <row r="364" spans="1:11" ht="17.100000000000001" customHeight="1">
      <c r="A364" s="471"/>
      <c r="C364" s="83"/>
      <c r="I364" s="79"/>
      <c r="J364" s="272"/>
      <c r="K364" s="295" t="s">
        <v>397</v>
      </c>
    </row>
    <row r="365" spans="1:11" ht="18" customHeight="1">
      <c r="A365" s="471"/>
      <c r="E365" s="300" t="s">
        <v>829</v>
      </c>
      <c r="F365" s="584"/>
      <c r="G365" s="585" t="s">
        <v>570</v>
      </c>
      <c r="H365" s="286"/>
      <c r="I365" s="301" t="s">
        <v>571</v>
      </c>
      <c r="J365" s="581"/>
      <c r="K365" s="712">
        <f>I358</f>
        <v>42004</v>
      </c>
    </row>
    <row r="366" spans="1:11" ht="18" customHeight="1">
      <c r="A366" s="471"/>
      <c r="C366" s="47" t="s">
        <v>451</v>
      </c>
      <c r="E366" s="348">
        <v>23967659270</v>
      </c>
      <c r="F366" s="348"/>
      <c r="G366" s="348">
        <v>73455986</v>
      </c>
      <c r="H366" s="348"/>
      <c r="I366" s="348">
        <v>0</v>
      </c>
      <c r="J366" s="85"/>
      <c r="K366" s="109">
        <f>E366+G366-I366</f>
        <v>24041115256</v>
      </c>
    </row>
    <row r="367" spans="1:11" ht="30" customHeight="1">
      <c r="A367" s="471"/>
      <c r="C367" s="569" t="s">
        <v>584</v>
      </c>
      <c r="E367" s="348">
        <v>136172652</v>
      </c>
      <c r="F367" s="348"/>
      <c r="G367" s="348">
        <v>0</v>
      </c>
      <c r="H367" s="348"/>
      <c r="I367" s="348">
        <v>0</v>
      </c>
      <c r="J367" s="85"/>
      <c r="K367" s="109">
        <f>E367+G367-I367</f>
        <v>136172652</v>
      </c>
    </row>
    <row r="368" spans="1:11" ht="18" customHeight="1">
      <c r="A368" s="471"/>
      <c r="C368" s="47" t="s">
        <v>479</v>
      </c>
      <c r="E368" s="348">
        <v>13679920363</v>
      </c>
      <c r="F368" s="348"/>
      <c r="G368" s="348">
        <f>2412423648+130712614</f>
        <v>2543136262</v>
      </c>
      <c r="H368" s="348"/>
      <c r="I368" s="348">
        <v>0</v>
      </c>
      <c r="J368" s="85"/>
      <c r="K368" s="109">
        <f>E368+G368-I368</f>
        <v>16223056625</v>
      </c>
    </row>
    <row r="369" spans="1:11" ht="18" customHeight="1" thickBot="1">
      <c r="A369" s="471"/>
      <c r="C369" s="75" t="s">
        <v>508</v>
      </c>
      <c r="E369" s="370">
        <f>SUM(E366:E368)-1</f>
        <v>37783752284</v>
      </c>
      <c r="F369" s="371"/>
      <c r="G369" s="370">
        <f>SUM(G366:G368)</f>
        <v>2616592248</v>
      </c>
      <c r="H369" s="371"/>
      <c r="I369" s="370">
        <f>SUM(I366:I368)</f>
        <v>0</v>
      </c>
      <c r="J369" s="363"/>
      <c r="K369" s="288">
        <f>SUM(K366:K368)</f>
        <v>40400344533</v>
      </c>
    </row>
    <row r="370" spans="1:11" ht="5.25" hidden="1" customHeight="1" thickTop="1">
      <c r="A370" s="471"/>
      <c r="C370" s="75"/>
      <c r="E370" s="347"/>
      <c r="F370" s="371"/>
      <c r="G370" s="347"/>
      <c r="H370" s="371"/>
      <c r="I370" s="285"/>
      <c r="J370" s="363"/>
      <c r="K370" s="285"/>
    </row>
    <row r="371" spans="1:11" ht="13.5" customHeight="1" thickTop="1">
      <c r="A371" s="471"/>
      <c r="C371" s="75"/>
      <c r="E371" s="347"/>
      <c r="F371" s="371"/>
      <c r="G371" s="347"/>
      <c r="H371" s="371"/>
      <c r="I371" s="285"/>
      <c r="J371" s="363"/>
      <c r="K371" s="285"/>
    </row>
    <row r="372" spans="1:11" s="465" customFormat="1" ht="17.100000000000001" customHeight="1">
      <c r="A372" s="527" t="s">
        <v>747</v>
      </c>
      <c r="B372" s="83"/>
      <c r="C372" s="83" t="s">
        <v>465</v>
      </c>
      <c r="D372" s="83"/>
      <c r="E372" s="83"/>
      <c r="F372" s="83"/>
      <c r="G372" s="83"/>
      <c r="H372" s="83"/>
      <c r="I372" s="298"/>
      <c r="J372" s="297"/>
      <c r="K372" s="297"/>
    </row>
    <row r="373" spans="1:11">
      <c r="A373" s="471"/>
      <c r="I373" s="698">
        <f>K365</f>
        <v>42004</v>
      </c>
      <c r="J373" s="507"/>
      <c r="K373" s="698">
        <v>41640</v>
      </c>
    </row>
    <row r="374" spans="1:11" ht="17.100000000000001" customHeight="1">
      <c r="A374" s="471"/>
      <c r="I374" s="498" t="s">
        <v>543</v>
      </c>
      <c r="J374" s="85"/>
      <c r="K374" s="498" t="s">
        <v>543</v>
      </c>
    </row>
    <row r="375" spans="1:11" s="465" customFormat="1" ht="18" customHeight="1">
      <c r="A375" s="471"/>
      <c r="B375" s="75"/>
      <c r="C375" s="75" t="s">
        <v>515</v>
      </c>
      <c r="D375" s="75"/>
      <c r="E375" s="75"/>
      <c r="F375" s="75"/>
      <c r="G375" s="75"/>
      <c r="H375" s="75"/>
      <c r="I375" s="285"/>
      <c r="J375" s="85"/>
      <c r="K375" s="285"/>
    </row>
    <row r="376" spans="1:11" ht="18" customHeight="1">
      <c r="A376" s="471"/>
      <c r="C376" s="77" t="s">
        <v>468</v>
      </c>
      <c r="I376" s="109">
        <f>E344</f>
        <v>343119980000</v>
      </c>
      <c r="J376" s="363"/>
      <c r="K376" s="109">
        <v>343119980000</v>
      </c>
    </row>
    <row r="377" spans="1:11" ht="18" customHeight="1">
      <c r="A377" s="471"/>
      <c r="C377" s="77" t="s">
        <v>469</v>
      </c>
      <c r="I377" s="109">
        <f>E350</f>
        <v>0</v>
      </c>
      <c r="J377" s="363"/>
      <c r="K377" s="109">
        <v>0</v>
      </c>
    </row>
    <row r="378" spans="1:11" ht="18" customHeight="1">
      <c r="A378" s="471"/>
      <c r="C378" s="77" t="s">
        <v>470</v>
      </c>
      <c r="I378" s="109">
        <v>0</v>
      </c>
      <c r="J378" s="363"/>
      <c r="K378" s="109">
        <v>0</v>
      </c>
    </row>
    <row r="379" spans="1:11" s="465" customFormat="1" ht="18" customHeight="1">
      <c r="A379" s="471"/>
      <c r="B379" s="75"/>
      <c r="C379" s="75" t="s">
        <v>471</v>
      </c>
      <c r="D379" s="75"/>
      <c r="E379" s="75"/>
      <c r="F379" s="75"/>
      <c r="G379" s="75"/>
      <c r="H379" s="75"/>
      <c r="I379" s="285">
        <f>+I376+I377-I378</f>
        <v>343119980000</v>
      </c>
      <c r="J379" s="85"/>
      <c r="K379" s="285">
        <f>+K376+K377-K378</f>
        <v>343119980000</v>
      </c>
    </row>
    <row r="380" spans="1:11" s="465" customFormat="1" ht="18" customHeight="1">
      <c r="A380" s="471"/>
      <c r="B380" s="75"/>
      <c r="C380" s="75" t="s">
        <v>771</v>
      </c>
      <c r="D380" s="75"/>
      <c r="E380" s="75"/>
      <c r="F380" s="75"/>
      <c r="G380" s="75"/>
      <c r="H380" s="75"/>
      <c r="I380" s="79">
        <v>20587197850</v>
      </c>
      <c r="J380" s="272"/>
      <c r="K380" s="79">
        <v>1576313986</v>
      </c>
    </row>
    <row r="381" spans="1:11" s="465" customFormat="1" ht="13.5" customHeight="1">
      <c r="A381" s="471"/>
      <c r="B381" s="75"/>
      <c r="C381" s="75"/>
      <c r="D381" s="75"/>
      <c r="E381" s="75"/>
      <c r="F381" s="75"/>
      <c r="G381" s="75"/>
      <c r="H381" s="75"/>
      <c r="I381" s="79"/>
      <c r="J381" s="272"/>
      <c r="K381" s="79"/>
    </row>
    <row r="382" spans="1:11" s="465" customFormat="1" ht="17.100000000000001" customHeight="1">
      <c r="A382" s="527" t="s">
        <v>748</v>
      </c>
      <c r="B382" s="83"/>
      <c r="C382" s="83" t="s">
        <v>507</v>
      </c>
      <c r="D382" s="83"/>
      <c r="E382" s="83"/>
      <c r="F382" s="83"/>
      <c r="G382" s="83"/>
      <c r="H382" s="83"/>
      <c r="I382" s="298"/>
      <c r="J382" s="297"/>
      <c r="K382" s="297"/>
    </row>
    <row r="383" spans="1:11">
      <c r="A383" s="471"/>
      <c r="I383" s="700">
        <f>I373</f>
        <v>42004</v>
      </c>
      <c r="J383" s="507"/>
      <c r="K383" s="700">
        <v>41640</v>
      </c>
    </row>
    <row r="384" spans="1:11" ht="17.100000000000001" customHeight="1">
      <c r="A384" s="471"/>
      <c r="C384" s="77" t="s">
        <v>476</v>
      </c>
      <c r="I384" s="109">
        <f>I361/10000</f>
        <v>34311998</v>
      </c>
      <c r="J384" s="363"/>
      <c r="K384" s="109">
        <f>K361/10000</f>
        <v>34311998</v>
      </c>
    </row>
    <row r="385" spans="1:11" ht="17.100000000000001" customHeight="1">
      <c r="A385" s="471"/>
      <c r="C385" s="77" t="s">
        <v>475</v>
      </c>
      <c r="I385" s="109">
        <f>SUM(I386:I387)</f>
        <v>34311998</v>
      </c>
      <c r="J385" s="363"/>
      <c r="K385" s="109">
        <f>SUM(K386:K387)</f>
        <v>34311998</v>
      </c>
    </row>
    <row r="386" spans="1:11" ht="17.100000000000001" customHeight="1">
      <c r="A386" s="471"/>
      <c r="B386" s="83"/>
      <c r="C386" s="84" t="s">
        <v>472</v>
      </c>
      <c r="D386" s="84"/>
      <c r="E386" s="84"/>
      <c r="F386" s="84"/>
      <c r="G386" s="84"/>
      <c r="H386" s="84"/>
      <c r="I386" s="290">
        <f>I384</f>
        <v>34311998</v>
      </c>
      <c r="J386" s="73"/>
      <c r="K386" s="109">
        <f>K384</f>
        <v>34311998</v>
      </c>
    </row>
    <row r="387" spans="1:11" ht="17.100000000000001" customHeight="1">
      <c r="A387" s="471"/>
      <c r="B387" s="83"/>
      <c r="C387" s="84" t="s">
        <v>443</v>
      </c>
      <c r="D387" s="84"/>
      <c r="E387" s="84"/>
      <c r="F387" s="84"/>
      <c r="G387" s="84"/>
      <c r="H387" s="84"/>
      <c r="I387" s="290">
        <v>0</v>
      </c>
      <c r="J387" s="73"/>
      <c r="K387" s="109">
        <v>0</v>
      </c>
    </row>
    <row r="388" spans="1:11" ht="17.100000000000001" customHeight="1">
      <c r="A388" s="471"/>
      <c r="C388" s="77" t="s">
        <v>517</v>
      </c>
      <c r="I388" s="109">
        <v>0</v>
      </c>
      <c r="J388" s="363"/>
      <c r="K388" s="109">
        <v>0</v>
      </c>
    </row>
    <row r="389" spans="1:11" ht="17.100000000000001" customHeight="1">
      <c r="A389" s="471"/>
      <c r="C389" s="77" t="s">
        <v>441</v>
      </c>
      <c r="I389" s="109">
        <f>I390+I391</f>
        <v>34311998</v>
      </c>
      <c r="J389" s="363"/>
      <c r="K389" s="109">
        <f>K390+K391</f>
        <v>34311998</v>
      </c>
    </row>
    <row r="390" spans="1:11" ht="17.100000000000001" customHeight="1">
      <c r="A390" s="471"/>
      <c r="B390" s="83"/>
      <c r="C390" s="84" t="s">
        <v>472</v>
      </c>
      <c r="D390" s="84"/>
      <c r="E390" s="84"/>
      <c r="F390" s="84"/>
      <c r="G390" s="84"/>
      <c r="H390" s="84"/>
      <c r="I390" s="290">
        <f>I386</f>
        <v>34311998</v>
      </c>
      <c r="J390" s="73"/>
      <c r="K390" s="290">
        <f>K386</f>
        <v>34311998</v>
      </c>
    </row>
    <row r="391" spans="1:11" ht="17.100000000000001" customHeight="1">
      <c r="A391" s="471"/>
      <c r="B391" s="83"/>
      <c r="C391" s="84" t="s">
        <v>443</v>
      </c>
      <c r="D391" s="84"/>
      <c r="E391" s="84"/>
      <c r="F391" s="84"/>
      <c r="G391" s="84"/>
      <c r="H391" s="84"/>
      <c r="I391" s="293">
        <v>0</v>
      </c>
      <c r="J391" s="294"/>
      <c r="K391" s="67">
        <v>0</v>
      </c>
    </row>
    <row r="392" spans="1:11" s="465" customFormat="1" ht="17.100000000000001" customHeight="1">
      <c r="A392" s="471"/>
      <c r="B392" s="83"/>
      <c r="C392" s="83" t="s">
        <v>452</v>
      </c>
      <c r="D392" s="83"/>
      <c r="E392" s="83"/>
      <c r="F392" s="83"/>
      <c r="G392" s="83"/>
      <c r="H392" s="83"/>
      <c r="I392" s="298"/>
      <c r="J392" s="297"/>
      <c r="K392" s="297"/>
    </row>
    <row r="393" spans="1:11" s="465" customFormat="1" ht="13.5" customHeight="1">
      <c r="A393" s="471"/>
      <c r="B393" s="83"/>
      <c r="C393" s="83"/>
      <c r="D393" s="83"/>
      <c r="E393" s="83"/>
      <c r="F393" s="83"/>
      <c r="G393" s="83"/>
      <c r="H393" s="83"/>
      <c r="I393" s="298"/>
      <c r="J393" s="297"/>
      <c r="K393" s="297"/>
    </row>
    <row r="394" spans="1:11" s="464" customFormat="1" ht="17.100000000000001" customHeight="1">
      <c r="A394" s="577" t="s">
        <v>520</v>
      </c>
      <c r="B394" s="86"/>
      <c r="C394" s="86" t="s">
        <v>27</v>
      </c>
      <c r="D394" s="47"/>
      <c r="E394" s="47"/>
      <c r="F394" s="47"/>
      <c r="G394" s="47"/>
      <c r="H394" s="47"/>
      <c r="I394" s="273"/>
      <c r="J394" s="282"/>
      <c r="K394" s="89"/>
    </row>
    <row r="395" spans="1:11" s="464" customFormat="1" ht="17.100000000000001" customHeight="1">
      <c r="A395" s="577" t="s">
        <v>719</v>
      </c>
      <c r="B395" s="86"/>
      <c r="C395" s="86" t="s">
        <v>453</v>
      </c>
      <c r="D395" s="47"/>
      <c r="E395" s="47"/>
      <c r="F395" s="47"/>
      <c r="G395" s="47"/>
      <c r="H395" s="47"/>
      <c r="I395" s="273"/>
      <c r="J395" s="282"/>
      <c r="K395" s="89"/>
    </row>
    <row r="396" spans="1:11" ht="28.5">
      <c r="I396" s="496" t="str">
        <f>'BC KQKD'!G10</f>
        <v>Quý này
năm nay</v>
      </c>
      <c r="J396" s="507"/>
      <c r="K396" s="496" t="str">
        <f>'BC KQKD'!I10</f>
        <v>Quý này 
năm trước</v>
      </c>
    </row>
    <row r="397" spans="1:11" ht="17.100000000000001" customHeight="1">
      <c r="I397" s="498" t="s">
        <v>543</v>
      </c>
      <c r="J397" s="85"/>
      <c r="K397" s="498" t="s">
        <v>543</v>
      </c>
    </row>
    <row r="398" spans="1:11" ht="18" customHeight="1">
      <c r="A398" s="286"/>
      <c r="B398" s="77"/>
      <c r="C398" s="77" t="s">
        <v>29</v>
      </c>
      <c r="I398" s="109">
        <v>0</v>
      </c>
      <c r="J398" s="348"/>
      <c r="K398" s="109">
        <v>0</v>
      </c>
    </row>
    <row r="399" spans="1:11" ht="18" customHeight="1">
      <c r="A399" s="82"/>
      <c r="B399" s="83"/>
      <c r="C399" s="77" t="s">
        <v>30</v>
      </c>
      <c r="I399" s="109">
        <f>381915088724-67707116145-77750579286</f>
        <v>236457393293</v>
      </c>
      <c r="J399" s="348"/>
      <c r="K399" s="109">
        <v>0</v>
      </c>
    </row>
    <row r="400" spans="1:11" ht="18" customHeight="1">
      <c r="A400" s="82"/>
      <c r="B400" s="83"/>
      <c r="C400" s="77" t="s">
        <v>63</v>
      </c>
      <c r="I400" s="109">
        <f>48125584991+19105030250-22240321272-10854414648-15842315348-168318184</f>
        <v>18125245789</v>
      </c>
      <c r="J400" s="348"/>
      <c r="K400" s="109">
        <v>0</v>
      </c>
    </row>
    <row r="401" spans="1:11" ht="18" customHeight="1">
      <c r="A401" s="82"/>
      <c r="B401" s="83"/>
      <c r="C401" s="77" t="s">
        <v>77</v>
      </c>
      <c r="D401" s="84"/>
      <c r="E401" s="84"/>
      <c r="F401" s="84"/>
      <c r="G401" s="84"/>
      <c r="H401" s="84"/>
      <c r="I401" s="109">
        <v>0</v>
      </c>
      <c r="J401" s="348"/>
      <c r="K401" s="109">
        <v>0</v>
      </c>
    </row>
    <row r="402" spans="1:11" ht="18" customHeight="1" thickBot="1">
      <c r="C402" s="75" t="s">
        <v>508</v>
      </c>
      <c r="I402" s="288">
        <f>I401+I400+I399+I398</f>
        <v>254582639082</v>
      </c>
      <c r="J402" s="363"/>
      <c r="K402" s="288">
        <f>K401+K400+K399+K398</f>
        <v>0</v>
      </c>
    </row>
    <row r="403" spans="1:11" ht="13.5" customHeight="1" thickTop="1">
      <c r="C403" s="75"/>
      <c r="I403" s="281"/>
      <c r="K403" s="281"/>
    </row>
    <row r="404" spans="1:11" s="464" customFormat="1" ht="17.100000000000001" customHeight="1">
      <c r="A404" s="291"/>
      <c r="B404" s="86"/>
      <c r="C404" s="86" t="s">
        <v>454</v>
      </c>
      <c r="D404" s="47"/>
      <c r="E404" s="47"/>
      <c r="F404" s="47"/>
      <c r="G404" s="47"/>
      <c r="H404" s="47"/>
      <c r="I404" s="273"/>
      <c r="J404" s="282"/>
      <c r="K404" s="89"/>
    </row>
    <row r="405" spans="1:11" ht="28.5">
      <c r="A405" s="643"/>
      <c r="I405" s="496" t="str">
        <f>I396</f>
        <v>Quý này
năm nay</v>
      </c>
      <c r="J405" s="507"/>
      <c r="K405" s="496" t="str">
        <f>K396</f>
        <v>Quý này 
năm trước</v>
      </c>
    </row>
    <row r="406" spans="1:11" ht="17.100000000000001" customHeight="1">
      <c r="A406" s="643"/>
      <c r="I406" s="284" t="s">
        <v>543</v>
      </c>
      <c r="J406" s="272"/>
      <c r="K406" s="284" t="s">
        <v>543</v>
      </c>
    </row>
    <row r="407" spans="1:11" ht="1.5" customHeight="1">
      <c r="A407" s="643"/>
      <c r="I407" s="79"/>
      <c r="J407" s="272"/>
      <c r="K407" s="272"/>
    </row>
    <row r="408" spans="1:11" ht="18" customHeight="1">
      <c r="A408" s="286"/>
      <c r="B408" s="77"/>
      <c r="C408" s="77" t="s">
        <v>106</v>
      </c>
      <c r="I408" s="109">
        <f>53333333-49115151</f>
        <v>4218182</v>
      </c>
      <c r="J408" s="348"/>
      <c r="K408" s="348">
        <v>0</v>
      </c>
    </row>
    <row r="409" spans="1:11" ht="18" customHeight="1">
      <c r="A409" s="286"/>
      <c r="B409" s="77"/>
      <c r="C409" s="77" t="s">
        <v>199</v>
      </c>
      <c r="I409" s="109">
        <v>0</v>
      </c>
      <c r="J409" s="348"/>
      <c r="K409" s="348">
        <v>0</v>
      </c>
    </row>
    <row r="410" spans="1:11" ht="18" customHeight="1">
      <c r="A410" s="643"/>
      <c r="C410" s="77" t="s">
        <v>191</v>
      </c>
      <c r="I410" s="109">
        <v>0</v>
      </c>
      <c r="J410" s="348"/>
      <c r="K410" s="348">
        <v>0</v>
      </c>
    </row>
    <row r="411" spans="1:11" ht="1.5" customHeight="1">
      <c r="A411" s="643"/>
      <c r="K411" s="81"/>
    </row>
    <row r="412" spans="1:11" ht="17.100000000000001" customHeight="1" thickBot="1">
      <c r="A412" s="643"/>
      <c r="C412" s="75" t="s">
        <v>508</v>
      </c>
      <c r="I412" s="299">
        <f>SUM(I408:I410)</f>
        <v>4218182</v>
      </c>
      <c r="K412" s="299">
        <f>SUM(K408:K410)</f>
        <v>0</v>
      </c>
    </row>
    <row r="413" spans="1:11" ht="17.100000000000001" customHeight="1" thickTop="1">
      <c r="A413" s="643"/>
      <c r="C413" s="75"/>
      <c r="I413" s="281"/>
      <c r="K413" s="281"/>
    </row>
    <row r="414" spans="1:11" ht="17.100000000000001" customHeight="1">
      <c r="A414" s="643"/>
      <c r="C414" s="75"/>
      <c r="I414" s="281"/>
      <c r="K414" s="281"/>
    </row>
    <row r="415" spans="1:11" s="464" customFormat="1" ht="17.100000000000001" customHeight="1">
      <c r="A415" s="291"/>
      <c r="B415" s="86"/>
      <c r="C415" s="86" t="s">
        <v>455</v>
      </c>
      <c r="D415" s="47"/>
      <c r="E415" s="47"/>
      <c r="F415" s="47"/>
      <c r="G415" s="47"/>
      <c r="H415" s="47"/>
      <c r="I415" s="273"/>
      <c r="J415" s="282"/>
      <c r="K415" s="89"/>
    </row>
    <row r="416" spans="1:11" ht="17.100000000000001" customHeight="1">
      <c r="A416" s="643"/>
      <c r="I416" s="321" t="s">
        <v>843</v>
      </c>
      <c r="J416" s="706"/>
      <c r="K416" s="321" t="s">
        <v>844</v>
      </c>
    </row>
    <row r="417" spans="1:11" ht="17.100000000000001" customHeight="1">
      <c r="A417" s="643"/>
      <c r="I417" s="284" t="s">
        <v>543</v>
      </c>
      <c r="J417" s="272"/>
      <c r="K417" s="284" t="s">
        <v>543</v>
      </c>
    </row>
    <row r="418" spans="1:11" ht="1.5" customHeight="1">
      <c r="A418" s="643"/>
      <c r="I418" s="79"/>
      <c r="J418" s="272"/>
      <c r="K418" s="272"/>
    </row>
    <row r="419" spans="1:11" s="465" customFormat="1" ht="18" customHeight="1">
      <c r="A419" s="643"/>
      <c r="B419" s="75"/>
      <c r="C419" s="77" t="s">
        <v>31</v>
      </c>
      <c r="D419" s="75"/>
      <c r="E419" s="75"/>
      <c r="F419" s="75"/>
      <c r="G419" s="75"/>
      <c r="H419" s="75"/>
      <c r="I419" s="109">
        <v>0</v>
      </c>
      <c r="J419" s="348"/>
      <c r="K419" s="348">
        <v>0</v>
      </c>
    </row>
    <row r="420" spans="1:11" ht="18" customHeight="1">
      <c r="A420" s="643"/>
      <c r="C420" s="77" t="s">
        <v>32</v>
      </c>
      <c r="I420" s="109">
        <f>I399+208920000</f>
        <v>236666313293</v>
      </c>
      <c r="J420" s="348"/>
      <c r="K420" s="348">
        <v>0</v>
      </c>
    </row>
    <row r="421" spans="1:11" ht="18" customHeight="1">
      <c r="A421" s="643"/>
      <c r="C421" s="77" t="s">
        <v>64</v>
      </c>
      <c r="I421" s="109">
        <f>I400-I408</f>
        <v>18121027607</v>
      </c>
      <c r="J421" s="348"/>
      <c r="K421" s="348">
        <v>0</v>
      </c>
    </row>
    <row r="422" spans="1:11" ht="18" customHeight="1">
      <c r="A422" s="643"/>
      <c r="C422" s="77" t="s">
        <v>77</v>
      </c>
      <c r="I422" s="109">
        <v>0</v>
      </c>
      <c r="J422" s="348"/>
      <c r="K422" s="348">
        <v>0</v>
      </c>
    </row>
    <row r="423" spans="1:11" ht="1.5" customHeight="1">
      <c r="A423" s="643"/>
      <c r="I423" s="79"/>
      <c r="J423" s="272"/>
      <c r="K423" s="272"/>
    </row>
    <row r="424" spans="1:11" ht="17.100000000000001" customHeight="1" thickBot="1">
      <c r="A424" s="643"/>
      <c r="C424" s="75" t="s">
        <v>508</v>
      </c>
      <c r="I424" s="646">
        <f>SUM(I419:I422)</f>
        <v>254787340900</v>
      </c>
      <c r="K424" s="299">
        <f>SUM(K419:K422)</f>
        <v>0</v>
      </c>
    </row>
    <row r="425" spans="1:11" ht="17.100000000000001" customHeight="1" thickTop="1">
      <c r="A425" s="643"/>
      <c r="C425" s="75"/>
      <c r="I425" s="281"/>
      <c r="K425" s="281"/>
    </row>
    <row r="426" spans="1:11" ht="18" customHeight="1">
      <c r="A426" s="584" t="s">
        <v>720</v>
      </c>
      <c r="C426" s="75" t="s">
        <v>456</v>
      </c>
      <c r="I426" s="281"/>
      <c r="K426" s="281"/>
    </row>
    <row r="427" spans="1:11" ht="18" customHeight="1">
      <c r="C427" s="75"/>
      <c r="I427" s="707" t="str">
        <f>I416</f>
        <v>Quý này năm nay</v>
      </c>
      <c r="J427" s="708"/>
      <c r="K427" s="707" t="str">
        <f>K436</f>
        <v>Quý này năm trước</v>
      </c>
    </row>
    <row r="428" spans="1:11" ht="18" customHeight="1">
      <c r="C428" s="75"/>
      <c r="I428" s="498" t="s">
        <v>543</v>
      </c>
      <c r="J428" s="85"/>
      <c r="K428" s="498" t="s">
        <v>543</v>
      </c>
    </row>
    <row r="429" spans="1:11" ht="18" customHeight="1">
      <c r="A429" s="286"/>
      <c r="B429" s="77"/>
      <c r="C429" s="77" t="s">
        <v>33</v>
      </c>
      <c r="I429" s="109">
        <v>0</v>
      </c>
      <c r="J429" s="348"/>
      <c r="K429" s="629">
        <v>0</v>
      </c>
    </row>
    <row r="430" spans="1:11" ht="18" customHeight="1">
      <c r="A430" s="286"/>
      <c r="B430" s="77"/>
      <c r="C430" s="77" t="s">
        <v>34</v>
      </c>
      <c r="I430" s="109">
        <f>231611643059-51300167098-14304605441-37949413239</f>
        <v>128057457281</v>
      </c>
      <c r="J430" s="348"/>
      <c r="K430" s="348">
        <v>0</v>
      </c>
    </row>
    <row r="431" spans="1:11" ht="18" customHeight="1">
      <c r="A431" s="286"/>
      <c r="B431" s="77"/>
      <c r="C431" s="77" t="s">
        <v>733</v>
      </c>
      <c r="I431" s="109">
        <f>14154803565+7684416132-5057013669-7772730256-3515250912</f>
        <v>5494224860</v>
      </c>
      <c r="J431" s="348"/>
      <c r="K431" s="348">
        <v>0</v>
      </c>
    </row>
    <row r="432" spans="1:11" ht="18" customHeight="1">
      <c r="A432" s="286"/>
      <c r="B432" s="77"/>
      <c r="C432" s="77" t="s">
        <v>586</v>
      </c>
      <c r="D432" s="84"/>
      <c r="I432" s="109">
        <v>0</v>
      </c>
      <c r="J432" s="348"/>
      <c r="K432" s="628">
        <v>0</v>
      </c>
    </row>
    <row r="433" spans="1:11" ht="16.5" customHeight="1" thickBot="1">
      <c r="C433" s="75" t="s">
        <v>508</v>
      </c>
      <c r="I433" s="288">
        <f>SUM(I429:I432)</f>
        <v>133551682141</v>
      </c>
      <c r="J433" s="500"/>
      <c r="K433" s="501">
        <f>SUM(K429:K432)</f>
        <v>0</v>
      </c>
    </row>
    <row r="434" spans="1:11" ht="18" customHeight="1" thickTop="1">
      <c r="C434" s="75"/>
      <c r="I434" s="281"/>
      <c r="K434" s="281"/>
    </row>
    <row r="435" spans="1:11" ht="18" customHeight="1">
      <c r="A435" s="74" t="s">
        <v>45</v>
      </c>
      <c r="C435" s="86" t="s">
        <v>480</v>
      </c>
      <c r="I435" s="281"/>
      <c r="K435" s="281"/>
    </row>
    <row r="436" spans="1:11" ht="18" customHeight="1">
      <c r="C436" s="75"/>
      <c r="I436" s="707" t="str">
        <f>I427</f>
        <v>Quý này năm nay</v>
      </c>
      <c r="J436" s="708"/>
      <c r="K436" s="707" t="str">
        <f>K445</f>
        <v>Quý này năm trước</v>
      </c>
    </row>
    <row r="437" spans="1:11" ht="18" customHeight="1">
      <c r="C437" s="75"/>
      <c r="I437" s="498" t="s">
        <v>543</v>
      </c>
      <c r="J437" s="85"/>
      <c r="K437" s="498" t="s">
        <v>543</v>
      </c>
    </row>
    <row r="438" spans="1:11" ht="18" customHeight="1">
      <c r="A438" s="286"/>
      <c r="B438" s="77"/>
      <c r="C438" s="77" t="s">
        <v>587</v>
      </c>
      <c r="I438" s="109">
        <f>411747877-89881743-37718472</f>
        <v>284147662</v>
      </c>
      <c r="J438" s="348"/>
      <c r="K438" s="348">
        <v>0</v>
      </c>
    </row>
    <row r="439" spans="1:11" ht="15.95" customHeight="1">
      <c r="A439" s="286"/>
      <c r="B439" s="77"/>
      <c r="C439" s="77" t="s">
        <v>35</v>
      </c>
      <c r="I439" s="109">
        <v>0</v>
      </c>
      <c r="J439" s="348"/>
      <c r="K439" s="348">
        <v>0</v>
      </c>
    </row>
    <row r="440" spans="1:11" ht="18" customHeight="1">
      <c r="A440" s="286"/>
      <c r="B440" s="77"/>
      <c r="C440" s="77" t="s">
        <v>734</v>
      </c>
      <c r="I440" s="109">
        <v>0</v>
      </c>
      <c r="J440" s="348"/>
      <c r="K440" s="348">
        <v>0</v>
      </c>
    </row>
    <row r="441" spans="1:11" ht="18" customHeight="1">
      <c r="A441" s="286"/>
      <c r="B441" s="77"/>
      <c r="C441" s="77" t="s">
        <v>78</v>
      </c>
      <c r="I441" s="109">
        <v>0</v>
      </c>
      <c r="J441" s="348"/>
      <c r="K441" s="348">
        <v>0</v>
      </c>
    </row>
    <row r="442" spans="1:11" ht="18" customHeight="1" thickBot="1">
      <c r="C442" s="75" t="s">
        <v>508</v>
      </c>
      <c r="I442" s="288">
        <f>SUM(I438:I441)</f>
        <v>284147662</v>
      </c>
      <c r="J442" s="500"/>
      <c r="K442" s="288">
        <f>SUM(K438:K441)</f>
        <v>0</v>
      </c>
    </row>
    <row r="443" spans="1:11" ht="15" customHeight="1" thickTop="1">
      <c r="C443" s="75"/>
      <c r="I443" s="281"/>
      <c r="K443" s="281"/>
    </row>
    <row r="444" spans="1:11" ht="16.5" customHeight="1">
      <c r="A444" s="74" t="s">
        <v>694</v>
      </c>
      <c r="C444" s="86" t="s">
        <v>481</v>
      </c>
      <c r="I444" s="281"/>
      <c r="K444" s="281"/>
    </row>
    <row r="445" spans="1:11" ht="16.5" customHeight="1">
      <c r="C445" s="75"/>
      <c r="I445" s="707" t="str">
        <f>I436</f>
        <v>Quý này năm nay</v>
      </c>
      <c r="J445" s="708"/>
      <c r="K445" s="707" t="str">
        <f>K416</f>
        <v>Quý này năm trước</v>
      </c>
    </row>
    <row r="446" spans="1:11" ht="18" customHeight="1">
      <c r="C446" s="75"/>
      <c r="I446" s="498" t="s">
        <v>543</v>
      </c>
      <c r="J446" s="85"/>
      <c r="K446" s="498" t="s">
        <v>543</v>
      </c>
    </row>
    <row r="447" spans="1:11" ht="18" customHeight="1">
      <c r="A447" s="286"/>
      <c r="B447" s="77"/>
      <c r="C447" s="77" t="s">
        <v>107</v>
      </c>
      <c r="I447" s="109">
        <f>9717906735-5117657505-2441158910</f>
        <v>2159090320</v>
      </c>
      <c r="J447" s="500"/>
      <c r="K447" s="348">
        <v>0</v>
      </c>
    </row>
    <row r="448" spans="1:11" ht="18" customHeight="1">
      <c r="A448" s="286"/>
      <c r="B448" s="77"/>
      <c r="C448" s="77" t="s">
        <v>787</v>
      </c>
      <c r="I448" s="109">
        <v>0</v>
      </c>
      <c r="J448" s="500"/>
      <c r="K448" s="348">
        <v>0</v>
      </c>
    </row>
    <row r="449" spans="1:11" ht="18" customHeight="1">
      <c r="A449" s="286"/>
      <c r="B449" s="77"/>
      <c r="C449" s="77" t="s">
        <v>108</v>
      </c>
      <c r="I449" s="109">
        <v>0</v>
      </c>
      <c r="J449" s="500"/>
      <c r="K449" s="348">
        <v>0</v>
      </c>
    </row>
    <row r="450" spans="1:11" ht="18" customHeight="1">
      <c r="A450" s="286"/>
      <c r="B450" s="77"/>
      <c r="C450" s="77" t="s">
        <v>797</v>
      </c>
      <c r="I450" s="109">
        <v>0</v>
      </c>
      <c r="J450" s="500"/>
      <c r="K450" s="348">
        <v>0</v>
      </c>
    </row>
    <row r="451" spans="1:11" ht="18" customHeight="1" thickBot="1">
      <c r="C451" s="75" t="s">
        <v>508</v>
      </c>
      <c r="I451" s="288">
        <f>SUM(I447:I450)</f>
        <v>2159090320</v>
      </c>
      <c r="J451" s="500"/>
      <c r="K451" s="288">
        <f>SUM(K447:K450)</f>
        <v>0</v>
      </c>
    </row>
    <row r="452" spans="1:11" ht="18" customHeight="1" thickTop="1">
      <c r="C452" s="75"/>
      <c r="I452" s="281"/>
      <c r="K452" s="281"/>
    </row>
    <row r="453" spans="1:11" ht="18" customHeight="1">
      <c r="A453" s="74" t="s">
        <v>729</v>
      </c>
      <c r="B453" s="88" t="s">
        <v>791</v>
      </c>
      <c r="C453" s="75"/>
      <c r="I453" s="281"/>
      <c r="K453" s="281"/>
    </row>
    <row r="454" spans="1:11" ht="18" customHeight="1">
      <c r="C454" s="578"/>
      <c r="D454" s="578"/>
      <c r="E454" s="578"/>
      <c r="F454" s="578"/>
      <c r="G454" s="578"/>
      <c r="H454" s="578"/>
      <c r="I454" s="707" t="str">
        <f>I445</f>
        <v>Quý này năm nay</v>
      </c>
      <c r="J454" s="708"/>
      <c r="K454" s="707" t="str">
        <f>K416</f>
        <v>Quý này năm trước</v>
      </c>
    </row>
    <row r="455" spans="1:11" ht="18" customHeight="1">
      <c r="C455" s="578"/>
      <c r="D455" s="578"/>
      <c r="E455" s="578"/>
      <c r="F455" s="578"/>
      <c r="G455" s="578"/>
      <c r="H455" s="578"/>
      <c r="I455" s="563" t="s">
        <v>543</v>
      </c>
      <c r="J455" s="562"/>
      <c r="K455" s="563" t="s">
        <v>543</v>
      </c>
    </row>
    <row r="456" spans="1:11" ht="6" customHeight="1">
      <c r="C456" s="578"/>
      <c r="D456" s="578"/>
      <c r="E456" s="578"/>
      <c r="F456" s="578"/>
      <c r="G456" s="578"/>
      <c r="H456" s="578"/>
      <c r="I456" s="562"/>
      <c r="J456" s="562"/>
      <c r="K456" s="562"/>
    </row>
    <row r="457" spans="1:11" ht="28.5" customHeight="1">
      <c r="C457" s="777" t="s">
        <v>790</v>
      </c>
      <c r="D457" s="777"/>
      <c r="E457" s="777"/>
      <c r="F457" s="777"/>
      <c r="G457" s="777"/>
      <c r="H457" s="777"/>
      <c r="I457" s="80">
        <f>'BC KQKD'!G33</f>
        <v>-1349237730</v>
      </c>
      <c r="J457" s="176"/>
      <c r="K457" s="80">
        <v>0</v>
      </c>
    </row>
    <row r="458" spans="1:11" ht="16.5" customHeight="1" thickBot="1">
      <c r="C458" s="5" t="s">
        <v>508</v>
      </c>
      <c r="D458" s="564"/>
      <c r="E458" s="564"/>
      <c r="F458" s="564"/>
      <c r="G458" s="564"/>
      <c r="H458" s="564"/>
      <c r="I458" s="565">
        <f>I457</f>
        <v>-1349237730</v>
      </c>
      <c r="J458" s="566"/>
      <c r="K458" s="565">
        <f>K457</f>
        <v>0</v>
      </c>
    </row>
    <row r="459" spans="1:11" ht="18" customHeight="1" thickTop="1">
      <c r="C459" s="75"/>
      <c r="I459" s="281"/>
      <c r="K459" s="281"/>
    </row>
    <row r="460" spans="1:11" ht="17.100000000000001" customHeight="1">
      <c r="A460" s="74" t="s">
        <v>788</v>
      </c>
      <c r="C460" s="88" t="s">
        <v>9</v>
      </c>
      <c r="D460" s="310"/>
      <c r="E460" s="310"/>
      <c r="F460" s="310"/>
      <c r="G460" s="310"/>
      <c r="I460" s="281"/>
      <c r="K460" s="281"/>
    </row>
    <row r="461" spans="1:11" ht="17.100000000000001" customHeight="1">
      <c r="C461" s="88"/>
      <c r="D461" s="310"/>
      <c r="E461" s="310"/>
      <c r="F461" s="310"/>
      <c r="G461" s="310"/>
      <c r="I461" s="707" t="str">
        <f>I454</f>
        <v>Quý này năm nay</v>
      </c>
      <c r="J461" s="708"/>
      <c r="K461" s="707" t="str">
        <f>K454</f>
        <v>Quý này năm trước</v>
      </c>
    </row>
    <row r="462" spans="1:11" ht="17.100000000000001" customHeight="1">
      <c r="C462" s="88"/>
      <c r="D462" s="310"/>
      <c r="E462" s="310"/>
      <c r="F462" s="310"/>
      <c r="G462" s="310"/>
      <c r="I462" s="498" t="s">
        <v>543</v>
      </c>
      <c r="J462" s="85"/>
      <c r="K462" s="498" t="s">
        <v>543</v>
      </c>
    </row>
    <row r="463" spans="1:11" ht="17.100000000000001" customHeight="1">
      <c r="C463" s="316" t="s">
        <v>10</v>
      </c>
      <c r="D463" s="310"/>
      <c r="E463" s="310"/>
      <c r="F463" s="310"/>
      <c r="G463" s="310"/>
      <c r="I463" s="499">
        <f>'BC KQKD'!G34</f>
        <v>72376522056</v>
      </c>
      <c r="J463" s="500"/>
      <c r="K463" s="499">
        <v>0</v>
      </c>
    </row>
    <row r="464" spans="1:11" ht="45.75" customHeight="1">
      <c r="C464" s="781" t="s">
        <v>20</v>
      </c>
      <c r="D464" s="785"/>
      <c r="E464" s="785"/>
      <c r="F464" s="785"/>
      <c r="G464" s="785"/>
      <c r="I464" s="502">
        <f>I465+I466</f>
        <v>0</v>
      </c>
      <c r="J464" s="500"/>
      <c r="K464" s="502">
        <v>0</v>
      </c>
    </row>
    <row r="465" spans="1:11" ht="14.25" customHeight="1">
      <c r="C465" s="317" t="s">
        <v>11</v>
      </c>
      <c r="D465" s="310"/>
      <c r="E465" s="310"/>
      <c r="F465" s="310"/>
      <c r="G465" s="310"/>
      <c r="I465" s="502">
        <v>0</v>
      </c>
      <c r="J465" s="500"/>
      <c r="K465" s="499">
        <v>0</v>
      </c>
    </row>
    <row r="466" spans="1:11" ht="14.25" customHeight="1">
      <c r="C466" s="317" t="s">
        <v>12</v>
      </c>
      <c r="D466" s="310"/>
      <c r="E466" s="310"/>
      <c r="F466" s="310"/>
      <c r="G466" s="310"/>
      <c r="I466" s="502">
        <v>0</v>
      </c>
      <c r="J466" s="500"/>
      <c r="K466" s="499">
        <v>0</v>
      </c>
    </row>
    <row r="467" spans="1:11" ht="30" customHeight="1">
      <c r="C467" s="781" t="s">
        <v>13</v>
      </c>
      <c r="D467" s="781"/>
      <c r="E467" s="781"/>
      <c r="F467" s="781"/>
      <c r="G467" s="781"/>
      <c r="I467" s="499">
        <f>I463-I464</f>
        <v>72376522056</v>
      </c>
      <c r="J467" s="500"/>
      <c r="K467" s="499">
        <f>K463-K464</f>
        <v>0</v>
      </c>
    </row>
    <row r="468" spans="1:11" ht="14.25" customHeight="1">
      <c r="C468" s="316" t="s">
        <v>14</v>
      </c>
      <c r="D468" s="310"/>
      <c r="E468" s="310"/>
      <c r="F468" s="310"/>
      <c r="G468" s="310"/>
      <c r="I468" s="605">
        <v>34311998</v>
      </c>
      <c r="J468" s="500"/>
      <c r="K468" s="605"/>
    </row>
    <row r="469" spans="1:11" ht="14.25" customHeight="1">
      <c r="C469" s="316" t="s">
        <v>9</v>
      </c>
      <c r="D469" s="310"/>
      <c r="E469" s="310"/>
      <c r="F469" s="310"/>
      <c r="G469" s="310"/>
      <c r="I469" s="499">
        <f>I467/I468</f>
        <v>2109.3648366381931</v>
      </c>
      <c r="J469" s="500"/>
      <c r="K469" s="499"/>
    </row>
    <row r="470" spans="1:11" ht="18" customHeight="1">
      <c r="C470" s="316"/>
      <c r="D470" s="310"/>
      <c r="E470" s="310"/>
      <c r="F470" s="310"/>
      <c r="G470" s="310"/>
      <c r="K470" s="81"/>
    </row>
    <row r="471" spans="1:11" s="403" customFormat="1" ht="20.100000000000001" customHeight="1">
      <c r="A471" s="606" t="s">
        <v>25</v>
      </c>
      <c r="B471" s="159"/>
      <c r="C471" s="130" t="s">
        <v>659</v>
      </c>
      <c r="D471" s="159"/>
      <c r="E471" s="159"/>
      <c r="F471" s="159"/>
      <c r="G471" s="159"/>
      <c r="H471" s="159"/>
      <c r="I471" s="607"/>
      <c r="J471" s="608"/>
      <c r="K471" s="609"/>
    </row>
    <row r="472" spans="1:11" s="403" customFormat="1" ht="32.25" customHeight="1">
      <c r="A472" s="574"/>
      <c r="B472" s="159"/>
      <c r="C472" s="745" t="s">
        <v>660</v>
      </c>
      <c r="D472" s="745"/>
      <c r="E472" s="745"/>
      <c r="F472" s="745"/>
      <c r="G472" s="745"/>
      <c r="H472" s="745"/>
      <c r="I472" s="745"/>
      <c r="J472" s="745"/>
      <c r="K472" s="745"/>
    </row>
    <row r="473" spans="1:11" s="403" customFormat="1" ht="28.5">
      <c r="A473" s="146"/>
      <c r="B473" s="610"/>
      <c r="C473" s="159"/>
      <c r="D473" s="159"/>
      <c r="E473" s="159"/>
      <c r="F473" s="159"/>
      <c r="G473" s="159"/>
      <c r="H473" s="159"/>
      <c r="I473" s="369" t="str">
        <f t="shared" ref="I473:J473" si="9">I461</f>
        <v>Quý này năm nay</v>
      </c>
      <c r="J473" s="369">
        <f t="shared" si="9"/>
        <v>0</v>
      </c>
      <c r="K473" s="369" t="str">
        <f>K461</f>
        <v>Quý này năm trước</v>
      </c>
    </row>
    <row r="474" spans="1:11" s="403" customFormat="1">
      <c r="A474" s="146"/>
      <c r="B474" s="159"/>
      <c r="C474" s="159"/>
      <c r="D474" s="159"/>
      <c r="E474" s="159"/>
      <c r="F474" s="159"/>
      <c r="G474" s="159"/>
      <c r="H474" s="159"/>
      <c r="I474" s="611" t="s">
        <v>543</v>
      </c>
      <c r="J474" s="608"/>
      <c r="K474" s="611" t="s">
        <v>543</v>
      </c>
    </row>
    <row r="475" spans="1:11" s="464" customFormat="1" hidden="1">
      <c r="A475" s="612"/>
      <c r="B475" s="47"/>
      <c r="C475" s="775" t="s">
        <v>705</v>
      </c>
      <c r="D475" s="776"/>
      <c r="E475" s="776"/>
      <c r="F475" s="776"/>
      <c r="G475" s="776"/>
      <c r="H475" s="47"/>
      <c r="I475" s="249"/>
      <c r="J475" s="613"/>
      <c r="K475" s="250">
        <v>0</v>
      </c>
    </row>
    <row r="476" spans="1:11" s="464" customFormat="1" ht="15" hidden="1" customHeight="1">
      <c r="A476" s="612"/>
      <c r="B476" s="47"/>
      <c r="C476" s="775" t="s">
        <v>706</v>
      </c>
      <c r="D476" s="776"/>
      <c r="E476" s="776"/>
      <c r="F476" s="776"/>
      <c r="G476" s="776"/>
      <c r="H476" s="47"/>
      <c r="I476" s="249"/>
      <c r="J476" s="613"/>
      <c r="K476" s="250"/>
    </row>
    <row r="477" spans="1:11" s="464" customFormat="1" ht="30" hidden="1" customHeight="1">
      <c r="A477" s="612"/>
      <c r="B477" s="47"/>
      <c r="C477" s="779" t="s">
        <v>707</v>
      </c>
      <c r="D477" s="780"/>
      <c r="E477" s="780"/>
      <c r="F477" s="780"/>
      <c r="G477" s="780"/>
      <c r="H477" s="47"/>
      <c r="I477" s="249"/>
      <c r="J477" s="613"/>
      <c r="K477" s="250"/>
    </row>
    <row r="478" spans="1:11" s="464" customFormat="1" ht="15" hidden="1" customHeight="1">
      <c r="A478" s="612"/>
      <c r="B478" s="47"/>
      <c r="C478" s="775" t="s">
        <v>708</v>
      </c>
      <c r="D478" s="776"/>
      <c r="E478" s="776"/>
      <c r="F478" s="776"/>
      <c r="G478" s="776"/>
      <c r="H478" s="47"/>
      <c r="I478" s="249"/>
      <c r="J478" s="613"/>
      <c r="K478" s="250"/>
    </row>
    <row r="479" spans="1:11" s="464" customFormat="1" ht="15" hidden="1" customHeight="1">
      <c r="A479" s="612"/>
      <c r="B479" s="47"/>
      <c r="C479" s="775" t="s">
        <v>709</v>
      </c>
      <c r="D479" s="776"/>
      <c r="E479" s="776"/>
      <c r="F479" s="776"/>
      <c r="G479" s="776"/>
      <c r="H479" s="47"/>
      <c r="I479" s="249"/>
      <c r="J479" s="613"/>
      <c r="K479" s="250"/>
    </row>
    <row r="480" spans="1:11" s="464" customFormat="1" ht="15" hidden="1" customHeight="1">
      <c r="A480" s="612"/>
      <c r="B480" s="47"/>
      <c r="C480" s="775" t="s">
        <v>710</v>
      </c>
      <c r="D480" s="776"/>
      <c r="E480" s="776"/>
      <c r="F480" s="776"/>
      <c r="G480" s="776"/>
      <c r="H480" s="47"/>
      <c r="I480" s="249"/>
      <c r="J480" s="613"/>
      <c r="K480" s="250">
        <v>0</v>
      </c>
    </row>
    <row r="481" spans="1:11" s="464" customFormat="1" ht="15" hidden="1" customHeight="1">
      <c r="A481" s="612"/>
      <c r="B481" s="47"/>
      <c r="C481" s="775" t="s">
        <v>711</v>
      </c>
      <c r="D481" s="776"/>
      <c r="E481" s="776"/>
      <c r="F481" s="776"/>
      <c r="G481" s="776"/>
      <c r="H481" s="47"/>
      <c r="I481" s="249"/>
      <c r="J481" s="613"/>
      <c r="K481" s="250">
        <v>0</v>
      </c>
    </row>
    <row r="482" spans="1:11" s="464" customFormat="1" ht="15" hidden="1" customHeight="1">
      <c r="A482" s="612"/>
      <c r="B482" s="47"/>
      <c r="C482" s="775" t="s">
        <v>712</v>
      </c>
      <c r="D482" s="776"/>
      <c r="E482" s="776"/>
      <c r="F482" s="776"/>
      <c r="G482" s="776"/>
      <c r="H482" s="47"/>
      <c r="I482" s="249"/>
      <c r="J482" s="613"/>
      <c r="K482" s="250">
        <v>0</v>
      </c>
    </row>
    <row r="483" spans="1:11" s="464" customFormat="1" ht="15" hidden="1" customHeight="1">
      <c r="A483" s="612"/>
      <c r="B483" s="47"/>
      <c r="C483" s="775" t="s">
        <v>713</v>
      </c>
      <c r="D483" s="776"/>
      <c r="E483" s="776"/>
      <c r="F483" s="776"/>
      <c r="G483" s="776"/>
      <c r="H483" s="47"/>
      <c r="I483" s="249"/>
      <c r="J483" s="613"/>
      <c r="K483" s="250">
        <v>0</v>
      </c>
    </row>
    <row r="484" spans="1:11" s="464" customFormat="1" ht="15" customHeight="1">
      <c r="A484" s="612"/>
      <c r="B484" s="47"/>
      <c r="C484" s="775" t="s">
        <v>714</v>
      </c>
      <c r="D484" s="776"/>
      <c r="E484" s="776"/>
      <c r="F484" s="776"/>
      <c r="G484" s="776"/>
      <c r="H484" s="47"/>
      <c r="I484" s="249">
        <v>0</v>
      </c>
      <c r="J484" s="613"/>
      <c r="K484" s="250">
        <v>0</v>
      </c>
    </row>
    <row r="485" spans="1:11" s="464" customFormat="1" ht="19.5" hidden="1" customHeight="1">
      <c r="A485" s="612"/>
      <c r="B485" s="47"/>
      <c r="C485" s="578"/>
      <c r="D485" s="578"/>
      <c r="E485" s="578"/>
      <c r="F485" s="578"/>
      <c r="G485" s="578"/>
      <c r="H485" s="47"/>
      <c r="I485" s="249"/>
      <c r="J485" s="613"/>
      <c r="K485" s="249"/>
    </row>
    <row r="486" spans="1:11" s="464" customFormat="1" ht="19.5" hidden="1" customHeight="1">
      <c r="A486" s="612"/>
      <c r="B486" s="47"/>
      <c r="C486" s="578"/>
      <c r="D486" s="578"/>
      <c r="E486" s="578"/>
      <c r="F486" s="578"/>
      <c r="G486" s="578"/>
      <c r="H486" s="47"/>
      <c r="I486" s="249"/>
      <c r="J486" s="613"/>
      <c r="K486" s="249"/>
    </row>
    <row r="487" spans="1:11" s="464" customFormat="1" ht="19.5" hidden="1" customHeight="1">
      <c r="A487" s="612"/>
      <c r="B487" s="47"/>
      <c r="C487" s="578"/>
      <c r="D487" s="578"/>
      <c r="E487" s="578"/>
      <c r="F487" s="578"/>
      <c r="G487" s="578"/>
      <c r="H487" s="47"/>
      <c r="I487" s="249"/>
      <c r="J487" s="613"/>
      <c r="K487" s="249"/>
    </row>
    <row r="488" spans="1:11" s="464" customFormat="1" ht="19.5" hidden="1" customHeight="1">
      <c r="A488" s="612"/>
      <c r="B488" s="47"/>
      <c r="C488" s="578"/>
      <c r="D488" s="578"/>
      <c r="E488" s="578"/>
      <c r="F488" s="578"/>
      <c r="G488" s="578"/>
      <c r="H488" s="47"/>
      <c r="I488" s="249"/>
      <c r="J488" s="613"/>
      <c r="K488" s="249"/>
    </row>
    <row r="489" spans="1:11" s="464" customFormat="1" ht="19.5" hidden="1" customHeight="1">
      <c r="A489" s="612"/>
      <c r="B489" s="47"/>
      <c r="C489" s="578"/>
      <c r="D489" s="578"/>
      <c r="E489" s="578"/>
      <c r="F489" s="578"/>
      <c r="G489" s="578"/>
      <c r="H489" s="47"/>
      <c r="I489" s="249"/>
      <c r="J489" s="613"/>
      <c r="K489" s="249"/>
    </row>
    <row r="490" spans="1:11" s="464" customFormat="1" ht="19.5" hidden="1" customHeight="1">
      <c r="A490" s="612"/>
      <c r="B490" s="47"/>
      <c r="C490" s="578"/>
      <c r="D490" s="578"/>
      <c r="E490" s="578"/>
      <c r="F490" s="578"/>
      <c r="G490" s="578"/>
      <c r="H490" s="47"/>
      <c r="I490" s="249"/>
      <c r="J490" s="613"/>
      <c r="K490" s="249"/>
    </row>
    <row r="491" spans="1:11" s="464" customFormat="1" ht="19.5" hidden="1" customHeight="1">
      <c r="A491" s="612"/>
      <c r="B491" s="47"/>
      <c r="C491" s="578"/>
      <c r="D491" s="578"/>
      <c r="E491" s="578"/>
      <c r="F491" s="578"/>
      <c r="G491" s="578"/>
      <c r="H491" s="47"/>
      <c r="I491" s="249"/>
      <c r="J491" s="613"/>
      <c r="K491" s="249"/>
    </row>
    <row r="492" spans="1:11" s="464" customFormat="1" ht="19.5" hidden="1" customHeight="1">
      <c r="A492" s="612"/>
      <c r="B492" s="47"/>
      <c r="C492" s="578"/>
      <c r="D492" s="578"/>
      <c r="E492" s="578"/>
      <c r="F492" s="578"/>
      <c r="G492" s="578"/>
      <c r="H492" s="47"/>
      <c r="I492" s="249"/>
      <c r="J492" s="613"/>
      <c r="K492" s="249"/>
    </row>
    <row r="493" spans="1:11" s="464" customFormat="1" ht="19.5" hidden="1" customHeight="1">
      <c r="A493" s="612"/>
      <c r="B493" s="47"/>
      <c r="C493" s="578"/>
      <c r="D493" s="578"/>
      <c r="E493" s="578"/>
      <c r="F493" s="578"/>
      <c r="G493" s="578"/>
      <c r="H493" s="47"/>
      <c r="I493" s="249"/>
      <c r="J493" s="613"/>
      <c r="K493" s="249"/>
    </row>
    <row r="494" spans="1:11" s="464" customFormat="1" ht="19.5" hidden="1" customHeight="1">
      <c r="A494" s="612"/>
      <c r="B494" s="47"/>
      <c r="C494" s="578"/>
      <c r="D494" s="578"/>
      <c r="E494" s="578"/>
      <c r="F494" s="578"/>
      <c r="G494" s="578"/>
      <c r="H494" s="47"/>
      <c r="I494" s="249"/>
      <c r="J494" s="613"/>
      <c r="K494" s="249"/>
    </row>
    <row r="495" spans="1:11" s="464" customFormat="1" ht="19.5" hidden="1" customHeight="1">
      <c r="A495" s="612"/>
      <c r="B495" s="47"/>
      <c r="C495" s="578"/>
      <c r="D495" s="578"/>
      <c r="E495" s="578"/>
      <c r="F495" s="578"/>
      <c r="G495" s="578"/>
      <c r="H495" s="47"/>
      <c r="I495" s="249"/>
      <c r="J495" s="613"/>
      <c r="K495" s="249"/>
    </row>
    <row r="496" spans="1:11" s="464" customFormat="1" ht="2.25" customHeight="1">
      <c r="A496" s="612"/>
      <c r="B496" s="47"/>
      <c r="C496" s="578"/>
      <c r="D496" s="578"/>
      <c r="E496" s="578"/>
      <c r="F496" s="578"/>
      <c r="G496" s="578"/>
      <c r="H496" s="47"/>
      <c r="I496" s="249"/>
      <c r="J496" s="613"/>
      <c r="K496" s="249"/>
    </row>
    <row r="497" spans="1:11" ht="8.25" customHeight="1">
      <c r="C497" s="88"/>
      <c r="D497" s="310"/>
      <c r="E497" s="310"/>
      <c r="F497" s="310"/>
      <c r="G497" s="310"/>
      <c r="I497" s="281"/>
      <c r="K497" s="281"/>
    </row>
    <row r="498" spans="1:11" ht="15.95" customHeight="1">
      <c r="A498" s="577" t="s">
        <v>661</v>
      </c>
      <c r="B498" s="86"/>
      <c r="C498" s="86" t="s">
        <v>473</v>
      </c>
      <c r="I498" s="281"/>
      <c r="K498" s="281"/>
    </row>
    <row r="499" spans="1:11" ht="22.5" hidden="1" customHeight="1">
      <c r="G499" s="319"/>
      <c r="K499" s="67"/>
    </row>
    <row r="500" spans="1:11" ht="22.5" hidden="1" customHeight="1">
      <c r="G500" s="319"/>
      <c r="K500" s="67"/>
    </row>
    <row r="501" spans="1:11" ht="22.5" hidden="1" customHeight="1">
      <c r="G501" s="319"/>
      <c r="K501" s="67"/>
    </row>
    <row r="502" spans="1:11" ht="22.5" hidden="1" customHeight="1">
      <c r="G502" s="319"/>
      <c r="K502" s="67"/>
    </row>
    <row r="503" spans="1:11" ht="22.5" hidden="1" customHeight="1">
      <c r="G503" s="319"/>
      <c r="K503" s="67"/>
    </row>
    <row r="504" spans="1:11" ht="22.5" hidden="1" customHeight="1">
      <c r="G504" s="319"/>
      <c r="K504" s="67"/>
    </row>
    <row r="505" spans="1:11" ht="22.5" hidden="1" customHeight="1">
      <c r="G505" s="319"/>
      <c r="K505" s="67"/>
    </row>
    <row r="506" spans="1:11" ht="22.5" hidden="1" customHeight="1">
      <c r="A506" s="800" t="s">
        <v>715</v>
      </c>
      <c r="B506" s="800"/>
      <c r="C506" s="800"/>
      <c r="D506" s="800"/>
      <c r="E506" s="800"/>
      <c r="F506" s="800"/>
      <c r="G506" s="800"/>
      <c r="H506" s="800"/>
      <c r="I506" s="800"/>
      <c r="J506" s="800"/>
      <c r="K506" s="800"/>
    </row>
    <row r="507" spans="1:11">
      <c r="G507" s="319"/>
      <c r="K507" s="67"/>
    </row>
    <row r="508" spans="1:11" ht="18" customHeight="1">
      <c r="A508" s="291" t="s">
        <v>564</v>
      </c>
      <c r="B508" s="86"/>
      <c r="C508" s="86" t="s">
        <v>473</v>
      </c>
      <c r="I508" s="281"/>
      <c r="K508" s="281"/>
    </row>
    <row r="509" spans="1:11" ht="1.5" customHeight="1">
      <c r="A509" s="291"/>
      <c r="B509" s="86"/>
      <c r="C509" s="86"/>
      <c r="I509" s="281"/>
      <c r="K509" s="281"/>
    </row>
    <row r="510" spans="1:11" ht="17.100000000000001" customHeight="1">
      <c r="A510" s="584" t="s">
        <v>19</v>
      </c>
      <c r="C510" s="75" t="s">
        <v>457</v>
      </c>
      <c r="I510" s="321"/>
      <c r="J510" s="322"/>
      <c r="K510" s="323"/>
    </row>
    <row r="511" spans="1:11" ht="13.5" customHeight="1">
      <c r="C511" s="75"/>
      <c r="I511" s="699">
        <f>I383</f>
        <v>42004</v>
      </c>
      <c r="J511" s="282"/>
      <c r="K511" s="699">
        <v>41640</v>
      </c>
    </row>
    <row r="512" spans="1:11" ht="17.100000000000001" customHeight="1">
      <c r="C512" s="75"/>
      <c r="I512" s="284" t="s">
        <v>543</v>
      </c>
      <c r="J512" s="282"/>
      <c r="K512" s="284" t="s">
        <v>543</v>
      </c>
    </row>
    <row r="513" spans="1:11" ht="1.5" customHeight="1">
      <c r="I513" s="79"/>
      <c r="J513" s="272"/>
      <c r="K513" s="272"/>
    </row>
    <row r="514" spans="1:11" ht="17.100000000000001" customHeight="1">
      <c r="A514" s="286"/>
      <c r="B514" s="77"/>
      <c r="C514" s="77" t="s">
        <v>862</v>
      </c>
      <c r="I514" s="109">
        <f>190995723068+148125115248</f>
        <v>339120838316</v>
      </c>
      <c r="J514" s="363"/>
      <c r="K514" s="109">
        <f>49258832246-100146853</f>
        <v>49158685393</v>
      </c>
    </row>
    <row r="515" spans="1:11" ht="17.100000000000001" customHeight="1">
      <c r="A515" s="82"/>
      <c r="B515" s="83"/>
      <c r="C515" s="77" t="s">
        <v>864</v>
      </c>
      <c r="D515" s="84"/>
      <c r="E515" s="84"/>
      <c r="F515" s="84"/>
      <c r="G515" s="84"/>
      <c r="H515" s="84"/>
      <c r="I515" s="109"/>
      <c r="J515" s="109"/>
      <c r="K515" s="109">
        <v>0</v>
      </c>
    </row>
    <row r="516" spans="1:11" ht="17.100000000000001" customHeight="1">
      <c r="A516" s="82"/>
      <c r="B516" s="83"/>
      <c r="C516" s="77" t="s">
        <v>863</v>
      </c>
      <c r="D516" s="84"/>
      <c r="E516" s="84"/>
      <c r="F516" s="84"/>
      <c r="G516" s="84"/>
      <c r="H516" s="84"/>
      <c r="I516" s="109">
        <f>9951609+1101122653-35641335</f>
        <v>1075432927</v>
      </c>
      <c r="J516" s="109"/>
      <c r="K516" s="109">
        <v>187610889</v>
      </c>
    </row>
    <row r="517" spans="1:11">
      <c r="A517" s="286"/>
      <c r="B517" s="77"/>
      <c r="I517" s="109"/>
      <c r="J517" s="363"/>
      <c r="K517" s="287"/>
    </row>
    <row r="518" spans="1:11" ht="18" customHeight="1" thickBot="1">
      <c r="C518" s="75" t="s">
        <v>508</v>
      </c>
      <c r="I518" s="288">
        <f>SUM(I514:I516)</f>
        <v>340196271243</v>
      </c>
      <c r="J518" s="363"/>
      <c r="K518" s="288">
        <f>SUM(K514:K516)</f>
        <v>49346296282</v>
      </c>
    </row>
    <row r="519" spans="1:11" ht="11.25" customHeight="1" thickTop="1">
      <c r="C519" s="75"/>
      <c r="I519" s="285"/>
      <c r="J519" s="363"/>
      <c r="K519" s="285"/>
    </row>
    <row r="520" spans="1:11" ht="18.95" customHeight="1">
      <c r="A520" s="74" t="s">
        <v>628</v>
      </c>
      <c r="C520" s="75" t="s">
        <v>458</v>
      </c>
    </row>
    <row r="521" spans="1:11" ht="17.100000000000001" customHeight="1">
      <c r="A521" s="74"/>
      <c r="C521" s="75"/>
      <c r="I521" s="699">
        <f>I511</f>
        <v>42004</v>
      </c>
      <c r="J521" s="282"/>
      <c r="K521" s="699">
        <v>41640</v>
      </c>
    </row>
    <row r="522" spans="1:11" ht="17.100000000000001" customHeight="1">
      <c r="I522" s="284" t="s">
        <v>543</v>
      </c>
      <c r="J522" s="282"/>
      <c r="K522" s="284" t="s">
        <v>543</v>
      </c>
    </row>
    <row r="523" spans="1:11" ht="1.5" customHeight="1">
      <c r="I523" s="79"/>
      <c r="J523" s="272"/>
      <c r="K523" s="272"/>
    </row>
    <row r="524" spans="1:11" ht="17.25" customHeight="1">
      <c r="A524" s="286"/>
      <c r="B524" s="77"/>
      <c r="C524" s="77" t="s">
        <v>865</v>
      </c>
      <c r="I524" s="109">
        <f>66424627528+19449343101-61995947520</f>
        <v>23878023109</v>
      </c>
      <c r="J524" s="109"/>
      <c r="K524" s="109">
        <f>29015266097+2646633591</f>
        <v>31661899688</v>
      </c>
    </row>
    <row r="525" spans="1:11" s="465" customFormat="1" ht="18.95" customHeight="1">
      <c r="A525" s="82"/>
      <c r="B525" s="83"/>
      <c r="C525" s="77" t="s">
        <v>866</v>
      </c>
      <c r="D525" s="83"/>
      <c r="E525" s="83"/>
      <c r="F525" s="83"/>
      <c r="G525" s="83"/>
      <c r="H525" s="83"/>
      <c r="I525" s="109">
        <f>3613435441</f>
        <v>3613435441</v>
      </c>
      <c r="J525" s="109"/>
      <c r="K525" s="109">
        <v>387762250</v>
      </c>
    </row>
    <row r="526" spans="1:11" ht="21.75" customHeight="1">
      <c r="C526" s="77" t="s">
        <v>867</v>
      </c>
      <c r="I526" s="109">
        <f>472379140</f>
        <v>472379140</v>
      </c>
      <c r="K526" s="324">
        <v>47025000</v>
      </c>
    </row>
    <row r="527" spans="1:11" ht="18.95" customHeight="1" thickBot="1">
      <c r="C527" s="75" t="s">
        <v>508</v>
      </c>
      <c r="I527" s="299">
        <f>SUM(I524:I526)</f>
        <v>27963837690</v>
      </c>
      <c r="K527" s="299">
        <f>SUM(K524:K526)</f>
        <v>32096686938</v>
      </c>
    </row>
    <row r="528" spans="1:11" ht="11.25" customHeight="1" thickTop="1"/>
    <row r="529" spans="1:11" s="468" customFormat="1" ht="18" customHeight="1">
      <c r="A529" s="437" t="s">
        <v>629</v>
      </c>
      <c r="B529" s="5"/>
      <c r="C529" s="5" t="s">
        <v>666</v>
      </c>
      <c r="D529" s="444"/>
      <c r="E529" s="444"/>
      <c r="F529" s="445"/>
      <c r="G529" s="445"/>
      <c r="H529" s="445"/>
      <c r="I529" s="446"/>
      <c r="J529" s="447"/>
      <c r="K529" s="446"/>
    </row>
    <row r="530" spans="1:11" s="468" customFormat="1" ht="18" customHeight="1">
      <c r="A530" s="437"/>
      <c r="B530" s="5"/>
      <c r="C530" s="5"/>
      <c r="D530" s="444"/>
      <c r="E530" s="444"/>
      <c r="F530" s="445"/>
      <c r="G530" s="445"/>
      <c r="H530" s="445"/>
      <c r="I530" s="699">
        <f>I521</f>
        <v>42004</v>
      </c>
      <c r="J530" s="282"/>
      <c r="K530" s="699">
        <v>41640</v>
      </c>
    </row>
    <row r="531" spans="1:11" s="468" customFormat="1" ht="18" customHeight="1">
      <c r="A531" s="437"/>
      <c r="B531" s="5"/>
      <c r="C531" s="5"/>
      <c r="D531" s="444"/>
      <c r="E531" s="444"/>
      <c r="F531" s="445"/>
      <c r="G531" s="445"/>
      <c r="H531" s="445"/>
      <c r="I531" s="284" t="s">
        <v>543</v>
      </c>
      <c r="J531" s="282"/>
      <c r="K531" s="284" t="s">
        <v>543</v>
      </c>
    </row>
    <row r="532" spans="1:11" s="468" customFormat="1" ht="3.95" customHeight="1">
      <c r="A532" s="437"/>
      <c r="B532" s="5"/>
      <c r="C532" s="5"/>
      <c r="D532" s="444"/>
      <c r="E532" s="444"/>
      <c r="F532" s="445"/>
      <c r="G532" s="445"/>
      <c r="H532" s="445"/>
      <c r="I532" s="448"/>
      <c r="J532" s="447"/>
      <c r="K532" s="448"/>
    </row>
    <row r="533" spans="1:11" s="467" customFormat="1" ht="18" customHeight="1">
      <c r="A533" s="449"/>
      <c r="B533" s="2"/>
      <c r="C533" s="2" t="s">
        <v>818</v>
      </c>
      <c r="D533" s="444"/>
      <c r="E533" s="444"/>
      <c r="F533" s="445"/>
      <c r="G533" s="445"/>
      <c r="H533" s="445"/>
      <c r="I533" s="109">
        <v>0</v>
      </c>
      <c r="J533" s="451"/>
      <c r="K533" s="450"/>
    </row>
    <row r="534" spans="1:11" s="467" customFormat="1" ht="18" customHeight="1">
      <c r="A534" s="449"/>
      <c r="B534" s="2"/>
      <c r="C534" s="2" t="s">
        <v>819</v>
      </c>
      <c r="D534" s="444"/>
      <c r="E534" s="444"/>
      <c r="F534" s="445"/>
      <c r="G534" s="445"/>
      <c r="H534" s="445"/>
      <c r="I534" s="109">
        <v>0</v>
      </c>
      <c r="J534" s="451"/>
      <c r="K534" s="450"/>
    </row>
    <row r="535" spans="1:11" s="467" customFormat="1" ht="18" customHeight="1">
      <c r="A535" s="449"/>
      <c r="B535" s="2"/>
      <c r="C535" s="2" t="s">
        <v>667</v>
      </c>
      <c r="D535" s="444"/>
      <c r="E535" s="444"/>
      <c r="F535" s="445"/>
      <c r="G535" s="445"/>
      <c r="H535" s="445"/>
      <c r="I535" s="109">
        <f>550003604+106102194</f>
        <v>656105798</v>
      </c>
      <c r="J535" s="451"/>
      <c r="K535" s="450">
        <f>1383568988+100100558+315125000</f>
        <v>1798794546</v>
      </c>
    </row>
    <row r="536" spans="1:11" s="468" customFormat="1" ht="3.95" customHeight="1">
      <c r="A536" s="437"/>
      <c r="B536" s="5"/>
      <c r="C536" s="5"/>
      <c r="D536" s="444"/>
      <c r="E536" s="444"/>
      <c r="F536" s="445"/>
      <c r="G536" s="445"/>
      <c r="H536" s="445"/>
      <c r="I536" s="448"/>
      <c r="J536" s="447"/>
      <c r="K536" s="448"/>
    </row>
    <row r="537" spans="1:11" s="468" customFormat="1" ht="18" customHeight="1" thickBot="1">
      <c r="A537" s="437"/>
      <c r="B537" s="5"/>
      <c r="C537" s="5" t="s">
        <v>508</v>
      </c>
      <c r="D537" s="444"/>
      <c r="E537" s="444"/>
      <c r="F537" s="445"/>
      <c r="G537" s="445"/>
      <c r="H537" s="445"/>
      <c r="I537" s="452">
        <f>SUM(I533:I535)</f>
        <v>656105798</v>
      </c>
      <c r="J537" s="452">
        <f>SUM(J533:J535)</f>
        <v>0</v>
      </c>
      <c r="K537" s="452">
        <f>SUM(K533:K535)</f>
        <v>1798794546</v>
      </c>
    </row>
    <row r="538" spans="1:11" s="468" customFormat="1" ht="18" customHeight="1" thickTop="1">
      <c r="A538" s="437"/>
      <c r="B538" s="5"/>
      <c r="C538" s="5"/>
      <c r="D538" s="444"/>
      <c r="E538" s="444"/>
      <c r="F538" s="445"/>
      <c r="G538" s="445"/>
      <c r="H538" s="445"/>
      <c r="I538" s="448"/>
      <c r="J538" s="447"/>
      <c r="K538" s="448"/>
    </row>
    <row r="539" spans="1:11" ht="15.95" customHeight="1">
      <c r="A539" s="74" t="s">
        <v>630</v>
      </c>
      <c r="C539" s="75" t="s">
        <v>459</v>
      </c>
      <c r="I539" s="321"/>
      <c r="J539" s="322"/>
      <c r="K539" s="323"/>
    </row>
    <row r="540" spans="1:11" ht="15.95" customHeight="1">
      <c r="C540" s="75"/>
      <c r="I540" s="699">
        <f>I530</f>
        <v>42004</v>
      </c>
      <c r="J540" s="282"/>
      <c r="K540" s="699">
        <v>41640</v>
      </c>
    </row>
    <row r="541" spans="1:11" ht="15.95" customHeight="1">
      <c r="I541" s="284" t="s">
        <v>543</v>
      </c>
      <c r="J541" s="282"/>
      <c r="K541" s="284" t="s">
        <v>543</v>
      </c>
    </row>
    <row r="542" spans="1:11" ht="1.5" customHeight="1">
      <c r="I542" s="79"/>
      <c r="J542" s="272"/>
      <c r="K542" s="272"/>
    </row>
    <row r="543" spans="1:11" ht="2.25" customHeight="1">
      <c r="K543" s="324"/>
    </row>
    <row r="544" spans="1:11" ht="18" customHeight="1" thickBot="1">
      <c r="C544" s="75" t="s">
        <v>508</v>
      </c>
      <c r="I544" s="299">
        <v>4109133445</v>
      </c>
      <c r="K544" s="299">
        <v>12804572219</v>
      </c>
    </row>
    <row r="545" spans="1:11" ht="11.25" customHeight="1" thickTop="1">
      <c r="C545" s="75"/>
      <c r="I545" s="281"/>
      <c r="K545" s="281"/>
    </row>
    <row r="546" spans="1:11" s="468" customFormat="1" ht="16.5" customHeight="1">
      <c r="A546" s="453" t="s">
        <v>695</v>
      </c>
      <c r="B546" s="5"/>
      <c r="C546" s="799" t="s">
        <v>668</v>
      </c>
      <c r="D546" s="799"/>
      <c r="E546" s="799"/>
      <c r="F546" s="799"/>
      <c r="G546" s="799"/>
      <c r="H546" s="454"/>
      <c r="I546" s="454"/>
      <c r="J546" s="454"/>
      <c r="K546" s="454"/>
    </row>
    <row r="547" spans="1:11" s="468" customFormat="1" ht="16.5" customHeight="1">
      <c r="A547" s="455"/>
      <c r="B547" s="456"/>
      <c r="C547" s="456"/>
      <c r="D547" s="445"/>
      <c r="E547" s="445"/>
      <c r="F547" s="445"/>
      <c r="G547" s="445"/>
      <c r="H547" s="445"/>
      <c r="I547" s="699">
        <f>I540</f>
        <v>42004</v>
      </c>
      <c r="J547" s="282"/>
      <c r="K547" s="699">
        <v>41640</v>
      </c>
    </row>
    <row r="548" spans="1:11" s="468" customFormat="1" ht="16.5" customHeight="1">
      <c r="A548" s="437"/>
      <c r="B548" s="5"/>
      <c r="C548" s="457"/>
      <c r="D548" s="457"/>
      <c r="E548" s="457"/>
      <c r="F548" s="457"/>
      <c r="G548" s="457"/>
      <c r="H548" s="457"/>
      <c r="I548" s="284" t="s">
        <v>543</v>
      </c>
      <c r="J548" s="282"/>
      <c r="K548" s="284" t="s">
        <v>543</v>
      </c>
    </row>
    <row r="549" spans="1:11" s="468" customFormat="1" ht="3.95" customHeight="1">
      <c r="A549" s="437"/>
      <c r="B549" s="5"/>
      <c r="C549" s="457"/>
      <c r="D549" s="457"/>
      <c r="E549" s="457"/>
      <c r="F549" s="457"/>
      <c r="G549" s="457"/>
      <c r="H549" s="457"/>
      <c r="I549" s="447"/>
      <c r="J549" s="614"/>
      <c r="K549" s="447"/>
    </row>
    <row r="550" spans="1:11" s="403" customFormat="1" ht="16.5" customHeight="1">
      <c r="A550" s="458"/>
      <c r="B550" s="159"/>
      <c r="C550" s="403" t="s">
        <v>669</v>
      </c>
      <c r="D550" s="460"/>
      <c r="E550" s="460"/>
      <c r="F550" s="460"/>
      <c r="G550" s="460"/>
      <c r="H550" s="460"/>
      <c r="I550" s="109">
        <v>6834610641</v>
      </c>
      <c r="J550" s="615"/>
      <c r="K550" s="109">
        <f>12100000+15150000+1516266400</f>
        <v>1543516400</v>
      </c>
    </row>
    <row r="551" spans="1:11" s="468" customFormat="1" ht="3.95" customHeight="1">
      <c r="A551" s="437"/>
      <c r="B551" s="5"/>
      <c r="C551" s="616"/>
      <c r="D551" s="444"/>
      <c r="E551" s="444"/>
      <c r="F551" s="445"/>
      <c r="G551" s="445"/>
      <c r="H551" s="445"/>
      <c r="I551" s="438"/>
      <c r="J551" s="447"/>
      <c r="K551" s="461"/>
    </row>
    <row r="552" spans="1:11" s="468" customFormat="1" ht="17.100000000000001" customHeight="1" thickBot="1">
      <c r="A552" s="437"/>
      <c r="B552" s="5"/>
      <c r="C552" s="5" t="s">
        <v>508</v>
      </c>
      <c r="D552" s="444"/>
      <c r="E552" s="444"/>
      <c r="F552" s="445"/>
      <c r="G552" s="445"/>
      <c r="H552" s="445"/>
      <c r="I552" s="462">
        <f>SUM(I550)</f>
        <v>6834610641</v>
      </c>
      <c r="J552" s="447"/>
      <c r="K552" s="462">
        <f>SUM(K550)</f>
        <v>1543516400</v>
      </c>
    </row>
    <row r="553" spans="1:11" s="468" customFormat="1" ht="17.100000000000001" customHeight="1" thickTop="1">
      <c r="A553" s="437"/>
      <c r="B553" s="5"/>
      <c r="C553" s="5"/>
      <c r="D553" s="444"/>
      <c r="E553" s="444"/>
      <c r="F553" s="445"/>
      <c r="G553" s="445"/>
      <c r="H553" s="445"/>
      <c r="I553" s="446"/>
      <c r="J553" s="447"/>
      <c r="K553" s="446"/>
    </row>
    <row r="554" spans="1:11" ht="18" hidden="1" customHeight="1">
      <c r="A554" s="74" t="s">
        <v>696</v>
      </c>
      <c r="C554" s="75" t="s">
        <v>474</v>
      </c>
      <c r="D554" s="75"/>
      <c r="E554" s="75"/>
      <c r="F554" s="75"/>
      <c r="G554" s="75"/>
      <c r="H554" s="75"/>
      <c r="I554" s="79"/>
      <c r="J554" s="272"/>
      <c r="K554" s="326"/>
    </row>
    <row r="555" spans="1:11" ht="18.95" hidden="1" customHeight="1">
      <c r="C555" s="75"/>
      <c r="D555" s="75"/>
      <c r="E555" s="75"/>
      <c r="F555" s="75"/>
      <c r="G555" s="75"/>
      <c r="H555" s="75"/>
      <c r="I555" s="283">
        <f>$I$12</f>
        <v>42004</v>
      </c>
      <c r="J555" s="282"/>
      <c r="K555" s="283">
        <f>$K$12</f>
        <v>41640</v>
      </c>
    </row>
    <row r="556" spans="1:11" ht="18.95" hidden="1" customHeight="1">
      <c r="C556" s="75"/>
      <c r="D556" s="75"/>
      <c r="E556" s="75"/>
      <c r="F556" s="75"/>
      <c r="G556" s="75"/>
      <c r="H556" s="75"/>
      <c r="I556" s="284" t="s">
        <v>543</v>
      </c>
      <c r="J556" s="282"/>
      <c r="K556" s="284" t="s">
        <v>543</v>
      </c>
    </row>
    <row r="557" spans="1:11" ht="6" hidden="1" customHeight="1">
      <c r="C557" s="75"/>
      <c r="D557" s="75"/>
      <c r="E557" s="75"/>
      <c r="F557" s="75"/>
      <c r="G557" s="75"/>
      <c r="H557" s="75"/>
      <c r="I557" s="79"/>
      <c r="J557" s="272"/>
      <c r="K557" s="326"/>
    </row>
    <row r="558" spans="1:11" ht="18.75" hidden="1" customHeight="1">
      <c r="C558" s="77" t="s">
        <v>805</v>
      </c>
      <c r="D558" s="75"/>
      <c r="E558" s="75"/>
      <c r="F558" s="75"/>
      <c r="G558" s="75"/>
      <c r="H558" s="75"/>
      <c r="I558" s="109" t="e">
        <f>SUM(#REF!)</f>
        <v>#REF!</v>
      </c>
      <c r="J558" s="311"/>
      <c r="K558" s="311">
        <v>0</v>
      </c>
    </row>
    <row r="559" spans="1:11" ht="18.75" hidden="1" customHeight="1">
      <c r="C559" s="77" t="s">
        <v>129</v>
      </c>
      <c r="D559" s="75"/>
      <c r="E559" s="75"/>
      <c r="F559" s="75"/>
      <c r="G559" s="75"/>
      <c r="H559" s="75"/>
      <c r="I559" s="109" t="e">
        <f>SUM(#REF!)</f>
        <v>#REF!</v>
      </c>
      <c r="J559" s="311"/>
      <c r="K559" s="311">
        <v>0</v>
      </c>
    </row>
    <row r="560" spans="1:11" ht="18.75" hidden="1" customHeight="1">
      <c r="C560" s="77" t="s">
        <v>593</v>
      </c>
      <c r="D560" s="75"/>
      <c r="E560" s="75"/>
      <c r="F560" s="75"/>
      <c r="G560" s="75"/>
      <c r="H560" s="75"/>
      <c r="I560" s="109" t="e">
        <f>SUM(#REF!)</f>
        <v>#REF!</v>
      </c>
      <c r="J560" s="311"/>
      <c r="K560" s="311">
        <v>0</v>
      </c>
    </row>
    <row r="561" spans="1:11" ht="18.75" hidden="1" customHeight="1">
      <c r="C561" s="77" t="s">
        <v>58</v>
      </c>
      <c r="D561" s="75"/>
      <c r="E561" s="75"/>
      <c r="F561" s="75"/>
      <c r="G561" s="75"/>
      <c r="H561" s="75"/>
      <c r="I561" s="109" t="e">
        <f>SUM(#REF!)</f>
        <v>#REF!</v>
      </c>
      <c r="J561" s="311"/>
      <c r="K561" s="311">
        <v>0</v>
      </c>
    </row>
    <row r="562" spans="1:11" ht="18.75" hidden="1" customHeight="1">
      <c r="C562" s="77" t="s">
        <v>130</v>
      </c>
      <c r="D562" s="75"/>
      <c r="E562" s="75"/>
      <c r="F562" s="75"/>
      <c r="G562" s="75"/>
      <c r="H562" s="75"/>
      <c r="I562" s="109" t="e">
        <f>SUM(#REF!)</f>
        <v>#REF!</v>
      </c>
      <c r="J562" s="311"/>
      <c r="K562" s="311">
        <v>0</v>
      </c>
    </row>
    <row r="563" spans="1:11" ht="6" hidden="1" customHeight="1">
      <c r="C563" s="75"/>
      <c r="D563" s="75"/>
      <c r="E563" s="75"/>
      <c r="F563" s="75"/>
      <c r="G563" s="75"/>
      <c r="H563" s="75"/>
      <c r="I563" s="79"/>
      <c r="J563" s="272"/>
      <c r="K563" s="326"/>
    </row>
    <row r="564" spans="1:11" ht="18" hidden="1" customHeight="1" thickBot="1">
      <c r="C564" s="75" t="s">
        <v>508</v>
      </c>
      <c r="I564" s="299" t="e">
        <f>SUM(I558:I562)</f>
        <v>#REF!</v>
      </c>
      <c r="K564" s="299">
        <f>SUM(K558:K562)</f>
        <v>0</v>
      </c>
    </row>
    <row r="565" spans="1:11" ht="11.25" customHeight="1">
      <c r="C565" s="75"/>
      <c r="D565" s="75"/>
      <c r="E565" s="75"/>
      <c r="F565" s="75"/>
      <c r="G565" s="75"/>
      <c r="H565" s="75"/>
      <c r="I565" s="79"/>
      <c r="J565" s="272"/>
      <c r="K565" s="326"/>
    </row>
    <row r="566" spans="1:11" ht="17.100000000000001" customHeight="1">
      <c r="A566" s="74" t="s">
        <v>697</v>
      </c>
      <c r="C566" s="75" t="s">
        <v>460</v>
      </c>
      <c r="I566" s="321"/>
      <c r="J566" s="322"/>
      <c r="K566" s="323"/>
    </row>
    <row r="567" spans="1:11" ht="17.100000000000001" customHeight="1">
      <c r="A567" s="74"/>
      <c r="C567" s="75"/>
      <c r="I567" s="699">
        <f>I547</f>
        <v>42004</v>
      </c>
      <c r="J567" s="282"/>
      <c r="K567" s="699">
        <v>41640</v>
      </c>
    </row>
    <row r="568" spans="1:11" ht="15.95" customHeight="1">
      <c r="I568" s="284" t="s">
        <v>543</v>
      </c>
      <c r="J568" s="282"/>
      <c r="K568" s="284" t="s">
        <v>543</v>
      </c>
    </row>
    <row r="569" spans="1:11" ht="1.5" customHeight="1">
      <c r="I569" s="79"/>
      <c r="J569" s="272"/>
      <c r="K569" s="272"/>
    </row>
    <row r="570" spans="1:11" ht="1.5" customHeight="1">
      <c r="I570" s="67"/>
      <c r="J570" s="272"/>
      <c r="K570" s="272"/>
    </row>
    <row r="571" spans="1:11" ht="15.95" customHeight="1" thickBot="1">
      <c r="C571" s="75" t="s">
        <v>508</v>
      </c>
      <c r="I571" s="299">
        <v>78715125339</v>
      </c>
      <c r="K571" s="299">
        <v>22419357288</v>
      </c>
    </row>
    <row r="572" spans="1:11" ht="6.75" customHeight="1" thickTop="1">
      <c r="C572" s="75"/>
      <c r="I572" s="281"/>
      <c r="K572" s="281"/>
    </row>
    <row r="573" spans="1:11" ht="18" customHeight="1">
      <c r="A573" s="74" t="s">
        <v>698</v>
      </c>
      <c r="C573" s="75" t="s">
        <v>518</v>
      </c>
    </row>
    <row r="574" spans="1:11" ht="18" customHeight="1">
      <c r="A574" s="318"/>
      <c r="B574" s="83"/>
      <c r="C574" s="83"/>
      <c r="D574" s="84"/>
      <c r="E574" s="84"/>
      <c r="F574" s="84"/>
      <c r="G574" s="84"/>
      <c r="H574" s="84"/>
      <c r="I574" s="699">
        <f>I567</f>
        <v>42004</v>
      </c>
      <c r="J574" s="282"/>
      <c r="K574" s="699">
        <v>41640</v>
      </c>
    </row>
    <row r="575" spans="1:11" ht="18" customHeight="1">
      <c r="I575" s="284" t="s">
        <v>543</v>
      </c>
      <c r="J575" s="282"/>
      <c r="K575" s="284" t="s">
        <v>543</v>
      </c>
    </row>
    <row r="576" spans="1:11" ht="1.5" customHeight="1"/>
    <row r="577" spans="1:11" hidden="1">
      <c r="A577" s="286"/>
      <c r="B577" s="77"/>
      <c r="C577" s="77" t="s">
        <v>806</v>
      </c>
      <c r="I577" s="109" t="e">
        <f>SUM(#REF!)</f>
        <v>#REF!</v>
      </c>
      <c r="J577" s="331"/>
      <c r="K577" s="81">
        <f>40000000+2300284300</f>
        <v>2340284300</v>
      </c>
    </row>
    <row r="578" spans="1:11" hidden="1">
      <c r="A578" s="286"/>
      <c r="B578" s="77"/>
      <c r="C578" s="77" t="s">
        <v>807</v>
      </c>
      <c r="I578" s="109" t="e">
        <f>SUM(#REF!)</f>
        <v>#REF!</v>
      </c>
      <c r="J578" s="331"/>
      <c r="K578" s="81">
        <f>14785349550-3179589288</f>
        <v>11605760262</v>
      </c>
    </row>
    <row r="579" spans="1:11" hidden="1">
      <c r="A579" s="286"/>
      <c r="B579" s="77"/>
      <c r="C579" s="47" t="s">
        <v>56</v>
      </c>
      <c r="I579" s="109" t="e">
        <f>SUM(#REF!)</f>
        <v>#REF!</v>
      </c>
      <c r="J579" s="331"/>
      <c r="K579" s="81"/>
    </row>
    <row r="580" spans="1:11" s="465" customFormat="1" ht="23.25" hidden="1" customHeight="1">
      <c r="A580" s="584"/>
      <c r="B580" s="75"/>
      <c r="C580" s="77" t="s">
        <v>718</v>
      </c>
      <c r="D580" s="75"/>
      <c r="E580" s="75"/>
      <c r="F580" s="75"/>
      <c r="G580" s="75"/>
      <c r="H580" s="75"/>
      <c r="I580" s="109" t="e">
        <f>SUM(#REF!)</f>
        <v>#REF!</v>
      </c>
      <c r="J580" s="332"/>
      <c r="K580" s="81">
        <f>80469238+11042978</f>
        <v>91512216</v>
      </c>
    </row>
    <row r="581" spans="1:11" ht="18" customHeight="1" thickBot="1">
      <c r="C581" s="75" t="s">
        <v>508</v>
      </c>
      <c r="I581" s="299">
        <f>-61995947520+62006987020</f>
        <v>11039500</v>
      </c>
      <c r="J581" s="299">
        <f>SUM(J577:K580)</f>
        <v>14037556778</v>
      </c>
      <c r="K581" s="299">
        <v>16346980078</v>
      </c>
    </row>
    <row r="582" spans="1:11" ht="18" customHeight="1" thickTop="1">
      <c r="A582" s="644"/>
      <c r="C582" s="75"/>
      <c r="I582" s="281"/>
      <c r="J582" s="281"/>
      <c r="K582" s="281"/>
    </row>
    <row r="583" spans="1:11" ht="18" customHeight="1">
      <c r="A583" s="680" t="s">
        <v>808</v>
      </c>
      <c r="C583" s="75" t="s">
        <v>809</v>
      </c>
      <c r="I583" s="281"/>
      <c r="J583" s="281"/>
      <c r="K583" s="281"/>
    </row>
    <row r="584" spans="1:11" ht="18" customHeight="1">
      <c r="A584" s="680"/>
      <c r="C584" s="75"/>
      <c r="I584" s="699">
        <f>I574</f>
        <v>42004</v>
      </c>
      <c r="J584" s="282"/>
      <c r="K584" s="699">
        <v>41640</v>
      </c>
    </row>
    <row r="585" spans="1:11" ht="18" customHeight="1">
      <c r="A585" s="680"/>
      <c r="C585" s="75"/>
      <c r="I585" s="284" t="s">
        <v>543</v>
      </c>
      <c r="J585" s="282"/>
      <c r="K585" s="284" t="s">
        <v>543</v>
      </c>
    </row>
    <row r="586" spans="1:11" ht="18" customHeight="1">
      <c r="A586" s="644"/>
      <c r="C586" s="77" t="s">
        <v>810</v>
      </c>
      <c r="I586" s="81">
        <v>3468010302</v>
      </c>
      <c r="J586" s="81">
        <f t="shared" ref="J586:K586" si="10">SUM(J587:J588)</f>
        <v>0</v>
      </c>
      <c r="K586" s="81">
        <f t="shared" si="10"/>
        <v>3398718044</v>
      </c>
    </row>
    <row r="587" spans="1:11" ht="18" customHeight="1">
      <c r="A587" s="644"/>
      <c r="C587" s="84" t="s">
        <v>811</v>
      </c>
      <c r="I587" s="81">
        <v>1401742255</v>
      </c>
      <c r="J587" s="81"/>
      <c r="K587" s="81">
        <v>1620821462</v>
      </c>
    </row>
    <row r="588" spans="1:11" ht="18" customHeight="1">
      <c r="A588" s="644"/>
      <c r="C588" s="84" t="s">
        <v>718</v>
      </c>
      <c r="I588" s="81">
        <v>2066268047</v>
      </c>
      <c r="J588" s="81"/>
      <c r="K588" s="81">
        <v>1777896582</v>
      </c>
    </row>
    <row r="589" spans="1:11" ht="18" customHeight="1" thickBot="1">
      <c r="A589" s="644"/>
      <c r="C589" s="75"/>
      <c r="I589" s="299">
        <f>I586</f>
        <v>3468010302</v>
      </c>
      <c r="J589" s="299">
        <f t="shared" ref="J589:K589" si="11">J586</f>
        <v>0</v>
      </c>
      <c r="K589" s="299">
        <f t="shared" si="11"/>
        <v>3398718044</v>
      </c>
    </row>
    <row r="590" spans="1:11" ht="15.75" thickTop="1">
      <c r="C590" s="75"/>
      <c r="I590" s="281"/>
      <c r="J590" s="282"/>
      <c r="K590" s="281"/>
    </row>
    <row r="591" spans="1:11" s="469" customFormat="1" ht="17.100000000000001" customHeight="1">
      <c r="A591" s="74" t="s">
        <v>699</v>
      </c>
      <c r="B591" s="333"/>
      <c r="C591" s="75" t="s">
        <v>67</v>
      </c>
      <c r="D591" s="238"/>
      <c r="E591" s="238"/>
      <c r="F591" s="238"/>
      <c r="G591" s="238"/>
      <c r="H591" s="238"/>
      <c r="I591" s="334"/>
      <c r="J591" s="322"/>
      <c r="K591" s="322"/>
    </row>
    <row r="592" spans="1:11" s="469" customFormat="1" ht="17.100000000000001" customHeight="1">
      <c r="A592" s="335"/>
      <c r="B592" s="333"/>
      <c r="C592" s="75"/>
      <c r="D592" s="238"/>
      <c r="E592" s="238"/>
      <c r="F592" s="238"/>
      <c r="G592" s="238"/>
      <c r="H592" s="238"/>
      <c r="I592" s="321" t="str">
        <f>I461</f>
        <v>Quý này năm nay</v>
      </c>
      <c r="J592" s="706"/>
      <c r="K592" s="321" t="s">
        <v>844</v>
      </c>
    </row>
    <row r="593" spans="1:11" ht="17.100000000000001" customHeight="1">
      <c r="I593" s="284" t="s">
        <v>543</v>
      </c>
      <c r="J593" s="272"/>
      <c r="K593" s="284" t="s">
        <v>543</v>
      </c>
    </row>
    <row r="594" spans="1:11" ht="1.5" customHeight="1">
      <c r="I594" s="79"/>
      <c r="K594" s="79"/>
    </row>
    <row r="595" spans="1:11" ht="21" hidden="1" customHeight="1">
      <c r="C595" s="77" t="s">
        <v>80</v>
      </c>
      <c r="I595" s="109" t="e">
        <f>SUM(#REF!)</f>
        <v>#REF!</v>
      </c>
      <c r="J595" s="81"/>
      <c r="K595" s="81">
        <v>0</v>
      </c>
    </row>
    <row r="596" spans="1:11" ht="21" hidden="1" customHeight="1">
      <c r="C596" s="77" t="s">
        <v>36</v>
      </c>
      <c r="I596" s="109" t="e">
        <f>SUM(#REF!)</f>
        <v>#REF!</v>
      </c>
      <c r="J596" s="81"/>
      <c r="K596" s="81">
        <v>0</v>
      </c>
    </row>
    <row r="597" spans="1:11" ht="21" hidden="1" customHeight="1">
      <c r="C597" s="77" t="s">
        <v>37</v>
      </c>
      <c r="I597" s="109" t="e">
        <f>SUM(#REF!)</f>
        <v>#REF!</v>
      </c>
      <c r="J597" s="81"/>
      <c r="K597" s="81"/>
    </row>
    <row r="598" spans="1:11" ht="21" hidden="1" customHeight="1">
      <c r="C598" s="77" t="s">
        <v>38</v>
      </c>
      <c r="I598" s="109" t="e">
        <f>SUM(#REF!)</f>
        <v>#REF!</v>
      </c>
      <c r="J598" s="81"/>
      <c r="K598" s="81"/>
    </row>
    <row r="599" spans="1:11" ht="21" hidden="1" customHeight="1">
      <c r="C599" s="77" t="s">
        <v>39</v>
      </c>
      <c r="I599" s="109" t="e">
        <f>SUM(#REF!)</f>
        <v>#REF!</v>
      </c>
      <c r="J599" s="81"/>
      <c r="K599" s="81"/>
    </row>
    <row r="600" spans="1:11" ht="21" hidden="1" customHeight="1">
      <c r="C600" s="77" t="s">
        <v>7</v>
      </c>
      <c r="I600" s="109" t="e">
        <f>SUM(#REF!)</f>
        <v>#REF!</v>
      </c>
      <c r="J600" s="81"/>
      <c r="K600" s="81"/>
    </row>
    <row r="601" spans="1:11" ht="21" hidden="1" customHeight="1">
      <c r="C601" s="77" t="s">
        <v>40</v>
      </c>
      <c r="I601" s="109" t="e">
        <f>SUM(#REF!)</f>
        <v>#REF!</v>
      </c>
      <c r="J601" s="81"/>
      <c r="K601" s="81">
        <v>0</v>
      </c>
    </row>
    <row r="602" spans="1:11" ht="1.5" customHeight="1">
      <c r="J602" s="282"/>
      <c r="K602" s="281"/>
    </row>
    <row r="603" spans="1:11" s="465" customFormat="1" ht="15.95" customHeight="1" thickBot="1">
      <c r="A603" s="584"/>
      <c r="B603" s="75"/>
      <c r="C603" s="75" t="s">
        <v>508</v>
      </c>
      <c r="D603" s="75"/>
      <c r="E603" s="75"/>
      <c r="F603" s="75"/>
      <c r="G603" s="75"/>
      <c r="H603" s="75"/>
      <c r="I603" s="299">
        <v>518994594</v>
      </c>
      <c r="J603" s="282"/>
      <c r="K603" s="299">
        <f>SUM(K595:K601)</f>
        <v>0</v>
      </c>
    </row>
    <row r="604" spans="1:11" ht="6.75" customHeight="1" thickTop="1">
      <c r="C604" s="75"/>
      <c r="I604" s="281"/>
      <c r="J604" s="282"/>
      <c r="K604" s="281"/>
    </row>
    <row r="605" spans="1:11" s="469" customFormat="1" ht="17.100000000000001" customHeight="1">
      <c r="A605" s="74" t="s">
        <v>700</v>
      </c>
      <c r="B605" s="333"/>
      <c r="C605" s="75" t="s">
        <v>482</v>
      </c>
      <c r="D605" s="238"/>
      <c r="E605" s="238"/>
      <c r="F605" s="238"/>
      <c r="G605" s="238"/>
      <c r="H605" s="238"/>
      <c r="I605" s="334"/>
      <c r="J605" s="322"/>
      <c r="K605" s="322"/>
    </row>
    <row r="606" spans="1:11" s="469" customFormat="1" ht="17.100000000000001" customHeight="1">
      <c r="A606" s="335"/>
      <c r="B606" s="333"/>
      <c r="C606" s="75"/>
      <c r="D606" s="238"/>
      <c r="E606" s="238"/>
      <c r="F606" s="238"/>
      <c r="G606" s="238"/>
      <c r="H606" s="238"/>
      <c r="I606" s="321" t="str">
        <f>I592</f>
        <v>Quý này năm nay</v>
      </c>
      <c r="J606" s="321">
        <f t="shared" ref="J606:K606" si="12">J592</f>
        <v>0</v>
      </c>
      <c r="K606" s="321" t="str">
        <f t="shared" si="12"/>
        <v>Quý này năm trước</v>
      </c>
    </row>
    <row r="607" spans="1:11" ht="17.100000000000001" customHeight="1">
      <c r="I607" s="284" t="s">
        <v>543</v>
      </c>
      <c r="J607" s="272"/>
      <c r="K607" s="284" t="s">
        <v>543</v>
      </c>
    </row>
    <row r="608" spans="1:11" ht="1.5" customHeight="1">
      <c r="K608" s="272"/>
    </row>
    <row r="609" spans="1:11" ht="21" hidden="1" customHeight="1">
      <c r="A609" s="286"/>
      <c r="B609" s="77"/>
      <c r="C609" s="356" t="s">
        <v>6</v>
      </c>
      <c r="I609" s="109" t="e">
        <f>SUM(#REF!)</f>
        <v>#REF!</v>
      </c>
      <c r="J609" s="67"/>
      <c r="K609" s="67">
        <v>0</v>
      </c>
    </row>
    <row r="610" spans="1:11" ht="21" hidden="1" customHeight="1">
      <c r="A610" s="292"/>
      <c r="B610" s="84"/>
      <c r="C610" s="356" t="s">
        <v>36</v>
      </c>
      <c r="D610" s="84"/>
      <c r="E610" s="84"/>
      <c r="F610" s="84"/>
      <c r="G610" s="84"/>
      <c r="H610" s="84"/>
      <c r="I610" s="109" t="e">
        <f>SUM(#REF!)</f>
        <v>#REF!</v>
      </c>
      <c r="J610" s="67"/>
      <c r="K610" s="67">
        <v>0</v>
      </c>
    </row>
    <row r="611" spans="1:11" ht="21" hidden="1" customHeight="1">
      <c r="A611" s="292"/>
      <c r="B611" s="84"/>
      <c r="C611" s="356" t="s">
        <v>37</v>
      </c>
      <c r="D611" s="84"/>
      <c r="E611" s="84"/>
      <c r="F611" s="84"/>
      <c r="G611" s="84"/>
      <c r="H611" s="84"/>
      <c r="I611" s="109" t="e">
        <f>SUM(#REF!)</f>
        <v>#REF!</v>
      </c>
      <c r="J611" s="67"/>
      <c r="K611" s="67">
        <v>0</v>
      </c>
    </row>
    <row r="612" spans="1:11" ht="21" hidden="1" customHeight="1">
      <c r="A612" s="292"/>
      <c r="B612" s="84"/>
      <c r="C612" s="356" t="s">
        <v>38</v>
      </c>
      <c r="D612" s="84"/>
      <c r="E612" s="84"/>
      <c r="F612" s="84"/>
      <c r="G612" s="84"/>
      <c r="H612" s="84"/>
      <c r="I612" s="109" t="e">
        <f>SUM(#REF!)</f>
        <v>#REF!</v>
      </c>
      <c r="J612" s="67"/>
      <c r="K612" s="67">
        <v>0</v>
      </c>
    </row>
    <row r="613" spans="1:11" ht="21" hidden="1" customHeight="1">
      <c r="A613" s="292"/>
      <c r="B613" s="84"/>
      <c r="C613" s="356" t="s">
        <v>678</v>
      </c>
      <c r="D613" s="84"/>
      <c r="E613" s="84"/>
      <c r="F613" s="84"/>
      <c r="G613" s="84"/>
      <c r="H613" s="84"/>
      <c r="I613" s="109" t="e">
        <f>SUM(#REF!)</f>
        <v>#REF!</v>
      </c>
      <c r="J613" s="67"/>
      <c r="K613" s="67">
        <v>0</v>
      </c>
    </row>
    <row r="614" spans="1:11" ht="21" hidden="1" customHeight="1">
      <c r="A614" s="292"/>
      <c r="B614" s="84"/>
      <c r="C614" s="356" t="s">
        <v>39</v>
      </c>
      <c r="D614" s="84"/>
      <c r="E614" s="84"/>
      <c r="F614" s="84"/>
      <c r="G614" s="84"/>
      <c r="H614" s="84"/>
      <c r="I614" s="109" t="e">
        <f>SUM(#REF!)</f>
        <v>#REF!</v>
      </c>
      <c r="J614" s="67"/>
      <c r="K614" s="67">
        <v>0</v>
      </c>
    </row>
    <row r="615" spans="1:11" ht="21" hidden="1" customHeight="1">
      <c r="A615" s="292"/>
      <c r="B615" s="84"/>
      <c r="C615" s="356" t="s">
        <v>7</v>
      </c>
      <c r="D615" s="84"/>
      <c r="E615" s="84"/>
      <c r="F615" s="84"/>
      <c r="G615" s="84"/>
      <c r="H615" s="84"/>
      <c r="I615" s="109" t="e">
        <f>SUM(#REF!)</f>
        <v>#REF!</v>
      </c>
      <c r="J615" s="67"/>
      <c r="K615" s="67">
        <v>0</v>
      </c>
    </row>
    <row r="616" spans="1:11" ht="21" hidden="1" customHeight="1">
      <c r="A616" s="292"/>
      <c r="B616" s="84"/>
      <c r="C616" s="356" t="s">
        <v>40</v>
      </c>
      <c r="I616" s="109" t="e">
        <f>SUM(#REF!)</f>
        <v>#REF!</v>
      </c>
      <c r="J616" s="67"/>
      <c r="K616" s="67">
        <v>0</v>
      </c>
    </row>
    <row r="617" spans="1:11" ht="21" hidden="1" customHeight="1">
      <c r="A617" s="292"/>
      <c r="B617" s="84"/>
      <c r="C617" s="356" t="s">
        <v>595</v>
      </c>
      <c r="I617" s="109" t="e">
        <f>SUM(#REF!)</f>
        <v>#REF!</v>
      </c>
      <c r="J617" s="67"/>
      <c r="K617" s="67">
        <v>0</v>
      </c>
    </row>
    <row r="618" spans="1:11" ht="1.5" customHeight="1">
      <c r="K618" s="331"/>
    </row>
    <row r="619" spans="1:11" ht="18" customHeight="1" thickBot="1">
      <c r="C619" s="75" t="s">
        <v>508</v>
      </c>
      <c r="I619" s="299">
        <v>19072218219</v>
      </c>
      <c r="K619" s="299">
        <f>SUM(K609:K617)</f>
        <v>0</v>
      </c>
    </row>
    <row r="620" spans="1:11" ht="13.5" customHeight="1" thickTop="1">
      <c r="C620" s="75"/>
      <c r="I620" s="281"/>
      <c r="K620" s="281"/>
    </row>
    <row r="621" spans="1:11" ht="15.95" customHeight="1">
      <c r="A621" s="74" t="s">
        <v>701</v>
      </c>
      <c r="C621" s="75" t="s">
        <v>461</v>
      </c>
      <c r="I621" s="281"/>
      <c r="K621" s="332"/>
    </row>
    <row r="622" spans="1:11" ht="15.95" customHeight="1">
      <c r="C622" s="75"/>
      <c r="I622" s="321" t="str">
        <f>I606</f>
        <v>Quý này năm nay</v>
      </c>
      <c r="J622" s="321">
        <f t="shared" ref="J622:K622" si="13">J606</f>
        <v>0</v>
      </c>
      <c r="K622" s="321" t="str">
        <f t="shared" si="13"/>
        <v>Quý này năm trước</v>
      </c>
    </row>
    <row r="623" spans="1:11" ht="15.95" customHeight="1">
      <c r="C623" s="75"/>
      <c r="I623" s="284" t="s">
        <v>543</v>
      </c>
      <c r="J623" s="272"/>
      <c r="K623" s="284" t="s">
        <v>543</v>
      </c>
    </row>
    <row r="624" spans="1:11" ht="1.5" customHeight="1">
      <c r="C624" s="75"/>
      <c r="I624" s="281"/>
      <c r="K624" s="332"/>
    </row>
    <row r="625" spans="1:11" ht="17.100000000000001" hidden="1" customHeight="1">
      <c r="A625" s="286"/>
      <c r="B625" s="77"/>
      <c r="C625" s="77" t="s">
        <v>97</v>
      </c>
      <c r="I625" s="109" t="e">
        <f>SUM(#REF!)</f>
        <v>#REF!</v>
      </c>
      <c r="K625" s="331">
        <v>0</v>
      </c>
    </row>
    <row r="626" spans="1:11" ht="17.100000000000001" hidden="1" customHeight="1">
      <c r="A626" s="286"/>
      <c r="B626" s="77"/>
      <c r="C626" s="77" t="s">
        <v>679</v>
      </c>
      <c r="I626" s="109" t="e">
        <f>SUM(#REF!)</f>
        <v>#REF!</v>
      </c>
      <c r="K626" s="331">
        <v>0</v>
      </c>
    </row>
    <row r="627" spans="1:11" ht="17.100000000000001" hidden="1" customHeight="1">
      <c r="A627" s="286"/>
      <c r="B627" s="77"/>
      <c r="C627" s="77" t="s">
        <v>680</v>
      </c>
      <c r="I627" s="109" t="e">
        <f>SUM(#REF!)</f>
        <v>#REF!</v>
      </c>
      <c r="K627" s="331">
        <v>0</v>
      </c>
    </row>
    <row r="628" spans="1:11" ht="17.100000000000001" hidden="1" customHeight="1">
      <c r="A628" s="286"/>
      <c r="B628" s="77"/>
      <c r="C628" s="77" t="s">
        <v>670</v>
      </c>
      <c r="I628" s="109" t="e">
        <f>SUM(#REF!)</f>
        <v>#REF!</v>
      </c>
      <c r="K628" s="331">
        <v>0</v>
      </c>
    </row>
    <row r="629" spans="1:11" ht="17.100000000000001" hidden="1" customHeight="1">
      <c r="A629" s="286"/>
      <c r="B629" s="77"/>
      <c r="C629" s="77" t="s">
        <v>681</v>
      </c>
      <c r="I629" s="109" t="e">
        <f>SUM(#REF!)</f>
        <v>#REF!</v>
      </c>
      <c r="K629" s="331">
        <v>0</v>
      </c>
    </row>
    <row r="630" spans="1:11" ht="17.100000000000001" hidden="1" customHeight="1">
      <c r="A630" s="286"/>
      <c r="B630" s="77"/>
      <c r="C630" s="77" t="s">
        <v>682</v>
      </c>
      <c r="I630" s="109" t="e">
        <f>SUM(#REF!)</f>
        <v>#REF!</v>
      </c>
      <c r="K630" s="331">
        <v>0</v>
      </c>
    </row>
    <row r="631" spans="1:11" ht="17.100000000000001" hidden="1" customHeight="1">
      <c r="A631" s="286"/>
      <c r="B631" s="77"/>
      <c r="C631" s="77" t="s">
        <v>588</v>
      </c>
      <c r="I631" s="109" t="e">
        <f>SUM(#REF!)</f>
        <v>#REF!</v>
      </c>
      <c r="K631" s="331">
        <v>0</v>
      </c>
    </row>
    <row r="632" spans="1:11" ht="17.100000000000001" hidden="1" customHeight="1">
      <c r="A632" s="286"/>
      <c r="B632" s="77"/>
      <c r="C632" s="77" t="s">
        <v>98</v>
      </c>
      <c r="I632" s="109" t="e">
        <f>SUM(#REF!)</f>
        <v>#REF!</v>
      </c>
      <c r="K632" s="331">
        <v>0</v>
      </c>
    </row>
    <row r="633" spans="1:11" ht="17.100000000000001" hidden="1" customHeight="1">
      <c r="A633" s="286"/>
      <c r="B633" s="77"/>
      <c r="C633" s="77" t="s">
        <v>134</v>
      </c>
      <c r="I633" s="109" t="e">
        <f>SUM(#REF!)</f>
        <v>#REF!</v>
      </c>
      <c r="K633" s="331">
        <v>0</v>
      </c>
    </row>
    <row r="634" spans="1:11" ht="17.100000000000001" hidden="1" customHeight="1">
      <c r="A634" s="286"/>
      <c r="B634" s="77"/>
      <c r="C634" s="77" t="s">
        <v>135</v>
      </c>
      <c r="I634" s="109" t="e">
        <f>SUM(#REF!)</f>
        <v>#REF!</v>
      </c>
      <c r="K634" s="331">
        <v>0</v>
      </c>
    </row>
    <row r="635" spans="1:11" ht="17.100000000000001" hidden="1" customHeight="1">
      <c r="A635" s="286"/>
      <c r="B635" s="77"/>
      <c r="C635" s="77" t="s">
        <v>664</v>
      </c>
      <c r="I635" s="109" t="e">
        <f>SUM(#REF!)</f>
        <v>#REF!</v>
      </c>
      <c r="K635" s="331">
        <v>0</v>
      </c>
    </row>
    <row r="636" spans="1:11" ht="17.100000000000001" hidden="1" customHeight="1">
      <c r="A636" s="286"/>
      <c r="B636" s="77"/>
      <c r="C636" s="77" t="s">
        <v>663</v>
      </c>
      <c r="I636" s="109" t="e">
        <f>SUM(#REF!)</f>
        <v>#REF!</v>
      </c>
      <c r="K636" s="331">
        <v>0</v>
      </c>
    </row>
    <row r="637" spans="1:11" ht="17.100000000000001" hidden="1" customHeight="1">
      <c r="A637" s="286"/>
      <c r="B637" s="77"/>
      <c r="C637" s="77" t="s">
        <v>136</v>
      </c>
      <c r="I637" s="109"/>
      <c r="K637" s="331">
        <v>0</v>
      </c>
    </row>
    <row r="638" spans="1:11" ht="1.5" customHeight="1">
      <c r="C638" s="75"/>
      <c r="I638" s="281"/>
      <c r="K638" s="332"/>
    </row>
    <row r="639" spans="1:11" ht="18" customHeight="1" thickBot="1">
      <c r="C639" s="75" t="s">
        <v>508</v>
      </c>
      <c r="I639" s="299">
        <v>49736191</v>
      </c>
      <c r="K639" s="299">
        <f>SUM(K625:K637)</f>
        <v>0</v>
      </c>
    </row>
    <row r="640" spans="1:11" ht="13.5" customHeight="1" thickTop="1">
      <c r="C640" s="75"/>
      <c r="I640" s="281"/>
      <c r="K640" s="332"/>
    </row>
    <row r="641" spans="1:11" ht="18" customHeight="1">
      <c r="A641" s="74" t="s">
        <v>702</v>
      </c>
      <c r="C641" s="75" t="s">
        <v>483</v>
      </c>
      <c r="I641" s="281"/>
      <c r="K641" s="332"/>
    </row>
    <row r="642" spans="1:11" ht="17.100000000000001" customHeight="1">
      <c r="C642" s="75"/>
      <c r="I642" s="321" t="str">
        <f>I622</f>
        <v>Quý này năm nay</v>
      </c>
      <c r="J642" s="321">
        <f t="shared" ref="J642:K642" si="14">J622</f>
        <v>0</v>
      </c>
      <c r="K642" s="321" t="str">
        <f t="shared" si="14"/>
        <v>Quý này năm trước</v>
      </c>
    </row>
    <row r="643" spans="1:11" ht="17.100000000000001" customHeight="1">
      <c r="C643" s="75"/>
      <c r="I643" s="284" t="s">
        <v>543</v>
      </c>
      <c r="J643" s="272"/>
      <c r="K643" s="284" t="s">
        <v>543</v>
      </c>
    </row>
    <row r="644" spans="1:11" ht="1.5" customHeight="1">
      <c r="C644" s="75"/>
      <c r="I644" s="336"/>
      <c r="J644" s="322"/>
      <c r="K644" s="268"/>
    </row>
    <row r="645" spans="1:11" ht="19.5" customHeight="1">
      <c r="A645" s="286"/>
      <c r="B645" s="77"/>
      <c r="C645" s="245" t="s">
        <v>589</v>
      </c>
      <c r="I645" s="109">
        <v>3233125811</v>
      </c>
      <c r="J645" s="322"/>
      <c r="K645" s="67">
        <v>0</v>
      </c>
    </row>
    <row r="646" spans="1:11" ht="19.5" customHeight="1">
      <c r="A646" s="286"/>
      <c r="B646" s="77"/>
      <c r="C646" s="77" t="s">
        <v>483</v>
      </c>
      <c r="I646" s="109">
        <v>677352152</v>
      </c>
      <c r="J646" s="322"/>
      <c r="K646" s="67">
        <v>0</v>
      </c>
    </row>
    <row r="647" spans="1:11" ht="1.5" customHeight="1">
      <c r="C647" s="75"/>
      <c r="I647" s="336"/>
      <c r="J647" s="322"/>
      <c r="K647" s="268"/>
    </row>
    <row r="648" spans="1:11" ht="18" customHeight="1" thickBot="1">
      <c r="C648" s="75" t="s">
        <v>508</v>
      </c>
      <c r="I648" s="299">
        <f>SUM(I645:I646)</f>
        <v>3910477963</v>
      </c>
      <c r="K648" s="299">
        <f>SUM(K645:K646)</f>
        <v>0</v>
      </c>
    </row>
    <row r="649" spans="1:11" ht="13.5" customHeight="1" thickTop="1">
      <c r="C649" s="75"/>
      <c r="I649" s="281"/>
      <c r="K649" s="281"/>
    </row>
    <row r="650" spans="1:11" ht="27.75" hidden="1" customHeight="1">
      <c r="A650" s="800" t="s">
        <v>716</v>
      </c>
      <c r="B650" s="800"/>
      <c r="C650" s="800"/>
      <c r="D650" s="800"/>
      <c r="E650" s="800"/>
      <c r="F650" s="800"/>
      <c r="G650" s="800"/>
      <c r="H650" s="800"/>
      <c r="I650" s="800"/>
      <c r="J650" s="800"/>
      <c r="K650" s="800"/>
    </row>
    <row r="651" spans="1:11" ht="3.75" customHeight="1">
      <c r="C651" s="75"/>
      <c r="I651" s="281"/>
      <c r="K651" s="281"/>
    </row>
    <row r="652" spans="1:11" s="117" customFormat="1" hidden="1">
      <c r="A652" s="573" t="s">
        <v>564</v>
      </c>
      <c r="B652" s="130"/>
      <c r="C652" s="130" t="s">
        <v>740</v>
      </c>
      <c r="D652" s="130"/>
      <c r="G652" s="98"/>
    </row>
    <row r="653" spans="1:11" s="117" customFormat="1" ht="28.5" hidden="1">
      <c r="A653" s="573"/>
      <c r="B653" s="130"/>
      <c r="C653" s="130"/>
      <c r="D653" s="130"/>
      <c r="G653" s="98"/>
      <c r="I653" s="369" t="str">
        <f t="shared" ref="I653:J653" si="15">I473</f>
        <v>Quý này năm nay</v>
      </c>
      <c r="J653" s="369">
        <f t="shared" si="15"/>
        <v>0</v>
      </c>
      <c r="K653" s="369" t="str">
        <f>K473</f>
        <v>Quý này năm trước</v>
      </c>
    </row>
    <row r="654" spans="1:11" s="117" customFormat="1" hidden="1">
      <c r="A654" s="179"/>
      <c r="G654" s="617"/>
      <c r="I654" s="618" t="s">
        <v>543</v>
      </c>
      <c r="J654" s="619"/>
      <c r="K654" s="618" t="s">
        <v>543</v>
      </c>
    </row>
    <row r="655" spans="1:11" s="117" customFormat="1" hidden="1">
      <c r="A655" s="316"/>
      <c r="B655" s="47"/>
      <c r="C655" s="47" t="s">
        <v>741</v>
      </c>
      <c r="D655" s="47"/>
      <c r="E655" s="47"/>
      <c r="F655" s="47"/>
      <c r="G655" s="620"/>
      <c r="H655" s="47"/>
      <c r="I655" s="78">
        <v>0</v>
      </c>
      <c r="J655" s="621"/>
      <c r="K655" s="78">
        <v>0</v>
      </c>
    </row>
    <row r="656" spans="1:11" s="117" customFormat="1" hidden="1">
      <c r="A656" s="316"/>
      <c r="B656" s="47"/>
      <c r="C656" s="47" t="s">
        <v>742</v>
      </c>
      <c r="D656" s="47"/>
      <c r="E656" s="47"/>
      <c r="F656" s="47"/>
      <c r="G656" s="620"/>
      <c r="H656" s="47"/>
      <c r="I656" s="78">
        <v>0</v>
      </c>
      <c r="J656" s="621">
        <v>0</v>
      </c>
      <c r="K656" s="78">
        <v>0</v>
      </c>
    </row>
    <row r="657" spans="1:11" s="117" customFormat="1" ht="15.75" hidden="1" thickBot="1">
      <c r="A657" s="88"/>
      <c r="B657" s="86"/>
      <c r="C657" s="86" t="s">
        <v>508</v>
      </c>
      <c r="D657" s="86"/>
      <c r="E657" s="47"/>
      <c r="F657" s="47"/>
      <c r="G657" s="620"/>
      <c r="I657" s="622">
        <f>SUM(I655:I656)</f>
        <v>0</v>
      </c>
      <c r="J657" s="623"/>
      <c r="K657" s="622">
        <f>SUM(K655:K656)</f>
        <v>0</v>
      </c>
    </row>
    <row r="658" spans="1:11" s="117" customFormat="1" ht="14.25" customHeight="1">
      <c r="A658" s="179"/>
      <c r="C658" s="47"/>
    </row>
    <row r="659" spans="1:11" ht="18" customHeight="1">
      <c r="A659" s="528" t="s">
        <v>549</v>
      </c>
      <c r="C659" s="583" t="s">
        <v>18</v>
      </c>
      <c r="D659" s="337"/>
      <c r="E659" s="337"/>
      <c r="F659" s="338"/>
      <c r="G659" s="338"/>
      <c r="H659" s="339"/>
      <c r="I659" s="320"/>
      <c r="J659" s="340"/>
      <c r="K659" s="340"/>
    </row>
    <row r="660" spans="1:11" ht="1.5" customHeight="1">
      <c r="C660" s="583"/>
      <c r="D660" s="337"/>
      <c r="E660" s="337"/>
      <c r="F660" s="338"/>
      <c r="G660" s="338"/>
      <c r="H660" s="339"/>
      <c r="I660" s="320"/>
      <c r="J660" s="340"/>
      <c r="K660" s="340"/>
    </row>
    <row r="661" spans="1:11" ht="65.25" customHeight="1">
      <c r="C661" s="797" t="s">
        <v>831</v>
      </c>
      <c r="D661" s="798"/>
      <c r="E661" s="798"/>
      <c r="F661" s="798"/>
      <c r="G661" s="798"/>
      <c r="H661" s="798"/>
      <c r="I661" s="798"/>
      <c r="J661" s="798"/>
      <c r="K661" s="798"/>
    </row>
    <row r="662" spans="1:11" ht="15.95" customHeight="1">
      <c r="C662" s="575"/>
      <c r="D662" s="519"/>
      <c r="E662" s="519"/>
      <c r="F662" s="519"/>
      <c r="G662" s="632"/>
      <c r="H662" s="519"/>
      <c r="I662" s="519"/>
      <c r="J662" s="519"/>
      <c r="K662" s="519"/>
    </row>
    <row r="663" spans="1:11" ht="1.5" customHeight="1"/>
    <row r="664" spans="1:11">
      <c r="F664" s="341"/>
      <c r="G664" s="794" t="str">
        <f>'BC LCTT'!K44</f>
        <v>Hà Nội, ngày 14 tháng 02 năm 2015</v>
      </c>
      <c r="H664" s="794"/>
      <c r="I664" s="794"/>
      <c r="J664" s="794"/>
      <c r="K664" s="794"/>
    </row>
    <row r="665" spans="1:11" ht="20.25" customHeight="1">
      <c r="D665" s="342"/>
      <c r="E665" s="342"/>
      <c r="F665" s="342"/>
      <c r="H665" s="343"/>
      <c r="I665" s="344" t="s">
        <v>47</v>
      </c>
      <c r="J665" s="345"/>
      <c r="K665" s="345"/>
    </row>
    <row r="666" spans="1:11">
      <c r="A666" s="795" t="str">
        <f>'Ban CDKT'!A120</f>
        <v xml:space="preserve">         Người lập                                               Kế toán trưởng</v>
      </c>
      <c r="B666" s="795"/>
      <c r="C666" s="795"/>
      <c r="D666" s="795"/>
      <c r="E666" s="795"/>
      <c r="F666" s="795"/>
      <c r="G666" s="795"/>
      <c r="H666" s="75"/>
      <c r="I666" s="793" t="s">
        <v>8</v>
      </c>
      <c r="J666" s="793"/>
      <c r="K666" s="793"/>
    </row>
    <row r="667" spans="1:11" ht="15.95" customHeight="1"/>
    <row r="668" spans="1:11" ht="15.95" customHeight="1"/>
    <row r="669" spans="1:11" ht="15.95" customHeight="1"/>
    <row r="670" spans="1:11" ht="15.95" customHeight="1"/>
    <row r="671" spans="1:11" ht="21" customHeight="1">
      <c r="C671" s="346"/>
    </row>
    <row r="672" spans="1:11" ht="16.5" customHeight="1">
      <c r="A672" s="796" t="str">
        <f>'Ban CDKT'!A126</f>
        <v>Nguyễn Thu Phương                                       Đỗ Thị Thơm</v>
      </c>
      <c r="B672" s="796"/>
      <c r="C672" s="796"/>
      <c r="D672" s="796"/>
      <c r="E672" s="796"/>
      <c r="F672" s="796"/>
      <c r="G672" s="796"/>
      <c r="H672" s="75"/>
      <c r="I672" s="792" t="s">
        <v>103</v>
      </c>
      <c r="J672" s="792"/>
      <c r="K672" s="792"/>
    </row>
  </sheetData>
  <mergeCells count="39">
    <mergeCell ref="C661:K661"/>
    <mergeCell ref="C546:G546"/>
    <mergeCell ref="C478:G478"/>
    <mergeCell ref="C479:G479"/>
    <mergeCell ref="C483:G483"/>
    <mergeCell ref="C484:G484"/>
    <mergeCell ref="A650:K650"/>
    <mergeCell ref="A506:K506"/>
    <mergeCell ref="C480:G480"/>
    <mergeCell ref="C481:G481"/>
    <mergeCell ref="C482:G482"/>
    <mergeCell ref="I672:K672"/>
    <mergeCell ref="I666:K666"/>
    <mergeCell ref="G664:K664"/>
    <mergeCell ref="A666:G666"/>
    <mergeCell ref="A672:G672"/>
    <mergeCell ref="C477:G477"/>
    <mergeCell ref="C467:G467"/>
    <mergeCell ref="C472:K472"/>
    <mergeCell ref="A1:G1"/>
    <mergeCell ref="I3:K3"/>
    <mergeCell ref="C464:G464"/>
    <mergeCell ref="C158:C159"/>
    <mergeCell ref="E158:E159"/>
    <mergeCell ref="G158:G159"/>
    <mergeCell ref="I158:I159"/>
    <mergeCell ref="K158:K159"/>
    <mergeCell ref="E323:E324"/>
    <mergeCell ref="C319:G319"/>
    <mergeCell ref="G210:G211"/>
    <mergeCell ref="C247:G247"/>
    <mergeCell ref="C248:G248"/>
    <mergeCell ref="C77:K77"/>
    <mergeCell ref="C285:K285"/>
    <mergeCell ref="C476:G476"/>
    <mergeCell ref="C457:H457"/>
    <mergeCell ref="C284:K284"/>
    <mergeCell ref="C475:G475"/>
    <mergeCell ref="G323:G324"/>
  </mergeCells>
  <phoneticPr fontId="0" type="noConversion"/>
  <pageMargins left="0.86614173228346503" right="0.47244094488188998" top="0.57244094499999998" bottom="0.59055118100000004" header="0.196850393700787" footer="0.39370078740157499"/>
  <pageSetup paperSize="9" firstPageNumber="7" orientation="portrait" useFirstPageNumber="1"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Bia</vt:lpstr>
      <vt:lpstr>Ban CDKT</vt:lpstr>
      <vt:lpstr>BC LCTT</vt:lpstr>
      <vt:lpstr>BC KQKD</vt:lpstr>
      <vt:lpstr>Thuyet minh BCTC 1</vt:lpstr>
      <vt:lpstr>Thuyet minh BCTC</vt:lpstr>
      <vt:lpstr>'Ban CDKT'!Print_Area</vt:lpstr>
      <vt:lpstr>'BC KQKD'!Print_Area</vt:lpstr>
      <vt:lpstr>'BC LCTT'!Print_Area</vt:lpstr>
      <vt:lpstr>'Thuyet minh BCTC 1'!Print_Area</vt:lpstr>
      <vt:lpstr>aj!Print_Titles</vt:lpstr>
      <vt:lpstr>'Ban CDKT'!Print_Titles</vt:lpstr>
      <vt:lpstr>'BC KQKD'!Print_Titles</vt:lpstr>
      <vt:lpstr>'Thuyet minh BCTC 1'!Print_Titles</vt:lpstr>
    </vt:vector>
  </TitlesOfParts>
  <Manager>OK</Manager>
  <Company>VAE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&amp; P/L</dc:title>
  <dc:creator>Hung Son</dc:creator>
  <cp:lastModifiedBy>MSI</cp:lastModifiedBy>
  <cp:lastPrinted>2015-02-14T09:35:07Z</cp:lastPrinted>
  <dcterms:created xsi:type="dcterms:W3CDTF">1999-04-20T09:28:39Z</dcterms:created>
  <dcterms:modified xsi:type="dcterms:W3CDTF">2015-02-25T02:04:59Z</dcterms:modified>
</cp:coreProperties>
</file>