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9975" activeTab="3"/>
  </bookViews>
  <sheets>
    <sheet name="TNHH" sheetId="1" r:id="rId1"/>
    <sheet name="BCDSPS" sheetId="2" r:id="rId2"/>
    <sheet name="hop nhat " sheetId="3" r:id="rId3"/>
    <sheet name="BCDKT" sheetId="4" r:id="rId4"/>
    <sheet name="BCKQHĐK" sheetId="5" r:id="rId5"/>
    <sheet name="TMBCTC" sheetId="6" r:id="rId6"/>
    <sheet name="BCLCTT" sheetId="7" r:id="rId7"/>
  </sheets>
  <externalReferences>
    <externalReference r:id="rId10"/>
  </externalReferences>
  <definedNames>
    <definedName name="_xlnm.Print_Titles" localSheetId="1">'BCDSPS'!$4:$5</definedName>
    <definedName name="_xlnm.Print_Titles" localSheetId="2">'hop nhat '!$4:$5</definedName>
  </definedNames>
  <calcPr fullCalcOnLoad="1"/>
</workbook>
</file>

<file path=xl/sharedStrings.xml><?xml version="1.0" encoding="utf-8"?>
<sst xmlns="http://schemas.openxmlformats.org/spreadsheetml/2006/main" count="835" uniqueCount="617">
  <si>
    <t>B¶ng c©n ®èi ph¸t sinh c¸c tµi kho¶n</t>
  </si>
  <si>
    <t>Cty CP §Çu T­ ThiÕt bÞ vµ X©y L¾p §iÖn Thiªn Tr­êng</t>
  </si>
  <si>
    <t>Tªn tµi kho¶n</t>
  </si>
  <si>
    <t>Nî</t>
  </si>
  <si>
    <t>D­ ®Çu kú</t>
  </si>
  <si>
    <t>Cã</t>
  </si>
  <si>
    <t>Sè d­ cuèi kú</t>
  </si>
  <si>
    <t>CÔNG TY CPĐT TB &amp; XL Điện Thiên Trường</t>
  </si>
  <si>
    <t>Báo cáo tài chính</t>
  </si>
  <si>
    <t>Địa chỉ: Lô 55 Đường N2 - Cụm CN An Xá - TP Nam Định</t>
  </si>
  <si>
    <t>Tel: 03503.839.839      Fax: 03503.834578</t>
  </si>
  <si>
    <t xml:space="preserve">       Mẫu số : Q-01d</t>
  </si>
  <si>
    <t>DN- BẢNG CÂN ĐỐI KẾ TOÁN</t>
  </si>
  <si>
    <t>Chỉ tiêu</t>
  </si>
  <si>
    <t>Mã chỉ tiêu</t>
  </si>
  <si>
    <t>Thuyết minh</t>
  </si>
  <si>
    <t>Số cuối kỳ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</si>
  <si>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</si>
  <si>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</si>
  <si>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</si>
  <si>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</si>
  <si>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</si>
  <si>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</si>
  <si>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</si>
  <si>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</si>
  <si>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</si>
  <si>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</si>
  <si>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</si>
  <si>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</si>
  <si>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</si>
  <si>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</si>
  <si>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</si>
  <si>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</si>
  <si>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</si>
  <si>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</si>
  <si>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</si>
  <si>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</si>
  <si>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</si>
  <si>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</si>
  <si>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</si>
  <si>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</si>
  <si>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</si>
  <si>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</si>
  <si>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135</t>
  </si>
  <si>
    <t>6. Dự phòng phải thu ngắn hạn khó đòi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</si>
  <si>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</si>
  <si>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</si>
  <si>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</si>
  <si>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</si>
  <si>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</si>
  <si>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</si>
  <si>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</si>
  <si>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</si>
  <si>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</si>
  <si>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</si>
  <si>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</si>
  <si>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</si>
  <si>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</si>
  <si>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</si>
  <si>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</si>
  <si>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4. Tài sản ngắn hạn khác</t>
  </si>
  <si>
    <t>158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</si>
  <si>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</si>
  <si>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</si>
  <si>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</si>
  <si>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</si>
  <si>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</si>
  <si>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</si>
  <si>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</si>
  <si>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</si>
  <si>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</si>
  <si>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</si>
  <si>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</si>
  <si>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</si>
  <si>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5.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</si>
  <si>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</si>
  <si>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</si>
  <si>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</si>
  <si>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</si>
  <si>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</si>
  <si>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</si>
  <si>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</si>
  <si>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</si>
  <si>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</si>
  <si>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</si>
  <si>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</si>
  <si>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</si>
  <si>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</si>
  <si>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</si>
  <si>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</si>
  <si>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</si>
  <si>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</si>
  <si>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4. Chi phí xây dựng cơ bản dở dang</t>
  </si>
  <si>
    <t>230</t>
  </si>
  <si>
    <t>III. Bất động sản đầu tư</t>
  </si>
  <si>
    <t>240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</si>
  <si>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</si>
  <si>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</si>
  <si>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</si>
  <si>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</si>
  <si>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</si>
  <si>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</si>
  <si>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</si>
  <si>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</si>
  <si>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</si>
  <si>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</si>
  <si>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4.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</si>
  <si>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</si>
  <si>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</si>
  <si>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</si>
  <si>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</si>
  <si>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</si>
  <si>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</si>
  <si>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</si>
  <si>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</si>
  <si>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</si>
  <si>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</si>
  <si>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</si>
  <si>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</si>
  <si>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</si>
  <si>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</si>
  <si>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</si>
  <si>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</si>
  <si>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</si>
  <si>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</si>
  <si>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Vay và nợ ngắn hạn</t>
  </si>
  <si>
    <t>311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</si>
  <si>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</si>
  <si>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</si>
  <si>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</si>
  <si>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</si>
  <si>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</si>
  <si>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</si>
  <si>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5. Phải trả người lao động</t>
  </si>
  <si>
    <t>315</t>
  </si>
  <si>
    <t>6. Chi phí phải trả</t>
  </si>
  <si>
    <t>316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</si>
  <si>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</si>
  <si>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</si>
  <si>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</si>
  <si>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</si>
  <si>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</si>
  <si>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</si>
  <si>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10. Dự phòng phải trả ngắn hạn</t>
  </si>
  <si>
    <t>320</t>
  </si>
  <si>
    <t>11. Quỹ khen thưởng phúc lợi</t>
  </si>
  <si>
    <t>323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</si>
  <si>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</si>
  <si>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</si>
  <si>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</si>
  <si>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</si>
  <si>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</si>
  <si>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</si>
  <si>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</si>
  <si>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</si>
  <si>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</si>
  <si>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</si>
  <si>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</si>
  <si>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</si>
  <si>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</si>
  <si>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</si>
  <si>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</si>
  <si>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</si>
  <si>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</si>
  <si>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</si>
  <si>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</si>
  <si>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</si>
  <si>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B.VỐN CHỦ SỞ HỮU</t>
  </si>
  <si>
    <t>400</t>
  </si>
  <si>
    <t>I. Vốn chủ sở hữu</t>
  </si>
  <si>
    <t>410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</si>
  <si>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</si>
  <si>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</si>
  <si>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</si>
  <si>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</si>
  <si>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</si>
  <si>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</si>
  <si>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</si>
  <si>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</si>
  <si>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</si>
  <si>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</si>
  <si>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</si>
  <si>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</si>
  <si>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</si>
  <si>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</si>
  <si>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</si>
  <si>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</si>
  <si>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</si>
  <si>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</si>
  <si>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</si>
  <si>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</si>
  <si>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</si>
  <si>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</si>
  <si>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</si>
  <si>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</si>
  <si>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</si>
  <si>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</si>
  <si>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</si>
  <si>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</si>
  <si>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</si>
  <si>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</si>
  <si>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C. LỢI ÍCH CỔ ĐÔNG THIỂU SỐ</t>
  </si>
  <si>
    <t>439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</si>
  <si>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</si>
  <si>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</si>
  <si>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</si>
  <si>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</si>
  <si>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</si>
  <si>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</si>
  <si>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</si>
  <si>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</si>
  <si>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</si>
  <si>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</si>
  <si>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</si>
  <si>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</si>
  <si>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</si>
  <si>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</si>
  <si>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</si>
  <si>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 xml:space="preserve">     Người lập biểu </t>
  </si>
  <si>
    <t xml:space="preserve">    Kế toán trưởng </t>
  </si>
  <si>
    <t xml:space="preserve">Giám đốc </t>
  </si>
  <si>
    <t xml:space="preserve">Trần Thị Hồng Mến </t>
  </si>
  <si>
    <t>CTY CPĐT TB &amp; XL Điện Thiên Trường</t>
  </si>
  <si>
    <t xml:space="preserve">       Mẫu số :Q-02d</t>
  </si>
  <si>
    <t>Quý này năm nay</t>
  </si>
  <si>
    <t>Quý này năm trước</t>
  </si>
  <si>
    <t>Số lũy kế từ đầu năm đến cuối quý này (Năm nay)</t>
  </si>
  <si>
    <t>Số lũy kế từ đầu năm đến cuối quý này (Năm trước)</t>
  </si>
  <si>
    <t>1. Doanh thu bán hàng và cung cấp dịch vụ</t>
  </si>
  <si>
    <t>2. Các khoản giảm trừ doanh thu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</si>
  <si>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</si>
  <si>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</si>
  <si>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</si>
  <si>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</si>
  <si>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</si>
  <si>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</si>
  <si>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</si>
  <si>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</si>
  <si>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</si>
  <si>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</si>
  <si>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</si>
  <si>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</si>
  <si>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</si>
  <si>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</si>
  <si>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</si>
  <si>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</si>
  <si>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10. Lợi nhuận thuần từ hoạt động kinh doanh{30=20+(21-22) - (24+25)}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</si>
  <si>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</si>
  <si>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</si>
  <si>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</si>
  <si>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</si>
  <si>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</si>
  <si>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</si>
  <si>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</si>
  <si>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14. Phần lãi lỗ trong công ty liên kết, liên doanh</t>
  </si>
  <si>
    <t>45</t>
  </si>
  <si>
    <t>15. Tổng lợi nhuận kế toán trước thuế(50=30+40)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</si>
  <si>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</si>
  <si>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</si>
  <si>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</si>
  <si>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</si>
  <si>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</si>
  <si>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</si>
  <si>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</si>
  <si>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cổ đông thiểu số</t>
  </si>
  <si>
    <t>61</t>
  </si>
  <si>
    <t>18.2 Lợi nhuận sau thuế của cổ đông công ty mẹ</t>
  </si>
  <si>
    <t>62</t>
  </si>
  <si>
    <t>19. Lãi cơ bản trên cổ phiếu(*)</t>
  </si>
  <si>
    <t>70</t>
  </si>
  <si>
    <t xml:space="preserve">B¶n ThuyÕt minh b¸o c¸o tµi chÝnh </t>
  </si>
  <si>
    <t>I. Th«ng tin bæ sung cho c¸c kho¶n môc tr×nh bµy trong b¶ng c©n ®èi kÕ to¸n</t>
  </si>
  <si>
    <t>§¬n vÞ tÝnh: ®ång VN</t>
  </si>
  <si>
    <t>1. TiÒn vµ t­¬ng ®­¬ng tiÒn:</t>
  </si>
  <si>
    <t>Sè cuèi kú</t>
  </si>
  <si>
    <t>. TiÒn mÆt</t>
  </si>
  <si>
    <t>. TiÒn göi ng©n hµng</t>
  </si>
  <si>
    <t>. T­¬ng ®­¬ng tiÒn</t>
  </si>
  <si>
    <t>Céng</t>
  </si>
  <si>
    <t>2. Hµng tån kho</t>
  </si>
  <si>
    <t>. Nguyªn liÖu, vËt liÖu</t>
  </si>
  <si>
    <t>. C«ng cô dông cô</t>
  </si>
  <si>
    <t>. Chi phÝ SX, KD dë dang</t>
  </si>
  <si>
    <t>. Thµnh phÈm</t>
  </si>
  <si>
    <t>. Hµng ho¸</t>
  </si>
  <si>
    <t>. Hµng göi ®i b¸n</t>
  </si>
  <si>
    <t>ThuyÕt minh sè liÖu vµ gi¶i tr×nh kh¸c (nÕu cã)............................................................................</t>
  </si>
  <si>
    <t>3. T×nh h×nh t¨ng gi¶m tµi s¶n cè ®Þnh h÷u h×nh:</t>
  </si>
  <si>
    <t>Kho¶n môc</t>
  </si>
  <si>
    <t>Tæng céng</t>
  </si>
  <si>
    <t>(1) Nguyªn gi¸ TSC§ h÷u h×nh</t>
  </si>
  <si>
    <t>Trong ®ã: Mua s¾m</t>
  </si>
  <si>
    <t xml:space="preserve">               Gãp vèn </t>
  </si>
  <si>
    <t xml:space="preserve">               X©y dùng</t>
  </si>
  <si>
    <t>Trong ®ã: Thanh lý</t>
  </si>
  <si>
    <t>(2) Gi¸ trÞ ®· hao mßn luü kÕ</t>
  </si>
  <si>
    <t xml:space="preserve">(3) Gi¸ trÞ cßn l¹i cña TSC§ </t>
  </si>
  <si>
    <t>h÷u h×nh (1-2)</t>
  </si>
  <si>
    <t>Trong ®ã:</t>
  </si>
  <si>
    <t xml:space="preserve">TSC§ ®· dïng ®Ó thÕ chÊp, cÇm </t>
  </si>
  <si>
    <t>cè c¸c kho¶n vay</t>
  </si>
  <si>
    <t>TSC§ t¹m thêi kh«ng sö dông</t>
  </si>
  <si>
    <t>TSC§ chê thanh lý</t>
  </si>
  <si>
    <t>ThuyÕt minh sè liÖu vµ gi¶i tr×nh kh¸c .......................................................................................................</t>
  </si>
  <si>
    <t>TSC§ ®· khÊu hao hÕt vÉn cßn sö dông:........................................................................................................</t>
  </si>
  <si>
    <t>Lý do t¨ng gi¶m:.......................................................................................................................................</t>
  </si>
  <si>
    <t>4. T×nh h×nh t¨ng gi¶m TSC§ v« h×nh:</t>
  </si>
  <si>
    <t>QuyÒn sö dông ®Êt</t>
  </si>
  <si>
    <t>QuyÒn ph¸t hµnh</t>
  </si>
  <si>
    <t>PhÇn mÒm kÕ to¸n</t>
  </si>
  <si>
    <t>…</t>
  </si>
  <si>
    <t>TSC§ kh¸c</t>
  </si>
  <si>
    <t>dông ®Êt</t>
  </si>
  <si>
    <t>ph¸t hµnh</t>
  </si>
  <si>
    <t xml:space="preserve">kÕ to¸n </t>
  </si>
  <si>
    <t>....</t>
  </si>
  <si>
    <t>v« h×nh</t>
  </si>
  <si>
    <t>kh¸c</t>
  </si>
  <si>
    <t>(1)Nguyªn gi¸ TSC§ v« h×nh</t>
  </si>
  <si>
    <t>T¹o ra tõ néi bé doanh nghiÖp</t>
  </si>
  <si>
    <t>Thanh lý nh­îng b¸n</t>
  </si>
  <si>
    <t>Gi¶m kh¸c</t>
  </si>
  <si>
    <t>(2) Gi¸ trÞ hao mßn luü kÕ</t>
  </si>
  <si>
    <t>(3) Gi¸ trÞ cßn l¹i cña TSC§</t>
  </si>
  <si>
    <t>. T¹i ngµy ®Çu n¨m</t>
  </si>
  <si>
    <t>ThuyÕt minh sè liÖu vµ gi¶i tr×nh kh¸c (nÕu cã).....................................................................................................</t>
  </si>
  <si>
    <t>5. T×nh h×nh t¨ng gi¶m XDCB dë dang</t>
  </si>
  <si>
    <t>XDCB dë dang</t>
  </si>
  <si>
    <t>Tæng</t>
  </si>
  <si>
    <t>5. T×nh h×nh t¨ng gi¶m c¸c kho¶n ®Çu t­ vµo ®¬n vÞ kh¸c</t>
  </si>
  <si>
    <t>(1) C¸c kho¶n ®Çu t­ tµi chÝnh ng¾n h¹n:</t>
  </si>
  <si>
    <t>. Chøng kho¸n ®Çu t­ ng¾n h¹n</t>
  </si>
  <si>
    <t>. §Çu t­ tµi chÝnh ng¾n h¹n kh¸c</t>
  </si>
  <si>
    <t>(2) C¸c kho¶n ®Çu t­ tµi chÝnh dµi h¹n:</t>
  </si>
  <si>
    <t>. §Çu t­ vµo c¬ së kinh doanh ®ång kiÓm so¸t</t>
  </si>
  <si>
    <t>. §Çu t­ vµo c«ng ty liªn kÕt</t>
  </si>
  <si>
    <t>. §Çu t­ tµi chÝnh dµi h¹n kh¸c</t>
  </si>
  <si>
    <t>Lý do t¨ng gi¶m:........................................................................................................................................</t>
  </si>
  <si>
    <t>6. ThuÕ vµ c¸c kho¶n ph¶i nép nhµ n­íc</t>
  </si>
  <si>
    <t>. ThuÕ gi¸ trÞ gia t¨ng ph¶i nép</t>
  </si>
  <si>
    <t>. ThuÕ tiªu thô ®Æc biÖt</t>
  </si>
  <si>
    <t>. ThuÕ xuÊt nhËp khÈu</t>
  </si>
  <si>
    <t xml:space="preserve">. ThuÕ thu nhËp doanh nghiÖp </t>
  </si>
  <si>
    <t>. ThuÕ thu nhËp c¸ nh©n</t>
  </si>
  <si>
    <t>. ThuÕ tµi nguyªn</t>
  </si>
  <si>
    <t>. ThuÕ nhµ ®Êt, tiÒn thuª ®Êt</t>
  </si>
  <si>
    <t>. C¸c lo¹i thuÕ kh¸c</t>
  </si>
  <si>
    <t>. PhÝ, lÖ phÝ vµ c¸c kho¶n ph¶i nép kh¸c</t>
  </si>
  <si>
    <t>7. T×nh h×nh t¨ng gi¶m nguån vèn chñ së h÷u:</t>
  </si>
  <si>
    <t>ChØ tiªu</t>
  </si>
  <si>
    <t xml:space="preserve">Sè </t>
  </si>
  <si>
    <t>T¨ng</t>
  </si>
  <si>
    <t xml:space="preserve">Gi¶m </t>
  </si>
  <si>
    <t>1. Vèn ®Çu t­ cña chñ së h÷u vèn</t>
  </si>
  <si>
    <t>2. ThÆng d­ vèn cæ phÇn</t>
  </si>
  <si>
    <t>3. Vèn kh¸c cña chñ së h÷u</t>
  </si>
  <si>
    <t>4. Cæ phiÕu quü (*)</t>
  </si>
  <si>
    <t>5. Chªnh lÖch tû gi¸ hèi ®o¸i</t>
  </si>
  <si>
    <t>6. C¸c quü thuéc vèn chñ së h÷u</t>
  </si>
  <si>
    <t>7. Lîi nhuËn sau thuÕ ch­a ph©n phèi</t>
  </si>
  <si>
    <t>Lý do t¨ng gi¶m:................................................................................................................................</t>
  </si>
  <si>
    <t xml:space="preserve">II. Th«ng tin bæ sung cho c¸c kho¶n môc tr×nh bµy trong b¸o c¸o kÕt qu¶ ho¹t ®éng kinh doanh </t>
  </si>
  <si>
    <t>8. Chi tiÕt doanh thu vµ thu nhËp kh¸c:</t>
  </si>
  <si>
    <t>. Doanh thu b¸n hµng</t>
  </si>
  <si>
    <t>Trong ®ã: Doanh thu trao ®æi hµng ho¸</t>
  </si>
  <si>
    <t>.Doanh thu cung cÊp dÞch vô</t>
  </si>
  <si>
    <t>Trong ®ã: Doanh thu trao ®æi dÞch vô</t>
  </si>
  <si>
    <t>. Doanh thu ho¹t ®éng tµi chÝnh</t>
  </si>
  <si>
    <t>TiÒn l·i, cæ tøc, lîi nhuËn ®­îc chia</t>
  </si>
  <si>
    <t>L·i chªnh lÖch tû gi¸ ®· thùc hiÖn</t>
  </si>
  <si>
    <t>L·i chªnh lÖch tû gi¸ ch­a thùc hiÖn</t>
  </si>
  <si>
    <t>9. §iÒu chØnh c¸c kho¶n t¨ng, gi¶m thu nhËp chÞu thuÕ TNDN</t>
  </si>
  <si>
    <t>(1) Tæng lîi nhuËn kÕ to¸n tr­íc thuÕ</t>
  </si>
  <si>
    <t>(2) C¸c kho¶n thu nhËp kh«ng tÝnh vµo thu nhËp nhËp chÞu thuÕ TNDN</t>
  </si>
  <si>
    <t>(3) C¸c kho¶n chi phÝ kh«ng ®­îc khÇu trõ vµo thu nhËp chÞu thuÕ TNDN</t>
  </si>
  <si>
    <t>(4) Sè lç ch­a sö dông (lç c¸c n¨m tr­íc ®­îc trõ vµo lîi nhuËn tr­íc thuÕ)</t>
  </si>
  <si>
    <t>(5 = 1 - 2 + 3 - 4)</t>
  </si>
  <si>
    <t>10. Chi phÝ SXKD theo yÕu tè:</t>
  </si>
  <si>
    <t>. Chi phÝ nguyªn liÖu, vËt liÖu</t>
  </si>
  <si>
    <t>. Chi phÝ nh©n c«ng</t>
  </si>
  <si>
    <t>. Chi phÝ khÊu hao tµi s¶n cè ®Þnh</t>
  </si>
  <si>
    <t>. Chi phÝ dÞch mua ngoµi</t>
  </si>
  <si>
    <t>. Chi phÝ kh¸c b»ng tiÒn</t>
  </si>
  <si>
    <t>III. Th«ng tin bæ sung cho c¸c kho¶n môc trong b¸o c¸o l­u chuyÓn tiÒn tÖ</t>
  </si>
  <si>
    <t>11. Th«ng tin vÒ c¸c giao dÞch kh«ng b»ng tiÒn ph¸t sinh trong n¨m b¸o c¸o</t>
  </si>
  <si>
    <t xml:space="preserve">. ViÖc mua tµi s¶n b»ng c¸ch nhËn c¸c kho¶n nî liªn </t>
  </si>
  <si>
    <t>quan trùc tiÕp hoÆc th«ng qua nghiÖp vô cho thuª tµi chÝnh</t>
  </si>
  <si>
    <t>. ViÖc chuyÓn nî thµnh vèn chñ së h÷u</t>
  </si>
  <si>
    <t xml:space="preserve">12. C¸c kho¶n tiÒn vµ t­¬ng ®­¬ng tiÒn doanh </t>
  </si>
  <si>
    <t>nghiÖp n¾m gi÷ nh­ng kh«ng sö dông:</t>
  </si>
  <si>
    <t>. C¸c kho¶n tiÒn nhËn ký c­îc, ký quü.</t>
  </si>
  <si>
    <t>. C¸c kho¶n kh¸c...</t>
  </si>
  <si>
    <t>IV. Nh÷ng th«ng tin kh¸c</t>
  </si>
  <si>
    <t>. Nh÷ng kho¶n nî tiÒm tµng.</t>
  </si>
  <si>
    <t>. Nh÷ng sù kiÖn ph¸t sinh sau ngµy kÕt thóc kú kÕ to¸n quý.</t>
  </si>
  <si>
    <t>. Th«ng tin so s¸nh</t>
  </si>
  <si>
    <t>. Th«ng tin kh¸c (2)</t>
  </si>
  <si>
    <t>V. §¸nh gi¸ tæng qu¸t c¸c chØ tiªu vµ c¸c kiÕn nghÞ:</t>
  </si>
  <si>
    <t>Ng­êi lËp biÓu</t>
  </si>
  <si>
    <t>KÕ to¸n tr­ëng</t>
  </si>
  <si>
    <t>Gi¸m ®èc</t>
  </si>
  <si>
    <t xml:space="preserve">       Mẫu số : Q-03d</t>
  </si>
  <si>
    <t>DN - BÁO CÁO LƯU CHUYỂN TIỀN TỆ - PPTT- QUÝ</t>
  </si>
  <si>
    <t>Lũy kế từ đầu năm đến cuối quý này(Năm nay)</t>
  </si>
  <si>
    <t>Lũy kế từ đầu năm đến cuối quý này(Năm trước)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</si>
  <si>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</si>
  <si>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</si>
  <si>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</si>
  <si>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</si>
  <si>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4. Tiền chi trả lãi vay</t>
  </si>
  <si>
    <t xml:space="preserve">5. Tiền chi nộp thuế thu nhập doanh nghiệp </t>
  </si>
  <si>
    <t>6. Tiền thu khác từ hoạt động kinh doanh</t>
  </si>
  <si>
    <t>7. Tiền chi khác cho hoạt động kinh doanh</t>
  </si>
  <si>
    <t>07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</si>
  <si>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</si>
  <si>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</si>
  <si>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</si>
  <si>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</si>
  <si>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</si>
  <si>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</si>
  <si>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</si>
  <si>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</si>
  <si>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</si>
  <si>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</si>
  <si>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</si>
  <si>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</si>
  <si>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</si>
  <si>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</si>
  <si>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</si>
  <si>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</si>
  <si>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</si>
  <si>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</si>
  <si>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</si>
  <si>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</si>
  <si>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</si>
  <si>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</si>
  <si>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</si>
  <si>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</si>
  <si>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</si>
  <si>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</si>
  <si>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</si>
  <si>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</si>
  <si>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Số đầu năm</t>
  </si>
  <si>
    <t>Sè ®Çu n¨m</t>
  </si>
  <si>
    <t>. Sè d­ ®Çu n¨m</t>
  </si>
  <si>
    <t>Sè d­ ®Çu n¨m</t>
  </si>
  <si>
    <t>.Sè d­ ®Çu n¨m</t>
  </si>
  <si>
    <t>§Çu n¨m</t>
  </si>
  <si>
    <t>®Çu n¨m</t>
  </si>
  <si>
    <t>. Sè t¨ng trong kú</t>
  </si>
  <si>
    <t>. Sè gi¶m trong kú</t>
  </si>
  <si>
    <t>Sè t¨ng trong kú</t>
  </si>
  <si>
    <t>Sè gi¶m trong kú</t>
  </si>
  <si>
    <t>Mua trong kú</t>
  </si>
  <si>
    <t>. Sè t¨ng trong trong kú</t>
  </si>
  <si>
    <t>.Sè t¨ng trong kú</t>
  </si>
  <si>
    <t>.Sè gi¶m trong kú</t>
  </si>
  <si>
    <t>.Sè d­ cuèi kú</t>
  </si>
  <si>
    <t>Sè d­</t>
  </si>
  <si>
    <t>Tµi kho¶n</t>
  </si>
  <si>
    <t>Ph¸t sinh</t>
  </si>
  <si>
    <t>D­ cuèi kú</t>
  </si>
  <si>
    <t xml:space="preserve">TiÒn mÆt                                                                                                                         </t>
  </si>
  <si>
    <t xml:space="preserve">TiÒn mÆt ViÖt Nam                                                                                                                </t>
  </si>
  <si>
    <t xml:space="preserve">TiÒn göi ng©n hµng                                                                                                               </t>
  </si>
  <si>
    <t xml:space="preserve">TiÒn VND göi ng©n hµng                                                                                                           </t>
  </si>
  <si>
    <t xml:space="preserve">Ng©n hµng ®Çu t­ vµ ph¸t triÓn Nam §Þnh                                                                                          </t>
  </si>
  <si>
    <t xml:space="preserve">Ng©n hµng c«ng th­¬ng TP Nam §Þnh                                                                                                </t>
  </si>
  <si>
    <t xml:space="preserve">Ng©n hµng N«ng nghiÖp &amp; PTNT - Nam §Þnh                                                                                          </t>
  </si>
  <si>
    <t xml:space="preserve">TiÒn ngo¹i tÖ göi ng©n hµng                                                                                                      </t>
  </si>
  <si>
    <t xml:space="preserve">Ph¶i thu cña kh¸ch hµng                                                                                                          </t>
  </si>
  <si>
    <t xml:space="preserve">ThuÕ GTGT ®­îc khÊu trõ                                                                                                          </t>
  </si>
  <si>
    <t xml:space="preserve">ThuÕ GTGT ®­îc khÊu trõ cña hµng ho¸ dÞch vô                                                                                     </t>
  </si>
  <si>
    <t xml:space="preserve">Dù phßng ph¶i thu khã ®ßi                                                                                                        </t>
  </si>
  <si>
    <t xml:space="preserve">Nguyªn liÖu, vËt liÖu                                                                                                            </t>
  </si>
  <si>
    <t xml:space="preserve">Nguyªn liÖu, vËt liÖu chÝnh x©y l¾p                                                                                              </t>
  </si>
  <si>
    <t xml:space="preserve">C«ng cô, dông cô                                                                                                                 </t>
  </si>
  <si>
    <t xml:space="preserve">Chi phÝ SXKD dë dang                                                                                                             </t>
  </si>
  <si>
    <t xml:space="preserve">Chi phÝ SXKD dë dang - X©y l¾p                                                                                                   </t>
  </si>
  <si>
    <t xml:space="preserve">Tµi s¶n cè ®Þnh h÷u h×nh                                                                                                         </t>
  </si>
  <si>
    <t xml:space="preserve">Tµi S¶n m¸y mãc, thiÕt bÞ, ph­¬ng tiÖn vËn t¶i                                                                                   </t>
  </si>
  <si>
    <t xml:space="preserve">Nhµ cöa, vËt kiÕn tróc                                                                                                           </t>
  </si>
  <si>
    <t xml:space="preserve">M¸y mãc, thiÕt bÞ                                                                                                                </t>
  </si>
  <si>
    <t xml:space="preserve">TSC§ v« h×nh                                                                                                                     </t>
  </si>
  <si>
    <t xml:space="preserve">QuyÒn sö dông ®Êt                                                                                                                </t>
  </si>
  <si>
    <t xml:space="preserve">Hao mßn tµi s¶n cè ®Þnh                                                                                                          </t>
  </si>
  <si>
    <t xml:space="preserve">Hao mßn TSC§ h÷u h×nh                                                                                                            </t>
  </si>
  <si>
    <t xml:space="preserve">Hao mßn TSC§ v« h×nh                                                                                                             </t>
  </si>
  <si>
    <t xml:space="preserve">Vay ng¾n h¹n                                                                                                                     </t>
  </si>
  <si>
    <t xml:space="preserve">Vay ng¾n h¹n vay ngoµi                                                                                                           </t>
  </si>
  <si>
    <t xml:space="preserve">Vay ng¾n h¹n ng©n hµng NN &amp; PTNT                                                                                                 </t>
  </si>
  <si>
    <t xml:space="preserve">Ph¶i tr¶ cho ng­êi b¸n                                                                                                           </t>
  </si>
  <si>
    <t xml:space="preserve">ThuÕ vµ c¸c kho¶n ph¶i nép Nhµ n­íc                                                                                              </t>
  </si>
  <si>
    <t xml:space="preserve">ThuÕ GTGT ph¶i nép                                                                                                               </t>
  </si>
  <si>
    <t xml:space="preserve">ThuÕ GTGT ®Çu ra ph¶i nép                                                                                                        </t>
  </si>
  <si>
    <t xml:space="preserve">ThuÕ thu nhËp doanh nghiÖp                                                                                                       </t>
  </si>
  <si>
    <t xml:space="preserve">C¸c lo¹i thuÕ kh¸c                                                                                                               </t>
  </si>
  <si>
    <t xml:space="preserve">Ph¶i tr¶ c«ng nh©n viªn                                                                                                          </t>
  </si>
  <si>
    <t xml:space="preserve">Ph¶i tr¶ c«ng nh©n viªn- VP                                                                                                      </t>
  </si>
  <si>
    <t xml:space="preserve">Ph¶i tr¶ c«ng nh©n viªn- TT X©y L¾p                                                                                              </t>
  </si>
  <si>
    <t xml:space="preserve">Ph¶i tr¶, ph¶i nép kh¸c                                                                                                          </t>
  </si>
  <si>
    <t xml:space="preserve">B¶o hiÓm x· héi &amp; BHYT                                                                                                           </t>
  </si>
  <si>
    <t xml:space="preserve">Nguån vèn kinh doanh                                                                                                             </t>
  </si>
  <si>
    <t xml:space="preserve">Quü  ®Çu t­ ph¸t triÓn                                                                                                           </t>
  </si>
  <si>
    <t xml:space="preserve">Quü dù phßng tµi chÝnh                                                                                                           </t>
  </si>
  <si>
    <t xml:space="preserve">L·i ch­a ph©n phèi                                                                                                               </t>
  </si>
  <si>
    <t xml:space="preserve">L·i n¨m tr­íc                                                                                                                    </t>
  </si>
  <si>
    <t xml:space="preserve">L·i n¨m nay                                                                                                                      </t>
  </si>
  <si>
    <t xml:space="preserve">Quü khen th­ëng, phóc lîi                                                                                                        </t>
  </si>
  <si>
    <t xml:space="preserve">Quü khen th­ëng                                                                                                                  </t>
  </si>
  <si>
    <t xml:space="preserve">Doanh thu b¸n hµng                                                                                                               </t>
  </si>
  <si>
    <t xml:space="preserve">Doanh thu b¸n hµng x©y l¾p                                                                                                       </t>
  </si>
  <si>
    <t xml:space="preserve">Thu nhËp ho¹t ®éng tµi chÝnh                                                                                                     </t>
  </si>
  <si>
    <t xml:space="preserve">Chi phÝ NVL trùc tiÕp                                                                                                            </t>
  </si>
  <si>
    <t xml:space="preserve">Chi phÝ NVL trùc tiÕp - X©y l¾p                                                                                                  </t>
  </si>
  <si>
    <t xml:space="preserve">Chi phÝ nh©n c«ng trùc tiÕp                                                                                                      </t>
  </si>
  <si>
    <t xml:space="preserve">Chi phÝ nh©n c«ng trùc tiÕp - X©y l¾p                                                                                            </t>
  </si>
  <si>
    <t xml:space="preserve">Chi phÝ s¶n xuÊt chung                                                                                                           </t>
  </si>
  <si>
    <t xml:space="preserve">Chi phÝ vËn chuyÓn                                                                                                               </t>
  </si>
  <si>
    <t xml:space="preserve">Chi phÝ khÊu hao TSC§                                                                                                            </t>
  </si>
  <si>
    <t xml:space="preserve">Chi phÝ dÞch vô mua ngoµi                                                                                                        </t>
  </si>
  <si>
    <t xml:space="preserve">Gi¸ vèn hµng b¸n                                                                                                                 </t>
  </si>
  <si>
    <t xml:space="preserve">Gi¸ vèn c«ng tr×nh x©y l¾p                                                                                                       </t>
  </si>
  <si>
    <t xml:space="preserve">Chi phÝ ho¹t ®éng tµi chÝnh                                                                                                      </t>
  </si>
  <si>
    <t xml:space="preserve">Chi phÝ ho¹t ®éng tµi chÝnh  NH                                                                                                  </t>
  </si>
  <si>
    <t xml:space="preserve">Chi phÝ qu¶n lý doanh nghiÖp                                                                                                     </t>
  </si>
  <si>
    <t xml:space="preserve">Chi phÝ thuÕ TNDN                                                                                                                </t>
  </si>
  <si>
    <t xml:space="preserve">X¸c ®Þnh kÕt qu¶ kinh doanh                                                                                                      </t>
  </si>
  <si>
    <t xml:space="preserve">Tµi s¶n cè ®Þnh kh¸c                                                                                                             </t>
  </si>
  <si>
    <t>Hoµng ThÞ Hång</t>
  </si>
  <si>
    <t>. Sè d­ cuèi kú</t>
  </si>
  <si>
    <t>. T¹i ngµy cuèi kú</t>
  </si>
  <si>
    <t>Cuèi kú</t>
  </si>
  <si>
    <t>trong kú</t>
  </si>
  <si>
    <t>trong  kú</t>
  </si>
  <si>
    <t>cuèi kú</t>
  </si>
  <si>
    <t xml:space="preserve">       Hoµng ThÞ Hång</t>
  </si>
  <si>
    <t xml:space="preserve">ThiÕt bÞ, dông cô qu¶n lý                                                                                                        </t>
  </si>
  <si>
    <t>.T¹i ngµy cuèi kú</t>
  </si>
  <si>
    <t>n¨m tr­íc</t>
  </si>
  <si>
    <t xml:space="preserve"> n¨m nay</t>
  </si>
  <si>
    <t>n¨m nay</t>
  </si>
  <si>
    <t>(5) Sè thu nhËp chÞu thuÕ TNDN trong kú</t>
  </si>
  <si>
    <t xml:space="preserve">n¨m tr­íc </t>
  </si>
  <si>
    <t xml:space="preserve">Ph¶i thu kh¸c                                                                                                                    </t>
  </si>
  <si>
    <t xml:space="preserve">ChuyÓn sang CCDC </t>
  </si>
  <si>
    <t xml:space="preserve">ThuÕ nhµ ®Êt,tiÒn thuª ®Êt                                                                                                       </t>
  </si>
  <si>
    <t xml:space="preserve">TiÒn thuª ®Êt                                                                                                                    </t>
  </si>
  <si>
    <t xml:space="preserve">Chi phÝ tr¶ tr­íc dµi h¹n                                                                                                        </t>
  </si>
  <si>
    <t xml:space="preserve">M¸y mãc thiÕt bÞ, ph­¬ng tiÖn vËn t¶i  </t>
  </si>
  <si>
    <t xml:space="preserve">C©y c¶nh </t>
  </si>
  <si>
    <t xml:space="preserve"> Dông cô qu¶n lý</t>
  </si>
  <si>
    <t xml:space="preserve">Gi¶m  </t>
  </si>
  <si>
    <t xml:space="preserve">Ng©n hµng Techcombank                                                                                                            </t>
  </si>
  <si>
    <t xml:space="preserve">DN- BÁO CÁO KẾT QUẢ KINH DOANH - QUÝ </t>
  </si>
  <si>
    <t xml:space="preserve">Nhµ cöa vËt kiÕn tróc, </t>
  </si>
  <si>
    <t xml:space="preserve">Doanh thu b¸n nguyªn vËt liÖu x©y l¾p                                                                                            </t>
  </si>
  <si>
    <t xml:space="preserve">Chi phÝ  b»ng tiÒn kh¸c                                                                                                          </t>
  </si>
  <si>
    <t xml:space="preserve">Gi¸ vèn nguyªn vËt liÖu                                                                                                          </t>
  </si>
  <si>
    <t>Tõ ngµy 01/01/2014 ®Õn 30/09/2014</t>
  </si>
  <si>
    <t xml:space="preserve">Ph¶i thu néi bé                                                                                                                  </t>
  </si>
  <si>
    <t xml:space="preserve">Ph¶i thu néi bé kh¸c                                                                                                             </t>
  </si>
  <si>
    <t xml:space="preserve">Ph¶i tr¶ néi bé                                                                                                                  </t>
  </si>
  <si>
    <t xml:space="preserve">C¸c kho¶n thu nhËp bÊt th­êng                                                                                                    </t>
  </si>
  <si>
    <t xml:space="preserve">Chi phÝ bÊt th­êng                                                                                                               </t>
  </si>
  <si>
    <t>C«ng ty CP §Çu T­ X©y L¾p 3T</t>
  </si>
  <si>
    <t>Sè hiÖu   TK</t>
  </si>
  <si>
    <t>Sè ph¸t sinh trong kú</t>
  </si>
  <si>
    <t xml:space="preserve">TiÒn mÆt                                                        </t>
  </si>
  <si>
    <t xml:space="preserve">TiÒn mÆt ViÖt Nam                                               </t>
  </si>
  <si>
    <t xml:space="preserve">Ph¶i thu cña kh¸ch hµng                                         </t>
  </si>
  <si>
    <t xml:space="preserve">ThuÕ GTGT ®­îc khÊu trõ                                         </t>
  </si>
  <si>
    <t xml:space="preserve">ThuÕ GTGT ®­îc khÊu trõ cña hµng ho¸ dÞch vô                    </t>
  </si>
  <si>
    <t xml:space="preserve">Ph¶i thu néi bé                                                 </t>
  </si>
  <si>
    <t xml:space="preserve">Ph¶i thu néi bé kh¸c                                            </t>
  </si>
  <si>
    <t xml:space="preserve">Ph¶i thu kh¸c                                                   </t>
  </si>
  <si>
    <t xml:space="preserve">Nguyªn liÖu, vËt liÖu                                           </t>
  </si>
  <si>
    <t xml:space="preserve">Nguyªn liÖu, vËt liÖu chÝnh                                     </t>
  </si>
  <si>
    <t xml:space="preserve">C«ng cô, dông cô                                                </t>
  </si>
  <si>
    <t xml:space="preserve">Tµi s¶n cè ®Þnh h÷u h×nh                                        </t>
  </si>
  <si>
    <t xml:space="preserve">Nhµ cöa, vËt kiÕn tróc                                          </t>
  </si>
  <si>
    <t xml:space="preserve">Ph­¬ng tiÖn vËn t¶i, truyÒn dÉn                                 </t>
  </si>
  <si>
    <t xml:space="preserve">ThiÕt bÞ, dông cô qu¶n lý                                       </t>
  </si>
  <si>
    <t xml:space="preserve">Tµi s¶n cè ®Þnh kh¸c                                            </t>
  </si>
  <si>
    <t xml:space="preserve">Hao mßn tµi s¶n cè ®Þnh                                         </t>
  </si>
  <si>
    <t xml:space="preserve">Hao mßn TSC§ h÷u h×nh                                           </t>
  </si>
  <si>
    <t xml:space="preserve">Hao mßn TSC§ PTVT                                               </t>
  </si>
  <si>
    <t xml:space="preserve">Ph¶i tr¶ cho ng­êi b¸n                                          </t>
  </si>
  <si>
    <t xml:space="preserve">ThuÕ vµ c¸c kho¶n ph¶i nép Nhµ n­íc                             </t>
  </si>
  <si>
    <t xml:space="preserve">ThuÕ GTGT ph¶i nép                                              </t>
  </si>
  <si>
    <t xml:space="preserve">ThuÕ GTGT ®Çu ra ph¶i nép                                       </t>
  </si>
  <si>
    <t xml:space="preserve">Ph¶i tr¶ c«ng nh©n viªn                                         </t>
  </si>
  <si>
    <t xml:space="preserve">Ph¶i tr¶ c«ng nh©n viªn VP                                      </t>
  </si>
  <si>
    <t xml:space="preserve">Ph¶i tr¶ néi bé                                                 </t>
  </si>
  <si>
    <t xml:space="preserve">Ph¶i tr¶, ph¶i nép kh¸c                                         </t>
  </si>
  <si>
    <t xml:space="preserve">Nguån vèn kinh doanh                                            </t>
  </si>
  <si>
    <t xml:space="preserve">L·i ch­a ph©n phèi                                              </t>
  </si>
  <si>
    <t xml:space="preserve">L·i n¨m nay                                                     </t>
  </si>
  <si>
    <t xml:space="preserve">Doanh thu b¸n hµng                                              </t>
  </si>
  <si>
    <t xml:space="preserve">Doanh thu b¸n hµng ho¸                                          </t>
  </si>
  <si>
    <t xml:space="preserve">Gi¸ vèn hµng b¸n                                                </t>
  </si>
  <si>
    <t xml:space="preserve">Gi¸ vèn hµng b¸n vËt liÖu                                       </t>
  </si>
  <si>
    <t xml:space="preserve">Chi phÝ qu¶n lý doanh nghiÖp                                    </t>
  </si>
  <si>
    <t xml:space="preserve">Chi phÝ thuÕ TNDN                                               </t>
  </si>
  <si>
    <t xml:space="preserve">X¸c ®Þnh kÕt qu¶ kinh doanh                                     </t>
  </si>
  <si>
    <t>Tõ ngµy 01/01/2014 ®Õn 31/12/2014</t>
  </si>
  <si>
    <t xml:space="preserve">C¸c lo¹i thuÕ kh¸c                                              </t>
  </si>
  <si>
    <t xml:space="preserve">§Çu t­ vµo c«ng ty con </t>
  </si>
  <si>
    <t>Quý 4 năm tài chính 2014</t>
  </si>
  <si>
    <t xml:space="preserve">ThuÕ TNDN </t>
  </si>
  <si>
    <t>con</t>
  </si>
  <si>
    <t>Lập ngày 10 tháng 02 năm 2015</t>
  </si>
  <si>
    <t>quý 4  n¨m 2014</t>
  </si>
  <si>
    <t>LËp, ngµy 10 th¸ng 02 n¨m 2015</t>
  </si>
  <si>
    <t xml:space="preserve"> Quý 4 năm tài chính 2014</t>
  </si>
  <si>
    <t>Giarm 642</t>
  </si>
  <si>
    <t xml:space="preserve">        Hoµng ThÞ Hång</t>
  </si>
</sst>
</file>

<file path=xl/styles.xml><?xml version="1.0" encoding="utf-8"?>
<styleSheet xmlns="http://schemas.openxmlformats.org/spreadsheetml/2006/main">
  <numFmts count="18">
    <numFmt numFmtId="5" formatCode="&quot;TT$&quot;#,##0_);\(&quot;TT$&quot;#,##0\)"/>
    <numFmt numFmtId="6" formatCode="&quot;TT$&quot;#,##0_);[Red]\(&quot;TT$&quot;#,##0\)"/>
    <numFmt numFmtId="7" formatCode="&quot;TT$&quot;#,##0.00_);\(&quot;TT$&quot;#,##0.00\)"/>
    <numFmt numFmtId="8" formatCode="&quot;TT$&quot;#,##0.00_);[Red]\(&quot;TT$&quot;#,##0.00\)"/>
    <numFmt numFmtId="42" formatCode="_(&quot;TT$&quot;* #,##0_);_(&quot;TT$&quot;* \(#,##0\);_(&quot;TT$&quot;* &quot;-&quot;_);_(@_)"/>
    <numFmt numFmtId="41" formatCode="_(* #,##0_);_(* \(#,##0\);_(* &quot;-&quot;_);_(@_)"/>
    <numFmt numFmtId="44" formatCode="_(&quot;TT$&quot;* #,##0.00_);_(&quot;TT$&quot;* \(#,##0.00\);_(&quot;TT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 ###,###,###,###,###"/>
    <numFmt numFmtId="171" formatCode="_(* #,##0_);_(* \(#,##0\);_(* &quot;-&quot;??_);_(@_)"/>
    <numFmt numFmtId="172" formatCode="_(* #,##0.0_);_(* \(#,##0.0\);_(* &quot;-&quot;?_);_(@_)"/>
    <numFmt numFmtId="173" formatCode="_(* #,##0.0_);_(* \(#,##0.0\);_(* &quot;-&quot;??_);_(@_)"/>
  </numFmts>
  <fonts count="86">
    <font>
      <sz val="12"/>
      <name val="Times New Roman"/>
      <family val="0"/>
    </font>
    <font>
      <sz val="16"/>
      <name val=".VnHelvetInsH"/>
      <family val="2"/>
    </font>
    <font>
      <sz val="9"/>
      <name val=".VnArialH"/>
      <family val="2"/>
    </font>
    <font>
      <sz val="8"/>
      <name val=".VnArialH"/>
      <family val="2"/>
    </font>
    <font>
      <b/>
      <sz val="10"/>
      <name val=".VnTime"/>
      <family val="2"/>
    </font>
    <font>
      <sz val="12"/>
      <name val="Arial"/>
      <family val="0"/>
    </font>
    <font>
      <sz val="10"/>
      <name val=".VnTime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b/>
      <sz val="9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8"/>
      <name val="Times New Roman"/>
      <family val="0"/>
    </font>
    <font>
      <sz val="11"/>
      <name val=".VnArialH"/>
      <family val="2"/>
    </font>
    <font>
      <b/>
      <sz val="16"/>
      <name val=".VnTimeH"/>
      <family val="2"/>
    </font>
    <font>
      <sz val="16"/>
      <name val=".VnTimeH"/>
      <family val="2"/>
    </font>
    <font>
      <sz val="12"/>
      <name val=".VnTime"/>
      <family val="2"/>
    </font>
    <font>
      <b/>
      <sz val="12"/>
      <name val=".VnTime"/>
      <family val="2"/>
    </font>
    <font>
      <i/>
      <sz val="12"/>
      <name val=".VnTime"/>
      <family val="2"/>
    </font>
    <font>
      <sz val="9"/>
      <name val=".VnTime"/>
      <family val="2"/>
    </font>
    <font>
      <b/>
      <i/>
      <sz val="12"/>
      <name val=".VnTime"/>
      <family val="2"/>
    </font>
    <font>
      <sz val="8"/>
      <name val=".VnTime"/>
      <family val="2"/>
    </font>
    <font>
      <b/>
      <sz val="9"/>
      <name val=".VnTime"/>
      <family val="2"/>
    </font>
    <font>
      <sz val="14"/>
      <name val=".VnTime"/>
      <family val="0"/>
    </font>
    <font>
      <sz val="10"/>
      <name val="Arial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9"/>
      <color indexed="10"/>
      <name val=".VnTime"/>
      <family val="2"/>
    </font>
    <font>
      <sz val="12"/>
      <name val=".vntime"/>
      <family val="0"/>
    </font>
    <font>
      <b/>
      <sz val="11"/>
      <name val=".VnTime"/>
      <family val="2"/>
    </font>
    <font>
      <b/>
      <sz val="12"/>
      <color indexed="9"/>
      <name val="Arial"/>
      <family val="0"/>
    </font>
    <font>
      <sz val="11"/>
      <name val="Times New Roman"/>
      <family val="1"/>
    </font>
    <font>
      <b/>
      <sz val="8"/>
      <name val=".VnTime"/>
      <family val="2"/>
    </font>
    <font>
      <b/>
      <sz val="11"/>
      <color indexed="10"/>
      <name val="Arial"/>
      <family val="0"/>
    </font>
    <font>
      <b/>
      <sz val="9"/>
      <color indexed="10"/>
      <name val=".VnTime"/>
      <family val="2"/>
    </font>
    <font>
      <sz val="9"/>
      <color indexed="48"/>
      <name val=".VnTime"/>
      <family val="2"/>
    </font>
    <font>
      <b/>
      <sz val="11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.VnTime"/>
      <family val="2"/>
    </font>
    <font>
      <sz val="8"/>
      <color indexed="8"/>
      <name val=".VnArialH"/>
      <family val="2"/>
    </font>
    <font>
      <b/>
      <sz val="10"/>
      <color indexed="8"/>
      <name val=".VnTime"/>
      <family val="2"/>
    </font>
    <font>
      <sz val="10"/>
      <color indexed="10"/>
      <name val=".VnTime"/>
      <family val="2"/>
    </font>
    <font>
      <b/>
      <sz val="10"/>
      <color indexed="10"/>
      <name val=".VnTime"/>
      <family val="2"/>
    </font>
    <font>
      <sz val="16"/>
      <color indexed="8"/>
      <name val=".VnHelvetInsH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.VnTime"/>
      <family val="2"/>
    </font>
    <font>
      <sz val="8"/>
      <color theme="1"/>
      <name val=".VnArialH"/>
      <family val="2"/>
    </font>
    <font>
      <b/>
      <sz val="10"/>
      <color theme="1"/>
      <name val=".VnTime"/>
      <family val="2"/>
    </font>
    <font>
      <sz val="10"/>
      <color rgb="FFFF0000"/>
      <name val=".VnTime"/>
      <family val="2"/>
    </font>
    <font>
      <b/>
      <sz val="10"/>
      <color rgb="FFFF0000"/>
      <name val=".VnTime"/>
      <family val="2"/>
    </font>
    <font>
      <sz val="16"/>
      <color theme="1"/>
      <name val=".VnHelvetInsH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medium"/>
    </border>
    <border>
      <left style="thin">
        <color indexed="63"/>
      </left>
      <right style="thin">
        <color indexed="63"/>
      </right>
      <top style="hair">
        <color indexed="63"/>
      </top>
      <bottom style="medium"/>
    </border>
    <border>
      <left style="thin">
        <color indexed="63"/>
      </left>
      <right style="medium">
        <color indexed="63"/>
      </right>
      <top style="hair">
        <color indexed="63"/>
      </top>
      <bottom style="medium"/>
    </border>
    <border>
      <left style="medium">
        <color indexed="63"/>
      </left>
      <right style="thin">
        <color indexed="63"/>
      </right>
      <top style="medium"/>
      <bottom style="hair">
        <color indexed="63"/>
      </bottom>
    </border>
    <border>
      <left style="thin">
        <color indexed="63"/>
      </left>
      <right style="thin">
        <color indexed="63"/>
      </right>
      <top style="medium"/>
      <bottom style="hair">
        <color indexed="63"/>
      </bottom>
    </border>
    <border>
      <left style="thin">
        <color indexed="63"/>
      </left>
      <right style="medium">
        <color indexed="63"/>
      </right>
      <top style="medium"/>
      <bottom style="hair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7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33" borderId="0" xfId="74" applyFont="1" applyFill="1" applyAlignment="1">
      <alignment/>
      <protection/>
    </xf>
    <xf numFmtId="0" fontId="7" fillId="33" borderId="0" xfId="74" applyFont="1" applyFill="1">
      <alignment/>
      <protection/>
    </xf>
    <xf numFmtId="0" fontId="7" fillId="33" borderId="0" xfId="74" applyFont="1" applyFill="1" applyAlignment="1">
      <alignment horizontal="center"/>
      <protection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171" fontId="10" fillId="0" borderId="0" xfId="42" applyNumberFormat="1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71" fontId="11" fillId="0" borderId="11" xfId="42" applyNumberFormat="1" applyFont="1" applyFill="1" applyBorder="1" applyAlignment="1">
      <alignment horizontal="center" vertical="center" wrapText="1"/>
    </xf>
    <xf numFmtId="171" fontId="11" fillId="0" borderId="12" xfId="42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13" xfId="0" applyFont="1" applyBorder="1" applyAlignment="1">
      <alignment/>
    </xf>
    <xf numFmtId="0" fontId="11" fillId="33" borderId="14" xfId="0" applyFont="1" applyFill="1" applyBorder="1" applyAlignment="1">
      <alignment/>
    </xf>
    <xf numFmtId="0" fontId="11" fillId="0" borderId="14" xfId="0" applyFont="1" applyBorder="1" applyAlignment="1">
      <alignment/>
    </xf>
    <xf numFmtId="171" fontId="11" fillId="0" borderId="14" xfId="42" applyNumberFormat="1" applyFont="1" applyBorder="1" applyAlignment="1">
      <alignment/>
    </xf>
    <xf numFmtId="171" fontId="11" fillId="0" borderId="15" xfId="42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13" xfId="0" applyFont="1" applyBorder="1" applyAlignment="1">
      <alignment/>
    </xf>
    <xf numFmtId="0" fontId="12" fillId="33" borderId="14" xfId="0" applyFont="1" applyFill="1" applyBorder="1" applyAlignment="1">
      <alignment/>
    </xf>
    <xf numFmtId="0" fontId="12" fillId="0" borderId="14" xfId="0" applyFont="1" applyBorder="1" applyAlignment="1">
      <alignment/>
    </xf>
    <xf numFmtId="171" fontId="12" fillId="0" borderId="14" xfId="42" applyNumberFormat="1" applyFont="1" applyBorder="1" applyAlignment="1">
      <alignment/>
    </xf>
    <xf numFmtId="171" fontId="12" fillId="0" borderId="15" xfId="42" applyNumberFormat="1" applyFont="1" applyBorder="1" applyAlignment="1">
      <alignment/>
    </xf>
    <xf numFmtId="171" fontId="11" fillId="0" borderId="15" xfId="42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33" borderId="17" xfId="0" applyFont="1" applyFill="1" applyBorder="1" applyAlignment="1">
      <alignment/>
    </xf>
    <xf numFmtId="0" fontId="12" fillId="0" borderId="17" xfId="0" applyFont="1" applyBorder="1" applyAlignment="1">
      <alignment/>
    </xf>
    <xf numFmtId="171" fontId="12" fillId="0" borderId="17" xfId="42" applyNumberFormat="1" applyFont="1" applyBorder="1" applyAlignment="1">
      <alignment/>
    </xf>
    <xf numFmtId="171" fontId="12" fillId="0" borderId="18" xfId="42" applyNumberFormat="1" applyFont="1" applyBorder="1" applyAlignment="1">
      <alignment/>
    </xf>
    <xf numFmtId="0" fontId="11" fillId="0" borderId="0" xfId="74" applyFont="1">
      <alignment/>
      <protection/>
    </xf>
    <xf numFmtId="0" fontId="11" fillId="33" borderId="0" xfId="74" applyFont="1" applyFill="1">
      <alignment/>
      <protection/>
    </xf>
    <xf numFmtId="171" fontId="11" fillId="0" borderId="0" xfId="42" applyNumberFormat="1" applyFont="1" applyAlignment="1">
      <alignment/>
    </xf>
    <xf numFmtId="0" fontId="12" fillId="0" borderId="0" xfId="0" applyFont="1" applyAlignment="1">
      <alignment/>
    </xf>
    <xf numFmtId="0" fontId="7" fillId="0" borderId="0" xfId="74" applyFont="1">
      <alignment/>
      <protection/>
    </xf>
    <xf numFmtId="0" fontId="7" fillId="0" borderId="0" xfId="74" applyFont="1" applyAlignment="1">
      <alignment horizontal="center"/>
      <protection/>
    </xf>
    <xf numFmtId="171" fontId="11" fillId="0" borderId="0" xfId="42" applyNumberFormat="1" applyFont="1" applyAlignment="1">
      <alignment horizontal="center"/>
    </xf>
    <xf numFmtId="171" fontId="7" fillId="0" borderId="0" xfId="42" applyNumberFormat="1" applyFont="1" applyAlignment="1">
      <alignment/>
    </xf>
    <xf numFmtId="171" fontId="7" fillId="0" borderId="0" xfId="42" applyNumberFormat="1" applyFont="1" applyAlignment="1">
      <alignment/>
    </xf>
    <xf numFmtId="0" fontId="10" fillId="0" borderId="0" xfId="74" applyFont="1">
      <alignment/>
      <protection/>
    </xf>
    <xf numFmtId="0" fontId="0" fillId="33" borderId="0" xfId="0" applyFill="1" applyAlignment="1">
      <alignment/>
    </xf>
    <xf numFmtId="0" fontId="10" fillId="0" borderId="0" xfId="0" applyFont="1" applyAlignment="1">
      <alignment/>
    </xf>
    <xf numFmtId="171" fontId="10" fillId="0" borderId="0" xfId="42" applyNumberFormat="1" applyFont="1" applyAlignment="1">
      <alignment/>
    </xf>
    <xf numFmtId="0" fontId="11" fillId="33" borderId="0" xfId="74" applyFont="1" applyFill="1" applyAlignment="1">
      <alignment/>
      <protection/>
    </xf>
    <xf numFmtId="0" fontId="14" fillId="0" borderId="0" xfId="0" applyFont="1" applyAlignment="1">
      <alignment/>
    </xf>
    <xf numFmtId="0" fontId="11" fillId="33" borderId="0" xfId="74" applyFont="1" applyFill="1" applyAlignment="1">
      <alignment horizontal="center"/>
      <protection/>
    </xf>
    <xf numFmtId="0" fontId="11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171" fontId="11" fillId="0" borderId="0" xfId="0" applyNumberFormat="1" applyFont="1" applyAlignment="1">
      <alignment/>
    </xf>
    <xf numFmtId="171" fontId="11" fillId="0" borderId="14" xfId="42" applyNumberFormat="1" applyFont="1" applyBorder="1" applyAlignment="1">
      <alignment/>
    </xf>
    <xf numFmtId="0" fontId="12" fillId="0" borderId="16" xfId="0" applyFont="1" applyBorder="1" applyAlignment="1">
      <alignment vertical="center" wrapText="1"/>
    </xf>
    <xf numFmtId="171" fontId="11" fillId="0" borderId="0" xfId="42" applyNumberFormat="1" applyFont="1" applyAlignment="1">
      <alignment/>
    </xf>
    <xf numFmtId="0" fontId="11" fillId="0" borderId="0" xfId="74" applyFont="1" applyAlignment="1">
      <alignment horizontal="center"/>
      <protection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71" fontId="17" fillId="0" borderId="0" xfId="42" applyNumberFormat="1" applyFont="1" applyAlignment="1">
      <alignment/>
    </xf>
    <xf numFmtId="171" fontId="17" fillId="33" borderId="0" xfId="42" applyNumberFormat="1" applyFont="1" applyFill="1" applyAlignment="1">
      <alignment/>
    </xf>
    <xf numFmtId="0" fontId="19" fillId="0" borderId="0" xfId="0" applyFont="1" applyAlignment="1">
      <alignment horizontal="right"/>
    </xf>
    <xf numFmtId="171" fontId="20" fillId="0" borderId="19" xfId="42" applyNumberFormat="1" applyFont="1" applyBorder="1" applyAlignment="1">
      <alignment horizontal="center"/>
    </xf>
    <xf numFmtId="171" fontId="19" fillId="0" borderId="0" xfId="0" applyNumberFormat="1" applyFont="1" applyAlignment="1">
      <alignment horizontal="right"/>
    </xf>
    <xf numFmtId="171" fontId="17" fillId="0" borderId="0" xfId="0" applyNumberFormat="1" applyFont="1" applyAlignment="1">
      <alignment/>
    </xf>
    <xf numFmtId="0" fontId="19" fillId="0" borderId="0" xfId="0" applyFont="1" applyAlignment="1">
      <alignment/>
    </xf>
    <xf numFmtId="171" fontId="17" fillId="0" borderId="19" xfId="42" applyNumberFormat="1" applyFont="1" applyBorder="1" applyAlignment="1">
      <alignment horizontal="center" vertical="center" wrapText="1"/>
    </xf>
    <xf numFmtId="171" fontId="17" fillId="33" borderId="19" xfId="42" applyNumberFormat="1" applyFont="1" applyFill="1" applyBorder="1" applyAlignment="1">
      <alignment horizontal="center" vertical="center" wrapText="1"/>
    </xf>
    <xf numFmtId="0" fontId="21" fillId="0" borderId="19" xfId="0" applyFont="1" applyBorder="1" applyAlignment="1">
      <alignment/>
    </xf>
    <xf numFmtId="171" fontId="17" fillId="0" borderId="19" xfId="42" applyNumberFormat="1" applyFont="1" applyBorder="1" applyAlignment="1">
      <alignment/>
    </xf>
    <xf numFmtId="171" fontId="17" fillId="33" borderId="19" xfId="42" applyNumberFormat="1" applyFont="1" applyFill="1" applyBorder="1" applyAlignment="1">
      <alignment/>
    </xf>
    <xf numFmtId="171" fontId="18" fillId="33" borderId="19" xfId="42" applyNumberFormat="1" applyFont="1" applyFill="1" applyBorder="1" applyAlignment="1">
      <alignment/>
    </xf>
    <xf numFmtId="0" fontId="17" fillId="0" borderId="19" xfId="0" applyFont="1" applyBorder="1" applyAlignment="1">
      <alignment/>
    </xf>
    <xf numFmtId="171" fontId="20" fillId="0" borderId="19" xfId="42" applyNumberFormat="1" applyFont="1" applyBorder="1" applyAlignment="1">
      <alignment/>
    </xf>
    <xf numFmtId="171" fontId="20" fillId="33" borderId="19" xfId="42" applyNumberFormat="1" applyFont="1" applyFill="1" applyBorder="1" applyAlignment="1">
      <alignment/>
    </xf>
    <xf numFmtId="0" fontId="19" fillId="0" borderId="19" xfId="0" applyFont="1" applyBorder="1" applyAlignment="1">
      <alignment/>
    </xf>
    <xf numFmtId="171" fontId="22" fillId="0" borderId="19" xfId="42" applyNumberFormat="1" applyFont="1" applyBorder="1" applyAlignment="1">
      <alignment/>
    </xf>
    <xf numFmtId="0" fontId="21" fillId="0" borderId="19" xfId="0" applyFont="1" applyBorder="1" applyAlignment="1">
      <alignment wrapText="1"/>
    </xf>
    <xf numFmtId="171" fontId="22" fillId="0" borderId="20" xfId="42" applyNumberFormat="1" applyFont="1" applyBorder="1" applyAlignment="1">
      <alignment/>
    </xf>
    <xf numFmtId="171" fontId="22" fillId="0" borderId="19" xfId="42" applyNumberFormat="1" applyFont="1" applyBorder="1" applyAlignment="1">
      <alignment/>
    </xf>
    <xf numFmtId="171" fontId="20" fillId="0" borderId="20" xfId="42" applyNumberFormat="1" applyFont="1" applyBorder="1" applyAlignment="1">
      <alignment/>
    </xf>
    <xf numFmtId="171" fontId="20" fillId="0" borderId="19" xfId="42" applyNumberFormat="1" applyFont="1" applyBorder="1" applyAlignment="1">
      <alignment/>
    </xf>
    <xf numFmtId="171" fontId="20" fillId="0" borderId="0" xfId="42" applyNumberFormat="1" applyFont="1" applyAlignment="1">
      <alignment/>
    </xf>
    <xf numFmtId="171" fontId="17" fillId="33" borderId="21" xfId="42" applyNumberFormat="1" applyFont="1" applyFill="1" applyBorder="1" applyAlignment="1">
      <alignment/>
    </xf>
    <xf numFmtId="171" fontId="17" fillId="33" borderId="0" xfId="42" applyNumberFormat="1" applyFont="1" applyFill="1" applyBorder="1" applyAlignment="1">
      <alignment/>
    </xf>
    <xf numFmtId="171" fontId="20" fillId="0" borderId="19" xfId="42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/>
    </xf>
    <xf numFmtId="171" fontId="17" fillId="0" borderId="23" xfId="42" applyNumberFormat="1" applyFont="1" applyBorder="1" applyAlignment="1">
      <alignment/>
    </xf>
    <xf numFmtId="171" fontId="17" fillId="0" borderId="24" xfId="42" applyNumberFormat="1" applyFont="1" applyBorder="1" applyAlignment="1">
      <alignment/>
    </xf>
    <xf numFmtId="0" fontId="17" fillId="0" borderId="25" xfId="0" applyFont="1" applyBorder="1" applyAlignment="1">
      <alignment/>
    </xf>
    <xf numFmtId="171" fontId="17" fillId="0" borderId="26" xfId="42" applyNumberFormat="1" applyFont="1" applyBorder="1" applyAlignment="1">
      <alignment/>
    </xf>
    <xf numFmtId="171" fontId="17" fillId="0" borderId="27" xfId="42" applyNumberFormat="1" applyFont="1" applyBorder="1" applyAlignment="1">
      <alignment/>
    </xf>
    <xf numFmtId="0" fontId="21" fillId="0" borderId="25" xfId="0" applyFont="1" applyBorder="1" applyAlignment="1">
      <alignment/>
    </xf>
    <xf numFmtId="0" fontId="17" fillId="0" borderId="28" xfId="0" applyFont="1" applyBorder="1" applyAlignment="1">
      <alignment/>
    </xf>
    <xf numFmtId="171" fontId="17" fillId="0" borderId="29" xfId="42" applyNumberFormat="1" applyFont="1" applyBorder="1" applyAlignment="1">
      <alignment/>
    </xf>
    <xf numFmtId="171" fontId="17" fillId="0" borderId="30" xfId="42" applyNumberFormat="1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31" xfId="0" applyFont="1" applyBorder="1" applyAlignment="1">
      <alignment/>
    </xf>
    <xf numFmtId="0" fontId="17" fillId="0" borderId="32" xfId="0" applyFont="1" applyBorder="1" applyAlignment="1">
      <alignment/>
    </xf>
    <xf numFmtId="171" fontId="18" fillId="0" borderId="33" xfId="42" applyNumberFormat="1" applyFont="1" applyBorder="1" applyAlignment="1">
      <alignment horizontal="center"/>
    </xf>
    <xf numFmtId="171" fontId="18" fillId="33" borderId="34" xfId="42" applyNumberFormat="1" applyFont="1" applyFill="1" applyBorder="1" applyAlignment="1">
      <alignment horizontal="center"/>
    </xf>
    <xf numFmtId="0" fontId="17" fillId="0" borderId="35" xfId="0" applyFont="1" applyBorder="1" applyAlignment="1">
      <alignment/>
    </xf>
    <xf numFmtId="171" fontId="17" fillId="0" borderId="36" xfId="42" applyNumberFormat="1" applyFont="1" applyBorder="1" applyAlignment="1">
      <alignment/>
    </xf>
    <xf numFmtId="171" fontId="18" fillId="0" borderId="37" xfId="42" applyNumberFormat="1" applyFont="1" applyBorder="1" applyAlignment="1">
      <alignment horizontal="center"/>
    </xf>
    <xf numFmtId="171" fontId="4" fillId="33" borderId="38" xfId="42" applyNumberFormat="1" applyFont="1" applyFill="1" applyBorder="1" applyAlignment="1">
      <alignment horizontal="center"/>
    </xf>
    <xf numFmtId="171" fontId="18" fillId="33" borderId="38" xfId="42" applyNumberFormat="1" applyFont="1" applyFill="1" applyBorder="1" applyAlignment="1">
      <alignment horizontal="center"/>
    </xf>
    <xf numFmtId="171" fontId="22" fillId="33" borderId="19" xfId="42" applyNumberFormat="1" applyFont="1" applyFill="1" applyBorder="1" applyAlignment="1">
      <alignment/>
    </xf>
    <xf numFmtId="171" fontId="17" fillId="33" borderId="0" xfId="42" applyNumberFormat="1" applyFont="1" applyFill="1" applyAlignment="1">
      <alignment horizontal="center"/>
    </xf>
    <xf numFmtId="0" fontId="17" fillId="0" borderId="20" xfId="0" applyFont="1" applyBorder="1" applyAlignment="1">
      <alignment/>
    </xf>
    <xf numFmtId="171" fontId="17" fillId="0" borderId="31" xfId="42" applyNumberFormat="1" applyFont="1" applyBorder="1" applyAlignment="1">
      <alignment/>
    </xf>
    <xf numFmtId="171" fontId="17" fillId="0" borderId="32" xfId="42" applyNumberFormat="1" applyFont="1" applyBorder="1" applyAlignment="1">
      <alignment/>
    </xf>
    <xf numFmtId="171" fontId="18" fillId="0" borderId="0" xfId="42" applyNumberFormat="1" applyFont="1" applyAlignment="1">
      <alignment/>
    </xf>
    <xf numFmtId="171" fontId="17" fillId="0" borderId="39" xfId="42" applyNumberFormat="1" applyFont="1" applyBorder="1" applyAlignment="1">
      <alignment vertical="center" wrapText="1"/>
    </xf>
    <xf numFmtId="171" fontId="17" fillId="0" borderId="33" xfId="42" applyNumberFormat="1" applyFont="1" applyBorder="1" applyAlignment="1">
      <alignment vertical="center" wrapText="1"/>
    </xf>
    <xf numFmtId="0" fontId="19" fillId="0" borderId="0" xfId="0" applyFont="1" applyAlignment="1">
      <alignment/>
    </xf>
    <xf numFmtId="171" fontId="17" fillId="0" borderId="0" xfId="42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171" fontId="17" fillId="0" borderId="0" xfId="42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71" fontId="24" fillId="0" borderId="0" xfId="42" applyNumberFormat="1" applyFont="1" applyAlignment="1">
      <alignment/>
    </xf>
    <xf numFmtId="171" fontId="24" fillId="33" borderId="0" xfId="42" applyNumberFormat="1" applyFont="1" applyFill="1" applyAlignment="1">
      <alignment/>
    </xf>
    <xf numFmtId="171" fontId="24" fillId="33" borderId="0" xfId="42" applyNumberFormat="1" applyFont="1" applyFill="1" applyAlignment="1">
      <alignment/>
    </xf>
    <xf numFmtId="171" fontId="24" fillId="0" borderId="0" xfId="42" applyNumberFormat="1" applyFont="1" applyAlignment="1">
      <alignment/>
    </xf>
    <xf numFmtId="171" fontId="25" fillId="0" borderId="0" xfId="42" applyNumberFormat="1" applyFont="1" applyAlignment="1">
      <alignment/>
    </xf>
    <xf numFmtId="171" fontId="25" fillId="33" borderId="0" xfId="42" applyNumberFormat="1" applyFont="1" applyFill="1" applyAlignment="1">
      <alignment/>
    </xf>
    <xf numFmtId="171" fontId="10" fillId="33" borderId="0" xfId="42" applyNumberFormat="1" applyFont="1" applyFill="1" applyAlignment="1">
      <alignment/>
    </xf>
    <xf numFmtId="0" fontId="10" fillId="34" borderId="0" xfId="0" applyFont="1" applyFill="1" applyAlignment="1">
      <alignment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left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33" borderId="14" xfId="0" applyFont="1" applyFill="1" applyBorder="1" applyAlignment="1">
      <alignment/>
    </xf>
    <xf numFmtId="0" fontId="7" fillId="0" borderId="14" xfId="0" applyFont="1" applyBorder="1" applyAlignment="1">
      <alignment/>
    </xf>
    <xf numFmtId="171" fontId="7" fillId="0" borderId="41" xfId="42" applyNumberFormat="1" applyFont="1" applyBorder="1" applyAlignment="1">
      <alignment/>
    </xf>
    <xf numFmtId="0" fontId="5" fillId="0" borderId="14" xfId="0" applyFont="1" applyBorder="1" applyAlignment="1">
      <alignment horizontal="left" vertical="center" wrapText="1"/>
    </xf>
    <xf numFmtId="0" fontId="5" fillId="33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171" fontId="5" fillId="0" borderId="14" xfId="42" applyNumberFormat="1" applyFont="1" applyBorder="1" applyAlignment="1">
      <alignment/>
    </xf>
    <xf numFmtId="171" fontId="7" fillId="0" borderId="14" xfId="42" applyNumberFormat="1" applyFont="1" applyBorder="1" applyAlignment="1">
      <alignment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171" fontId="28" fillId="0" borderId="19" xfId="42" applyNumberFormat="1" applyFont="1" applyBorder="1" applyAlignment="1">
      <alignment/>
    </xf>
    <xf numFmtId="171" fontId="28" fillId="33" borderId="19" xfId="42" applyNumberFormat="1" applyFont="1" applyFill="1" applyBorder="1" applyAlignment="1">
      <alignment/>
    </xf>
    <xf numFmtId="171" fontId="10" fillId="0" borderId="0" xfId="74" applyNumberFormat="1" applyFont="1">
      <alignment/>
      <protection/>
    </xf>
    <xf numFmtId="171" fontId="0" fillId="0" borderId="0" xfId="0" applyNumberFormat="1" applyAlignment="1">
      <alignment/>
    </xf>
    <xf numFmtId="171" fontId="12" fillId="0" borderId="14" xfId="42" applyNumberFormat="1" applyFont="1" applyBorder="1" applyAlignment="1">
      <alignment/>
    </xf>
    <xf numFmtId="171" fontId="12" fillId="0" borderId="15" xfId="42" applyNumberFormat="1" applyFont="1" applyBorder="1" applyAlignment="1">
      <alignment/>
    </xf>
    <xf numFmtId="0" fontId="18" fillId="33" borderId="0" xfId="74" applyFont="1" applyFill="1" applyAlignment="1">
      <alignment/>
      <protection/>
    </xf>
    <xf numFmtId="0" fontId="30" fillId="0" borderId="0" xfId="0" applyFont="1" applyAlignment="1">
      <alignment horizontal="center"/>
    </xf>
    <xf numFmtId="0" fontId="11" fillId="33" borderId="0" xfId="0" applyFont="1" applyFill="1" applyAlignment="1">
      <alignment horizontal="center"/>
    </xf>
    <xf numFmtId="171" fontId="31" fillId="0" borderId="0" xfId="42" applyNumberFormat="1" applyFont="1" applyAlignment="1">
      <alignment/>
    </xf>
    <xf numFmtId="0" fontId="30" fillId="0" borderId="0" xfId="0" applyFont="1" applyAlignment="1">
      <alignment/>
    </xf>
    <xf numFmtId="0" fontId="11" fillId="33" borderId="0" xfId="0" applyFont="1" applyFill="1" applyAlignment="1">
      <alignment/>
    </xf>
    <xf numFmtId="41" fontId="32" fillId="0" borderId="0" xfId="72" applyNumberFormat="1" applyFont="1" applyFill="1" applyBorder="1" applyAlignment="1">
      <alignment vertical="top"/>
      <protection/>
    </xf>
    <xf numFmtId="171" fontId="23" fillId="0" borderId="19" xfId="42" applyNumberFormat="1" applyFont="1" applyBorder="1" applyAlignment="1">
      <alignment horizontal="center"/>
    </xf>
    <xf numFmtId="171" fontId="23" fillId="0" borderId="19" xfId="42" applyNumberFormat="1" applyFont="1" applyBorder="1" applyAlignment="1">
      <alignment/>
    </xf>
    <xf numFmtId="171" fontId="23" fillId="33" borderId="19" xfId="42" applyNumberFormat="1" applyFont="1" applyFill="1" applyBorder="1" applyAlignment="1">
      <alignment/>
    </xf>
    <xf numFmtId="171" fontId="33" fillId="0" borderId="19" xfId="42" applyNumberFormat="1" applyFont="1" applyBorder="1" applyAlignment="1">
      <alignment/>
    </xf>
    <xf numFmtId="0" fontId="7" fillId="33" borderId="0" xfId="74" applyFont="1" applyFill="1" applyAlignment="1">
      <alignment/>
      <protection/>
    </xf>
    <xf numFmtId="0" fontId="34" fillId="0" borderId="0" xfId="0" applyFont="1" applyAlignment="1">
      <alignment/>
    </xf>
    <xf numFmtId="171" fontId="34" fillId="0" borderId="0" xfId="42" applyNumberFormat="1" applyFont="1" applyAlignment="1">
      <alignment/>
    </xf>
    <xf numFmtId="171" fontId="10" fillId="0" borderId="0" xfId="0" applyNumberFormat="1" applyFont="1" applyAlignment="1">
      <alignment/>
    </xf>
    <xf numFmtId="171" fontId="7" fillId="34" borderId="0" xfId="42" applyNumberFormat="1" applyFont="1" applyFill="1" applyAlignment="1">
      <alignment/>
    </xf>
    <xf numFmtId="171" fontId="10" fillId="34" borderId="0" xfId="42" applyNumberFormat="1" applyFont="1" applyFill="1" applyAlignment="1">
      <alignment/>
    </xf>
    <xf numFmtId="171" fontId="35" fillId="0" borderId="19" xfId="42" applyNumberFormat="1" applyFont="1" applyBorder="1" applyAlignment="1">
      <alignment/>
    </xf>
    <xf numFmtId="0" fontId="18" fillId="0" borderId="19" xfId="0" applyFont="1" applyBorder="1" applyAlignment="1">
      <alignment/>
    </xf>
    <xf numFmtId="171" fontId="36" fillId="0" borderId="19" xfId="42" applyNumberFormat="1" applyFont="1" applyBorder="1" applyAlignment="1">
      <alignment/>
    </xf>
    <xf numFmtId="171" fontId="34" fillId="0" borderId="0" xfId="0" applyNumberFormat="1" applyFont="1" applyAlignment="1">
      <alignment/>
    </xf>
    <xf numFmtId="0" fontId="37" fillId="0" borderId="0" xfId="0" applyFont="1" applyAlignment="1">
      <alignment/>
    </xf>
    <xf numFmtId="41" fontId="32" fillId="0" borderId="20" xfId="72" applyNumberFormat="1" applyFont="1" applyFill="1" applyBorder="1" applyAlignment="1">
      <alignment vertical="top"/>
      <protection/>
    </xf>
    <xf numFmtId="41" fontId="32" fillId="0" borderId="32" xfId="72" applyNumberFormat="1" applyFont="1" applyFill="1" applyBorder="1" applyAlignment="1">
      <alignment vertical="top"/>
      <protection/>
    </xf>
    <xf numFmtId="171" fontId="5" fillId="0" borderId="14" xfId="47" applyNumberFormat="1" applyFont="1" applyBorder="1" applyAlignment="1">
      <alignment/>
    </xf>
    <xf numFmtId="171" fontId="5" fillId="0" borderId="14" xfId="48" applyNumberFormat="1" applyFont="1" applyBorder="1" applyAlignment="1">
      <alignment/>
    </xf>
    <xf numFmtId="171" fontId="5" fillId="0" borderId="14" xfId="50" applyNumberFormat="1" applyFont="1" applyBorder="1" applyAlignment="1">
      <alignment/>
    </xf>
    <xf numFmtId="171" fontId="11" fillId="0" borderId="0" xfId="42" applyNumberFormat="1" applyFont="1" applyAlignment="1">
      <alignment/>
    </xf>
    <xf numFmtId="0" fontId="80" fillId="35" borderId="42" xfId="69" applyFont="1" applyFill="1" applyBorder="1" applyAlignment="1">
      <alignment horizontal="center" vertical="center"/>
      <protection/>
    </xf>
    <xf numFmtId="0" fontId="81" fillId="35" borderId="42" xfId="69" applyFont="1" applyFill="1" applyBorder="1" applyAlignment="1">
      <alignment horizontal="center" vertical="center"/>
      <protection/>
    </xf>
    <xf numFmtId="0" fontId="81" fillId="35" borderId="43" xfId="69" applyFont="1" applyFill="1" applyBorder="1" applyAlignment="1">
      <alignment horizontal="center" vertical="center"/>
      <protection/>
    </xf>
    <xf numFmtId="0" fontId="82" fillId="0" borderId="44" xfId="69" applyFont="1" applyBorder="1" applyAlignment="1">
      <alignment horizontal="left"/>
      <protection/>
    </xf>
    <xf numFmtId="0" fontId="82" fillId="0" borderId="42" xfId="69" applyFont="1" applyBorder="1" applyAlignment="1">
      <alignment horizontal="left"/>
      <protection/>
    </xf>
    <xf numFmtId="170" fontId="82" fillId="0" borderId="42" xfId="53" applyNumberFormat="1" applyFont="1" applyBorder="1" applyAlignment="1">
      <alignment horizontal="right"/>
    </xf>
    <xf numFmtId="170" fontId="82" fillId="0" borderId="43" xfId="53" applyNumberFormat="1" applyFont="1" applyBorder="1" applyAlignment="1">
      <alignment horizontal="right"/>
    </xf>
    <xf numFmtId="0" fontId="80" fillId="0" borderId="44" xfId="69" applyFont="1" applyBorder="1" applyAlignment="1">
      <alignment horizontal="left"/>
      <protection/>
    </xf>
    <xf numFmtId="0" fontId="80" fillId="0" borderId="42" xfId="69" applyFont="1" applyBorder="1" applyAlignment="1">
      <alignment horizontal="left"/>
      <protection/>
    </xf>
    <xf numFmtId="170" fontId="80" fillId="0" borderId="42" xfId="53" applyNumberFormat="1" applyFont="1" applyBorder="1" applyAlignment="1">
      <alignment horizontal="right"/>
    </xf>
    <xf numFmtId="170" fontId="80" fillId="0" borderId="43" xfId="53" applyNumberFormat="1" applyFont="1" applyBorder="1" applyAlignment="1">
      <alignment horizontal="right"/>
    </xf>
    <xf numFmtId="0" fontId="82" fillId="0" borderId="45" xfId="69" applyFont="1" applyBorder="1" applyAlignment="1">
      <alignment horizontal="left"/>
      <protection/>
    </xf>
    <xf numFmtId="0" fontId="82" fillId="0" borderId="46" xfId="69" applyFont="1" applyBorder="1" applyAlignment="1">
      <alignment horizontal="left"/>
      <protection/>
    </xf>
    <xf numFmtId="170" fontId="82" fillId="0" borderId="46" xfId="53" applyNumberFormat="1" applyFont="1" applyBorder="1" applyAlignment="1">
      <alignment horizontal="right"/>
    </xf>
    <xf numFmtId="170" fontId="82" fillId="0" borderId="47" xfId="53" applyNumberFormat="1" applyFont="1" applyBorder="1" applyAlignment="1">
      <alignment horizontal="right"/>
    </xf>
    <xf numFmtId="0" fontId="67" fillId="0" borderId="0" xfId="70">
      <alignment/>
      <protection/>
    </xf>
    <xf numFmtId="0" fontId="80" fillId="35" borderId="42" xfId="71" applyFont="1" applyFill="1" applyBorder="1" applyAlignment="1">
      <alignment horizontal="center" vertical="center"/>
      <protection/>
    </xf>
    <xf numFmtId="0" fontId="80" fillId="35" borderId="43" xfId="71" applyFont="1" applyFill="1" applyBorder="1" applyAlignment="1">
      <alignment horizontal="center" vertical="center"/>
      <protection/>
    </xf>
    <xf numFmtId="0" fontId="82" fillId="0" borderId="44" xfId="71" applyFont="1" applyBorder="1" applyAlignment="1">
      <alignment horizontal="left"/>
      <protection/>
    </xf>
    <xf numFmtId="0" fontId="82" fillId="0" borderId="42" xfId="71" applyFont="1" applyBorder="1" applyAlignment="1">
      <alignment horizontal="left"/>
      <protection/>
    </xf>
    <xf numFmtId="170" fontId="82" fillId="0" borderId="42" xfId="45" applyNumberFormat="1" applyFont="1" applyBorder="1" applyAlignment="1">
      <alignment horizontal="right"/>
    </xf>
    <xf numFmtId="170" fontId="82" fillId="0" borderId="43" xfId="45" applyNumberFormat="1" applyFont="1" applyBorder="1" applyAlignment="1">
      <alignment horizontal="right"/>
    </xf>
    <xf numFmtId="0" fontId="80" fillId="0" borderId="44" xfId="71" applyFont="1" applyBorder="1" applyAlignment="1">
      <alignment horizontal="left"/>
      <protection/>
    </xf>
    <xf numFmtId="0" fontId="80" fillId="0" borderId="42" xfId="71" applyFont="1" applyBorder="1" applyAlignment="1">
      <alignment horizontal="left"/>
      <protection/>
    </xf>
    <xf numFmtId="170" fontId="80" fillId="0" borderId="42" xfId="45" applyNumberFormat="1" applyFont="1" applyBorder="1" applyAlignment="1">
      <alignment horizontal="right"/>
    </xf>
    <xf numFmtId="170" fontId="80" fillId="0" borderId="43" xfId="45" applyNumberFormat="1" applyFont="1" applyBorder="1" applyAlignment="1">
      <alignment horizontal="right"/>
    </xf>
    <xf numFmtId="0" fontId="82" fillId="0" borderId="45" xfId="71" applyFont="1" applyBorder="1" applyAlignment="1">
      <alignment horizontal="left"/>
      <protection/>
    </xf>
    <xf numFmtId="0" fontId="82" fillId="0" borderId="46" xfId="71" applyFont="1" applyBorder="1" applyAlignment="1">
      <alignment horizontal="left"/>
      <protection/>
    </xf>
    <xf numFmtId="170" fontId="82" fillId="0" borderId="46" xfId="45" applyNumberFormat="1" applyFont="1" applyBorder="1" applyAlignment="1">
      <alignment horizontal="right"/>
    </xf>
    <xf numFmtId="170" fontId="82" fillId="0" borderId="47" xfId="45" applyNumberFormat="1" applyFont="1" applyBorder="1" applyAlignment="1">
      <alignment horizontal="right"/>
    </xf>
    <xf numFmtId="170" fontId="83" fillId="0" borderId="42" xfId="53" applyNumberFormat="1" applyFont="1" applyBorder="1" applyAlignment="1">
      <alignment horizontal="right"/>
    </xf>
    <xf numFmtId="170" fontId="84" fillId="0" borderId="42" xfId="53" applyNumberFormat="1" applyFont="1" applyBorder="1" applyAlignment="1">
      <alignment horizontal="right"/>
    </xf>
    <xf numFmtId="170" fontId="0" fillId="0" borderId="0" xfId="0" applyNumberFormat="1" applyAlignment="1">
      <alignment/>
    </xf>
    <xf numFmtId="0" fontId="18" fillId="33" borderId="0" xfId="74" applyFont="1" applyFill="1" applyAlignment="1">
      <alignment horizontal="left"/>
      <protection/>
    </xf>
    <xf numFmtId="0" fontId="85" fillId="0" borderId="0" xfId="70" applyFont="1" applyAlignment="1">
      <alignment horizontal="center" vertical="center"/>
      <protection/>
    </xf>
    <xf numFmtId="0" fontId="81" fillId="0" borderId="0" xfId="70" applyFont="1" applyAlignment="1">
      <alignment/>
      <protection/>
    </xf>
    <xf numFmtId="0" fontId="82" fillId="35" borderId="48" xfId="71" applyFont="1" applyFill="1" applyBorder="1" applyAlignment="1">
      <alignment horizontal="center" vertical="center"/>
      <protection/>
    </xf>
    <xf numFmtId="0" fontId="82" fillId="35" borderId="44" xfId="71" applyFont="1" applyFill="1" applyBorder="1" applyAlignment="1">
      <alignment horizontal="center" vertical="center"/>
      <protection/>
    </xf>
    <xf numFmtId="0" fontId="82" fillId="35" borderId="49" xfId="71" applyFont="1" applyFill="1" applyBorder="1" applyAlignment="1">
      <alignment horizontal="center" vertical="center"/>
      <protection/>
    </xf>
    <xf numFmtId="0" fontId="82" fillId="35" borderId="42" xfId="71" applyFont="1" applyFill="1" applyBorder="1" applyAlignment="1">
      <alignment horizontal="center" vertical="center"/>
      <protection/>
    </xf>
    <xf numFmtId="0" fontId="82" fillId="35" borderId="50" xfId="71" applyFont="1" applyFill="1" applyBorder="1" applyAlignment="1">
      <alignment horizontal="center" vertical="center"/>
      <protection/>
    </xf>
    <xf numFmtId="0" fontId="1" fillId="0" borderId="0" xfId="73" applyFont="1" applyAlignment="1">
      <alignment horizontal="center" vertical="center"/>
      <protection/>
    </xf>
    <xf numFmtId="0" fontId="3" fillId="0" borderId="0" xfId="73" applyFont="1" applyAlignment="1">
      <alignment/>
      <protection/>
    </xf>
    <xf numFmtId="0" fontId="29" fillId="0" borderId="0" xfId="73" applyFont="1" applyAlignment="1">
      <alignment horizontal="center"/>
      <protection/>
    </xf>
    <xf numFmtId="0" fontId="80" fillId="35" borderId="48" xfId="69" applyFont="1" applyFill="1" applyBorder="1" applyAlignment="1">
      <alignment horizontal="center" vertical="center"/>
      <protection/>
    </xf>
    <xf numFmtId="0" fontId="80" fillId="35" borderId="44" xfId="69" applyFont="1" applyFill="1" applyBorder="1" applyAlignment="1">
      <alignment horizontal="center" vertical="center"/>
      <protection/>
    </xf>
    <xf numFmtId="0" fontId="80" fillId="35" borderId="49" xfId="69" applyFont="1" applyFill="1" applyBorder="1" applyAlignment="1">
      <alignment horizontal="center" vertical="center"/>
      <protection/>
    </xf>
    <xf numFmtId="0" fontId="80" fillId="35" borderId="42" xfId="69" applyFont="1" applyFill="1" applyBorder="1" applyAlignment="1">
      <alignment horizontal="center" vertical="center"/>
      <protection/>
    </xf>
    <xf numFmtId="0" fontId="80" fillId="35" borderId="50" xfId="69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5" fillId="33" borderId="0" xfId="74" applyFont="1" applyFill="1" applyBorder="1">
      <alignment/>
      <protection/>
    </xf>
    <xf numFmtId="0" fontId="7" fillId="33" borderId="0" xfId="74" applyFont="1" applyFill="1" applyBorder="1">
      <alignment/>
      <protection/>
    </xf>
    <xf numFmtId="0" fontId="8" fillId="33" borderId="0" xfId="74" applyFont="1" applyFill="1" applyBorder="1" applyAlignment="1">
      <alignment horizontal="left"/>
      <protection/>
    </xf>
    <xf numFmtId="0" fontId="8" fillId="33" borderId="0" xfId="74" applyFont="1" applyFill="1">
      <alignment/>
      <protection/>
    </xf>
    <xf numFmtId="0" fontId="7" fillId="33" borderId="0" xfId="74" applyFont="1" applyFill="1">
      <alignment/>
      <protection/>
    </xf>
    <xf numFmtId="0" fontId="7" fillId="33" borderId="0" xfId="74" applyFont="1" applyFill="1" applyAlignment="1">
      <alignment/>
      <protection/>
    </xf>
    <xf numFmtId="0" fontId="0" fillId="0" borderId="0" xfId="0" applyAlignment="1">
      <alignment/>
    </xf>
    <xf numFmtId="171" fontId="11" fillId="0" borderId="0" xfId="42" applyNumberFormat="1" applyFont="1" applyAlignment="1">
      <alignment horizontal="center"/>
    </xf>
    <xf numFmtId="0" fontId="12" fillId="33" borderId="0" xfId="74" applyFont="1" applyFill="1" applyBorder="1" applyAlignment="1">
      <alignment horizontal="left"/>
      <protection/>
    </xf>
    <xf numFmtId="0" fontId="11" fillId="33" borderId="0" xfId="74" applyFont="1" applyFill="1" applyBorder="1" applyAlignment="1">
      <alignment horizontal="left"/>
      <protection/>
    </xf>
    <xf numFmtId="0" fontId="11" fillId="33" borderId="0" xfId="74" applyFont="1" applyFill="1">
      <alignment/>
      <protection/>
    </xf>
    <xf numFmtId="0" fontId="17" fillId="0" borderId="19" xfId="0" applyFont="1" applyFill="1" applyBorder="1" applyAlignment="1">
      <alignment horizontal="left"/>
    </xf>
    <xf numFmtId="171" fontId="17" fillId="0" borderId="19" xfId="42" applyNumberFormat="1" applyFont="1" applyBorder="1" applyAlignment="1">
      <alignment horizontal="center"/>
    </xf>
    <xf numFmtId="171" fontId="17" fillId="33" borderId="19" xfId="42" applyNumberFormat="1" applyFont="1" applyFill="1" applyBorder="1" applyAlignment="1">
      <alignment horizontal="center"/>
    </xf>
    <xf numFmtId="171" fontId="19" fillId="0" borderId="0" xfId="42" applyNumberFormat="1" applyFont="1" applyAlignment="1">
      <alignment horizontal="right"/>
    </xf>
    <xf numFmtId="0" fontId="17" fillId="0" borderId="38" xfId="0" applyFont="1" applyFill="1" applyBorder="1" applyAlignment="1">
      <alignment horizontal="left"/>
    </xf>
    <xf numFmtId="0" fontId="30" fillId="0" borderId="0" xfId="0" applyFont="1" applyAlignment="1">
      <alignment horizontal="center"/>
    </xf>
    <xf numFmtId="0" fontId="11" fillId="33" borderId="0" xfId="0" applyFont="1" applyFill="1" applyAlignment="1">
      <alignment horizontal="center"/>
    </xf>
    <xf numFmtId="171" fontId="24" fillId="0" borderId="0" xfId="42" applyNumberFormat="1" applyFont="1" applyAlignment="1">
      <alignment horizontal="center"/>
    </xf>
    <xf numFmtId="171" fontId="18" fillId="0" borderId="0" xfId="42" applyNumberFormat="1" applyFont="1" applyAlignment="1">
      <alignment horizontal="center"/>
    </xf>
    <xf numFmtId="171" fontId="18" fillId="33" borderId="0" xfId="42" applyNumberFormat="1" applyFont="1" applyFill="1" applyAlignment="1">
      <alignment horizontal="left"/>
    </xf>
    <xf numFmtId="171" fontId="17" fillId="0" borderId="0" xfId="42" applyNumberFormat="1" applyFont="1" applyAlignment="1">
      <alignment horizontal="center"/>
    </xf>
    <xf numFmtId="171" fontId="17" fillId="33" borderId="0" xfId="42" applyNumberFormat="1" applyFont="1" applyFill="1" applyAlignment="1">
      <alignment horizontal="center"/>
    </xf>
    <xf numFmtId="171" fontId="17" fillId="33" borderId="35" xfId="42" applyNumberFormat="1" applyFont="1" applyFill="1" applyBorder="1" applyAlignment="1">
      <alignment horizontal="center"/>
    </xf>
    <xf numFmtId="171" fontId="17" fillId="33" borderId="37" xfId="42" applyNumberFormat="1" applyFont="1" applyFill="1" applyBorder="1" applyAlignment="1">
      <alignment horizontal="center"/>
    </xf>
    <xf numFmtId="0" fontId="17" fillId="0" borderId="39" xfId="0" applyFont="1" applyFill="1" applyBorder="1" applyAlignment="1">
      <alignment horizontal="left"/>
    </xf>
    <xf numFmtId="0" fontId="17" fillId="0" borderId="51" xfId="0" applyFont="1" applyFill="1" applyBorder="1" applyAlignment="1">
      <alignment horizontal="left"/>
    </xf>
    <xf numFmtId="0" fontId="17" fillId="0" borderId="33" xfId="0" applyFont="1" applyFill="1" applyBorder="1" applyAlignment="1">
      <alignment horizontal="left"/>
    </xf>
    <xf numFmtId="0" fontId="17" fillId="0" borderId="35" xfId="0" applyFont="1" applyFill="1" applyBorder="1" applyAlignment="1">
      <alignment horizontal="left"/>
    </xf>
    <xf numFmtId="0" fontId="17" fillId="0" borderId="36" xfId="0" applyFont="1" applyFill="1" applyBorder="1" applyAlignment="1">
      <alignment horizontal="left"/>
    </xf>
    <xf numFmtId="0" fontId="17" fillId="0" borderId="37" xfId="0" applyFont="1" applyFill="1" applyBorder="1" applyAlignment="1">
      <alignment horizontal="left"/>
    </xf>
    <xf numFmtId="171" fontId="17" fillId="0" borderId="32" xfId="42" applyNumberFormat="1" applyFont="1" applyBorder="1" applyAlignment="1">
      <alignment horizontal="center"/>
    </xf>
    <xf numFmtId="0" fontId="17" fillId="0" borderId="39" xfId="0" applyFont="1" applyBorder="1" applyAlignment="1">
      <alignment horizontal="left" wrapText="1"/>
    </xf>
    <xf numFmtId="0" fontId="17" fillId="0" borderId="51" xfId="0" applyFont="1" applyBorder="1" applyAlignment="1">
      <alignment horizontal="left" wrapText="1"/>
    </xf>
    <xf numFmtId="0" fontId="17" fillId="0" borderId="33" xfId="0" applyFont="1" applyBorder="1" applyAlignment="1">
      <alignment horizontal="left" wrapText="1"/>
    </xf>
    <xf numFmtId="0" fontId="17" fillId="0" borderId="21" xfId="0" applyFont="1" applyFill="1" applyBorder="1" applyAlignment="1">
      <alignment horizontal="left"/>
    </xf>
    <xf numFmtId="171" fontId="17" fillId="33" borderId="20" xfId="42" applyNumberFormat="1" applyFont="1" applyFill="1" applyBorder="1" applyAlignment="1">
      <alignment horizontal="center" vertical="center" wrapText="1"/>
    </xf>
    <xf numFmtId="171" fontId="17" fillId="33" borderId="32" xfId="42" applyNumberFormat="1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left" wrapText="1"/>
    </xf>
    <xf numFmtId="0" fontId="17" fillId="0" borderId="51" xfId="0" applyFont="1" applyFill="1" applyBorder="1" applyAlignment="1">
      <alignment horizontal="left" wrapText="1"/>
    </xf>
    <xf numFmtId="171" fontId="17" fillId="0" borderId="39" xfId="42" applyNumberFormat="1" applyFont="1" applyBorder="1" applyAlignment="1">
      <alignment horizontal="center"/>
    </xf>
    <xf numFmtId="171" fontId="17" fillId="0" borderId="51" xfId="42" applyNumberFormat="1" applyFont="1" applyBorder="1" applyAlignment="1">
      <alignment horizontal="center"/>
    </xf>
    <xf numFmtId="171" fontId="17" fillId="33" borderId="39" xfId="42" applyNumberFormat="1" applyFont="1" applyFill="1" applyBorder="1" applyAlignment="1">
      <alignment horizontal="center"/>
    </xf>
    <xf numFmtId="171" fontId="17" fillId="33" borderId="33" xfId="42" applyNumberFormat="1" applyFont="1" applyFill="1" applyBorder="1" applyAlignment="1">
      <alignment horizontal="center"/>
    </xf>
    <xf numFmtId="0" fontId="17" fillId="0" borderId="35" xfId="0" applyFont="1" applyFill="1" applyBorder="1" applyAlignment="1">
      <alignment horizontal="left" wrapText="1"/>
    </xf>
    <xf numFmtId="0" fontId="17" fillId="0" borderId="36" xfId="0" applyFont="1" applyFill="1" applyBorder="1" applyAlignment="1">
      <alignment horizontal="left" wrapText="1"/>
    </xf>
    <xf numFmtId="171" fontId="17" fillId="0" borderId="35" xfId="42" applyNumberFormat="1" applyFont="1" applyBorder="1" applyAlignment="1">
      <alignment horizontal="center"/>
    </xf>
    <xf numFmtId="171" fontId="17" fillId="0" borderId="36" xfId="42" applyNumberFormat="1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171" fontId="23" fillId="0" borderId="19" xfId="42" applyNumberFormat="1" applyFont="1" applyBorder="1" applyAlignment="1">
      <alignment horizontal="center"/>
    </xf>
    <xf numFmtId="0" fontId="17" fillId="0" borderId="19" xfId="0" applyFont="1" applyBorder="1" applyAlignment="1">
      <alignment horizontal="left"/>
    </xf>
    <xf numFmtId="41" fontId="32" fillId="0" borderId="20" xfId="72" applyNumberFormat="1" applyFont="1" applyFill="1" applyBorder="1" applyAlignment="1">
      <alignment horizontal="center" vertical="top"/>
      <protection/>
    </xf>
    <xf numFmtId="41" fontId="32" fillId="0" borderId="32" xfId="72" applyNumberFormat="1" applyFont="1" applyFill="1" applyBorder="1" applyAlignment="1">
      <alignment horizontal="center" vertical="top"/>
      <protection/>
    </xf>
    <xf numFmtId="41" fontId="32" fillId="0" borderId="19" xfId="72" applyNumberFormat="1" applyFont="1" applyFill="1" applyBorder="1" applyAlignment="1">
      <alignment horizontal="center" vertical="top"/>
      <protection/>
    </xf>
    <xf numFmtId="171" fontId="20" fillId="0" borderId="19" xfId="42" applyNumberFormat="1" applyFont="1" applyBorder="1" applyAlignment="1">
      <alignment horizontal="center"/>
    </xf>
    <xf numFmtId="0" fontId="17" fillId="0" borderId="19" xfId="0" applyFont="1" applyFill="1" applyBorder="1" applyAlignment="1">
      <alignment horizontal="left" wrapText="1"/>
    </xf>
    <xf numFmtId="171" fontId="20" fillId="33" borderId="19" xfId="42" applyNumberFormat="1" applyFont="1" applyFill="1" applyBorder="1" applyAlignment="1">
      <alignment horizontal="center"/>
    </xf>
    <xf numFmtId="171" fontId="20" fillId="0" borderId="20" xfId="42" applyNumberFormat="1" applyFont="1" applyBorder="1" applyAlignment="1">
      <alignment horizontal="center"/>
    </xf>
    <xf numFmtId="171" fontId="20" fillId="0" borderId="32" xfId="42" applyNumberFormat="1" applyFont="1" applyBorder="1" applyAlignment="1">
      <alignment horizontal="center"/>
    </xf>
    <xf numFmtId="171" fontId="20" fillId="33" borderId="20" xfId="42" applyNumberFormat="1" applyFont="1" applyFill="1" applyBorder="1" applyAlignment="1">
      <alignment horizontal="center"/>
    </xf>
    <xf numFmtId="171" fontId="20" fillId="33" borderId="32" xfId="42" applyNumberFormat="1" applyFont="1" applyFill="1" applyBorder="1" applyAlignment="1">
      <alignment horizontal="center"/>
    </xf>
    <xf numFmtId="0" fontId="17" fillId="0" borderId="20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0" fontId="17" fillId="0" borderId="32" xfId="0" applyFont="1" applyBorder="1" applyAlignment="1">
      <alignment horizontal="left"/>
    </xf>
    <xf numFmtId="171" fontId="23" fillId="33" borderId="19" xfId="42" applyNumberFormat="1" applyFont="1" applyFill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171" fontId="18" fillId="0" borderId="39" xfId="42" applyNumberFormat="1" applyFont="1" applyBorder="1" applyAlignment="1">
      <alignment horizontal="center"/>
    </xf>
    <xf numFmtId="171" fontId="18" fillId="0" borderId="33" xfId="42" applyNumberFormat="1" applyFont="1" applyBorder="1" applyAlignment="1">
      <alignment horizontal="center"/>
    </xf>
    <xf numFmtId="171" fontId="18" fillId="0" borderId="35" xfId="42" applyNumberFormat="1" applyFont="1" applyBorder="1" applyAlignment="1">
      <alignment horizontal="center"/>
    </xf>
    <xf numFmtId="171" fontId="18" fillId="0" borderId="37" xfId="42" applyNumberFormat="1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left" wrapText="1"/>
    </xf>
    <xf numFmtId="0" fontId="17" fillId="0" borderId="31" xfId="0" applyFont="1" applyBorder="1" applyAlignment="1">
      <alignment horizontal="left" wrapText="1"/>
    </xf>
    <xf numFmtId="0" fontId="17" fillId="0" borderId="32" xfId="0" applyFont="1" applyBorder="1" applyAlignment="1">
      <alignment horizontal="left" wrapText="1"/>
    </xf>
    <xf numFmtId="0" fontId="18" fillId="0" borderId="2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171" fontId="17" fillId="0" borderId="52" xfId="42" applyNumberFormat="1" applyFont="1" applyBorder="1" applyAlignment="1">
      <alignment horizontal="center"/>
    </xf>
    <xf numFmtId="171" fontId="17" fillId="33" borderId="52" xfId="42" applyNumberFormat="1" applyFont="1" applyFill="1" applyBorder="1" applyAlignment="1">
      <alignment horizontal="center"/>
    </xf>
    <xf numFmtId="171" fontId="17" fillId="0" borderId="53" xfId="42" applyNumberFormat="1" applyFont="1" applyBorder="1" applyAlignment="1">
      <alignment horizontal="center"/>
    </xf>
    <xf numFmtId="171" fontId="17" fillId="33" borderId="53" xfId="42" applyNumberFormat="1" applyFont="1" applyFill="1" applyBorder="1" applyAlignment="1">
      <alignment horizontal="center"/>
    </xf>
    <xf numFmtId="171" fontId="17" fillId="0" borderId="54" xfId="42" applyNumberFormat="1" applyFont="1" applyBorder="1" applyAlignment="1">
      <alignment horizontal="center"/>
    </xf>
    <xf numFmtId="171" fontId="17" fillId="33" borderId="54" xfId="42" applyNumberFormat="1" applyFont="1" applyFill="1" applyBorder="1" applyAlignment="1">
      <alignment horizontal="center"/>
    </xf>
    <xf numFmtId="0" fontId="18" fillId="0" borderId="19" xfId="0" applyFont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171" fontId="28" fillId="0" borderId="19" xfId="42" applyNumberFormat="1" applyFont="1" applyBorder="1" applyAlignment="1">
      <alignment horizontal="center"/>
    </xf>
    <xf numFmtId="171" fontId="17" fillId="0" borderId="19" xfId="42" applyNumberFormat="1" applyFont="1" applyBorder="1" applyAlignment="1">
      <alignment horizontal="center" vertical="center" wrapText="1"/>
    </xf>
    <xf numFmtId="171" fontId="17" fillId="33" borderId="19" xfId="42" applyNumberFormat="1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left"/>
    </xf>
    <xf numFmtId="171" fontId="18" fillId="0" borderId="19" xfId="42" applyNumberFormat="1" applyFont="1" applyBorder="1" applyAlignment="1">
      <alignment horizontal="center"/>
    </xf>
    <xf numFmtId="171" fontId="18" fillId="33" borderId="19" xfId="42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171" fontId="7" fillId="0" borderId="0" xfId="42" applyNumberFormat="1" applyFont="1" applyAlignment="1">
      <alignment horizontal="center"/>
    </xf>
    <xf numFmtId="171" fontId="7" fillId="0" borderId="0" xfId="42" applyNumberFormat="1" applyFont="1" applyAlignment="1">
      <alignment horizontal="center"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2" xfId="46"/>
    <cellStyle name="Comma 3" xfId="47"/>
    <cellStyle name="Comma 4" xfId="48"/>
    <cellStyle name="Comma 5" xfId="49"/>
    <cellStyle name="Comma 6" xfId="50"/>
    <cellStyle name="Comma 7" xfId="51"/>
    <cellStyle name="Comma 8" xfId="52"/>
    <cellStyle name="Comma 9" xfId="53"/>
    <cellStyle name="Currency" xfId="54"/>
    <cellStyle name="Currency [0]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2" xfId="67"/>
    <cellStyle name="Normal 3" xfId="68"/>
    <cellStyle name="Normal 4" xfId="69"/>
    <cellStyle name="Normal 5" xfId="70"/>
    <cellStyle name="Normal 6" xfId="71"/>
    <cellStyle name="Normal_Bao cao tai chinh 280405" xfId="72"/>
    <cellStyle name="Normal_BCDSPS" xfId="73"/>
    <cellStyle name="Normal_Sheet1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n\LUU%20(D)\thong%20tin%20chung%20khoan\tmbc%20bao%20cao%20tc%20quy%204%20nam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MBCTC"/>
    </sheetNames>
    <sheetDataSet>
      <sheetData sheetId="0">
        <row r="38">
          <cell r="C38">
            <v>0</v>
          </cell>
        </row>
        <row r="53">
          <cell r="E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31">
      <selection activeCell="E48" sqref="E48"/>
    </sheetView>
  </sheetViews>
  <sheetFormatPr defaultColWidth="9.00390625" defaultRowHeight="15.75"/>
  <cols>
    <col min="1" max="1" width="5.25390625" style="0" customWidth="1"/>
    <col min="2" max="2" width="35.875" style="0" customWidth="1"/>
    <col min="3" max="3" width="9.25390625" style="0" customWidth="1"/>
    <col min="4" max="4" width="8.50390625" style="0" customWidth="1"/>
    <col min="5" max="5" width="13.00390625" style="0" customWidth="1"/>
    <col min="6" max="6" width="12.25390625" style="0" customWidth="1"/>
    <col min="7" max="7" width="13.00390625" style="0" customWidth="1"/>
    <col min="8" max="8" width="12.625" style="0" customWidth="1"/>
  </cols>
  <sheetData>
    <row r="1" spans="1:8" ht="15.75">
      <c r="A1" s="224" t="s">
        <v>565</v>
      </c>
      <c r="B1" s="224"/>
      <c r="C1" s="224"/>
      <c r="D1" s="224"/>
      <c r="E1" s="224"/>
      <c r="F1" s="224"/>
      <c r="G1" s="224"/>
      <c r="H1" s="224"/>
    </row>
    <row r="2" spans="1:8" ht="25.5">
      <c r="A2" s="223" t="s">
        <v>0</v>
      </c>
      <c r="B2" s="223"/>
      <c r="C2" s="223"/>
      <c r="D2" s="223"/>
      <c r="E2" s="223"/>
      <c r="F2" s="223"/>
      <c r="G2" s="223"/>
      <c r="H2" s="223"/>
    </row>
    <row r="3" spans="1:8" ht="16.5" thickBot="1">
      <c r="A3" s="204"/>
      <c r="B3" s="204"/>
      <c r="C3" s="204"/>
      <c r="D3" s="204"/>
      <c r="E3" s="204"/>
      <c r="F3" s="204"/>
      <c r="G3" s="204"/>
      <c r="H3" s="204"/>
    </row>
    <row r="4" spans="1:8" ht="15.75">
      <c r="A4" s="225" t="s">
        <v>566</v>
      </c>
      <c r="B4" s="227" t="s">
        <v>2</v>
      </c>
      <c r="C4" s="227" t="s">
        <v>4</v>
      </c>
      <c r="D4" s="227"/>
      <c r="E4" s="227" t="s">
        <v>567</v>
      </c>
      <c r="F4" s="227"/>
      <c r="G4" s="227" t="s">
        <v>6</v>
      </c>
      <c r="H4" s="229"/>
    </row>
    <row r="5" spans="1:8" ht="15.75">
      <c r="A5" s="226"/>
      <c r="B5" s="228"/>
      <c r="C5" s="205" t="s">
        <v>3</v>
      </c>
      <c r="D5" s="205" t="s">
        <v>5</v>
      </c>
      <c r="E5" s="205" t="s">
        <v>3</v>
      </c>
      <c r="F5" s="205" t="s">
        <v>5</v>
      </c>
      <c r="G5" s="205" t="s">
        <v>3</v>
      </c>
      <c r="H5" s="206" t="s">
        <v>5</v>
      </c>
    </row>
    <row r="6" spans="1:8" ht="15.75">
      <c r="A6" s="207">
        <v>111</v>
      </c>
      <c r="B6" s="208" t="s">
        <v>568</v>
      </c>
      <c r="C6" s="209">
        <v>0</v>
      </c>
      <c r="D6" s="209">
        <v>0</v>
      </c>
      <c r="E6" s="209">
        <v>200000000</v>
      </c>
      <c r="F6" s="209">
        <v>29943000</v>
      </c>
      <c r="G6" s="209">
        <f>G7</f>
        <v>168057000</v>
      </c>
      <c r="H6" s="210">
        <v>0</v>
      </c>
    </row>
    <row r="7" spans="1:8" ht="15.75">
      <c r="A7" s="211">
        <v>1111</v>
      </c>
      <c r="B7" s="212" t="s">
        <v>569</v>
      </c>
      <c r="C7" s="213">
        <v>0</v>
      </c>
      <c r="D7" s="213">
        <v>0</v>
      </c>
      <c r="E7" s="213">
        <v>200000000</v>
      </c>
      <c r="F7" s="213">
        <v>31943000</v>
      </c>
      <c r="G7" s="213">
        <f>E7-F7</f>
        <v>168057000</v>
      </c>
      <c r="H7" s="214">
        <v>0</v>
      </c>
    </row>
    <row r="8" spans="1:8" ht="15.75">
      <c r="A8" s="192">
        <v>112</v>
      </c>
      <c r="B8" s="193" t="s">
        <v>464</v>
      </c>
      <c r="C8" s="213"/>
      <c r="D8" s="213"/>
      <c r="E8" s="213">
        <v>2000000</v>
      </c>
      <c r="F8" s="213"/>
      <c r="G8" s="213">
        <f>E8</f>
        <v>2000000</v>
      </c>
      <c r="H8" s="214"/>
    </row>
    <row r="9" spans="1:8" ht="15.75">
      <c r="A9" s="207">
        <v>131</v>
      </c>
      <c r="B9" s="208" t="s">
        <v>570</v>
      </c>
      <c r="C9" s="209">
        <v>0</v>
      </c>
      <c r="D9" s="209">
        <v>0</v>
      </c>
      <c r="E9" s="209">
        <v>213518800</v>
      </c>
      <c r="F9" s="209">
        <v>0</v>
      </c>
      <c r="G9" s="209">
        <v>213518800</v>
      </c>
      <c r="H9" s="210">
        <v>0</v>
      </c>
    </row>
    <row r="10" spans="1:8" ht="15.75">
      <c r="A10" s="207">
        <v>133</v>
      </c>
      <c r="B10" s="208" t="s">
        <v>571</v>
      </c>
      <c r="C10" s="209">
        <v>0</v>
      </c>
      <c r="D10" s="209">
        <v>0</v>
      </c>
      <c r="E10" s="209">
        <v>146389000</v>
      </c>
      <c r="F10" s="209">
        <v>146090800</v>
      </c>
      <c r="G10" s="209">
        <v>298200</v>
      </c>
      <c r="H10" s="210">
        <v>0</v>
      </c>
    </row>
    <row r="11" spans="1:8" ht="15.75">
      <c r="A11" s="207">
        <v>1331</v>
      </c>
      <c r="B11" s="208" t="s">
        <v>572</v>
      </c>
      <c r="C11" s="209">
        <v>0</v>
      </c>
      <c r="D11" s="209">
        <v>0</v>
      </c>
      <c r="E11" s="209">
        <v>146389000</v>
      </c>
      <c r="F11" s="209">
        <v>146090800</v>
      </c>
      <c r="G11" s="209">
        <v>298200</v>
      </c>
      <c r="H11" s="210">
        <v>0</v>
      </c>
    </row>
    <row r="12" spans="1:8" ht="15.75">
      <c r="A12" s="211">
        <v>13311</v>
      </c>
      <c r="B12" s="212" t="s">
        <v>572</v>
      </c>
      <c r="C12" s="213">
        <v>0</v>
      </c>
      <c r="D12" s="213">
        <v>0</v>
      </c>
      <c r="E12" s="213">
        <v>146389000</v>
      </c>
      <c r="F12" s="213">
        <v>146090800</v>
      </c>
      <c r="G12" s="213">
        <v>298200</v>
      </c>
      <c r="H12" s="214">
        <v>0</v>
      </c>
    </row>
    <row r="13" spans="1:8" ht="15.75">
      <c r="A13" s="207">
        <v>136</v>
      </c>
      <c r="B13" s="208" t="s">
        <v>573</v>
      </c>
      <c r="C13" s="209">
        <v>0</v>
      </c>
      <c r="D13" s="209">
        <v>0</v>
      </c>
      <c r="E13" s="209">
        <v>1393480000</v>
      </c>
      <c r="F13" s="209">
        <v>0</v>
      </c>
      <c r="G13" s="209">
        <v>1393480000</v>
      </c>
      <c r="H13" s="210">
        <v>0</v>
      </c>
    </row>
    <row r="14" spans="1:8" ht="15.75">
      <c r="A14" s="211">
        <v>1368</v>
      </c>
      <c r="B14" s="212" t="s">
        <v>574</v>
      </c>
      <c r="C14" s="213">
        <v>0</v>
      </c>
      <c r="D14" s="213">
        <v>0</v>
      </c>
      <c r="E14" s="213">
        <v>1393480000</v>
      </c>
      <c r="F14" s="213">
        <v>0</v>
      </c>
      <c r="G14" s="213">
        <v>1393480000</v>
      </c>
      <c r="H14" s="214">
        <v>0</v>
      </c>
    </row>
    <row r="15" spans="1:8" ht="15.75">
      <c r="A15" s="207">
        <v>138</v>
      </c>
      <c r="B15" s="208" t="s">
        <v>575</v>
      </c>
      <c r="C15" s="209">
        <v>0</v>
      </c>
      <c r="D15" s="209">
        <v>0</v>
      </c>
      <c r="E15" s="209">
        <v>15163358471</v>
      </c>
      <c r="F15" s="209">
        <v>0</v>
      </c>
      <c r="G15" s="209">
        <v>15163358471</v>
      </c>
      <c r="H15" s="210">
        <v>0</v>
      </c>
    </row>
    <row r="16" spans="1:8" ht="15.75">
      <c r="A16" s="211">
        <v>1388</v>
      </c>
      <c r="B16" s="212" t="s">
        <v>575</v>
      </c>
      <c r="C16" s="213">
        <v>0</v>
      </c>
      <c r="D16" s="213">
        <v>0</v>
      </c>
      <c r="E16" s="213">
        <v>15163358471</v>
      </c>
      <c r="F16" s="213">
        <v>0</v>
      </c>
      <c r="G16" s="213">
        <v>15163358471</v>
      </c>
      <c r="H16" s="214">
        <v>0</v>
      </c>
    </row>
    <row r="17" spans="1:8" ht="15.75">
      <c r="A17" s="207">
        <v>152</v>
      </c>
      <c r="B17" s="208" t="s">
        <v>576</v>
      </c>
      <c r="C17" s="209">
        <v>0</v>
      </c>
      <c r="D17" s="209">
        <v>0</v>
      </c>
      <c r="E17" s="209">
        <v>1376020000</v>
      </c>
      <c r="F17" s="209">
        <v>1376020000</v>
      </c>
      <c r="G17" s="209">
        <v>0</v>
      </c>
      <c r="H17" s="210">
        <v>0</v>
      </c>
    </row>
    <row r="18" spans="1:8" ht="15.75">
      <c r="A18" s="211">
        <v>1521</v>
      </c>
      <c r="B18" s="212" t="s">
        <v>577</v>
      </c>
      <c r="C18" s="213">
        <v>0</v>
      </c>
      <c r="D18" s="213">
        <v>0</v>
      </c>
      <c r="E18" s="213">
        <v>1376020000</v>
      </c>
      <c r="F18" s="213">
        <v>1376020000</v>
      </c>
      <c r="G18" s="213">
        <v>0</v>
      </c>
      <c r="H18" s="214">
        <v>0</v>
      </c>
    </row>
    <row r="19" spans="1:8" ht="15.75">
      <c r="A19" s="207">
        <v>153</v>
      </c>
      <c r="B19" s="208" t="s">
        <v>578</v>
      </c>
      <c r="C19" s="209">
        <v>0</v>
      </c>
      <c r="D19" s="209">
        <v>0</v>
      </c>
      <c r="E19" s="209">
        <v>34000000</v>
      </c>
      <c r="F19" s="209">
        <f>F20</f>
        <v>2833333</v>
      </c>
      <c r="G19" s="209">
        <f>G20</f>
        <v>31166667</v>
      </c>
      <c r="H19" s="210">
        <v>0</v>
      </c>
    </row>
    <row r="20" spans="1:8" ht="15.75">
      <c r="A20" s="211">
        <v>1531</v>
      </c>
      <c r="B20" s="212" t="s">
        <v>578</v>
      </c>
      <c r="C20" s="213">
        <v>0</v>
      </c>
      <c r="D20" s="213">
        <v>0</v>
      </c>
      <c r="E20" s="213">
        <v>34000000</v>
      </c>
      <c r="F20" s="213">
        <v>2833333</v>
      </c>
      <c r="G20" s="213">
        <f>E20-F20</f>
        <v>31166667</v>
      </c>
      <c r="H20" s="214">
        <v>0</v>
      </c>
    </row>
    <row r="21" spans="1:8" ht="15.75">
      <c r="A21" s="207">
        <v>211</v>
      </c>
      <c r="B21" s="208" t="s">
        <v>579</v>
      </c>
      <c r="C21" s="209">
        <v>0</v>
      </c>
      <c r="D21" s="209">
        <v>0</v>
      </c>
      <c r="E21" s="209">
        <v>9871641529</v>
      </c>
      <c r="F21" s="209">
        <v>0</v>
      </c>
      <c r="G21" s="209">
        <v>9871641529</v>
      </c>
      <c r="H21" s="210">
        <v>0</v>
      </c>
    </row>
    <row r="22" spans="1:8" ht="15.75">
      <c r="A22" s="211">
        <v>2112</v>
      </c>
      <c r="B22" s="212" t="s">
        <v>580</v>
      </c>
      <c r="C22" s="213">
        <v>0</v>
      </c>
      <c r="D22" s="213">
        <v>0</v>
      </c>
      <c r="E22" s="213">
        <v>7592897482</v>
      </c>
      <c r="F22" s="213">
        <v>0</v>
      </c>
      <c r="G22" s="213">
        <v>7592897482</v>
      </c>
      <c r="H22" s="214">
        <v>0</v>
      </c>
    </row>
    <row r="23" spans="1:8" ht="15.75">
      <c r="A23" s="211">
        <v>2114</v>
      </c>
      <c r="B23" s="212" t="s">
        <v>581</v>
      </c>
      <c r="C23" s="213">
        <v>0</v>
      </c>
      <c r="D23" s="213">
        <v>0</v>
      </c>
      <c r="E23" s="213">
        <v>700886900</v>
      </c>
      <c r="F23" s="213">
        <v>0</v>
      </c>
      <c r="G23" s="213">
        <v>700886900</v>
      </c>
      <c r="H23" s="214">
        <v>0</v>
      </c>
    </row>
    <row r="24" spans="1:8" ht="15.75">
      <c r="A24" s="211">
        <v>2115</v>
      </c>
      <c r="B24" s="212" t="s">
        <v>582</v>
      </c>
      <c r="C24" s="213">
        <v>0</v>
      </c>
      <c r="D24" s="213">
        <v>0</v>
      </c>
      <c r="E24" s="213">
        <v>35000000</v>
      </c>
      <c r="F24" s="213">
        <v>0</v>
      </c>
      <c r="G24" s="213">
        <v>35000000</v>
      </c>
      <c r="H24" s="214">
        <v>0</v>
      </c>
    </row>
    <row r="25" spans="1:8" ht="15.75">
      <c r="A25" s="211">
        <v>2118</v>
      </c>
      <c r="B25" s="212" t="s">
        <v>583</v>
      </c>
      <c r="C25" s="213">
        <v>0</v>
      </c>
      <c r="D25" s="213">
        <v>0</v>
      </c>
      <c r="E25" s="213">
        <v>1542857147</v>
      </c>
      <c r="F25" s="213">
        <v>0</v>
      </c>
      <c r="G25" s="213">
        <v>1542857147</v>
      </c>
      <c r="H25" s="214">
        <v>0</v>
      </c>
    </row>
    <row r="26" spans="1:8" ht="15.75">
      <c r="A26" s="207">
        <v>214</v>
      </c>
      <c r="B26" s="208" t="s">
        <v>584</v>
      </c>
      <c r="C26" s="209">
        <v>0</v>
      </c>
      <c r="D26" s="209">
        <v>0</v>
      </c>
      <c r="E26" s="209">
        <v>0</v>
      </c>
      <c r="F26" s="209">
        <f>F27+F28</f>
        <v>42298045</v>
      </c>
      <c r="G26" s="209">
        <v>0</v>
      </c>
      <c r="H26" s="210">
        <f>H27+H28</f>
        <v>42298045</v>
      </c>
    </row>
    <row r="27" spans="1:8" ht="15.75">
      <c r="A27" s="211">
        <v>2141</v>
      </c>
      <c r="B27" s="212" t="s">
        <v>585</v>
      </c>
      <c r="C27" s="213">
        <v>0</v>
      </c>
      <c r="D27" s="213">
        <v>0</v>
      </c>
      <c r="E27" s="213">
        <v>0</v>
      </c>
      <c r="F27" s="213">
        <v>29863292</v>
      </c>
      <c r="G27" s="213">
        <v>0</v>
      </c>
      <c r="H27" s="214">
        <f>F27</f>
        <v>29863292</v>
      </c>
    </row>
    <row r="28" spans="1:8" ht="15.75">
      <c r="A28" s="211">
        <v>2142</v>
      </c>
      <c r="B28" s="212" t="s">
        <v>586</v>
      </c>
      <c r="C28" s="213">
        <v>0</v>
      </c>
      <c r="D28" s="213">
        <v>0</v>
      </c>
      <c r="E28" s="213">
        <v>0</v>
      </c>
      <c r="F28" s="213">
        <v>12434753</v>
      </c>
      <c r="G28" s="213">
        <v>0</v>
      </c>
      <c r="H28" s="214">
        <f>F28</f>
        <v>12434753</v>
      </c>
    </row>
    <row r="29" spans="1:8" ht="15.75">
      <c r="A29" s="207">
        <v>331</v>
      </c>
      <c r="B29" s="208" t="s">
        <v>587</v>
      </c>
      <c r="C29" s="209">
        <v>0</v>
      </c>
      <c r="D29" s="209">
        <v>0</v>
      </c>
      <c r="E29" s="209">
        <v>0</v>
      </c>
      <c r="F29" s="209">
        <v>1412070000</v>
      </c>
      <c r="G29" s="209">
        <v>0</v>
      </c>
      <c r="H29" s="210">
        <v>1412070000</v>
      </c>
    </row>
    <row r="30" spans="1:8" ht="15.75">
      <c r="A30" s="207">
        <v>333</v>
      </c>
      <c r="B30" s="208" t="s">
        <v>588</v>
      </c>
      <c r="C30" s="209">
        <v>0</v>
      </c>
      <c r="D30" s="209">
        <v>0</v>
      </c>
      <c r="E30" s="209">
        <v>147590800</v>
      </c>
      <c r="F30" s="209">
        <v>147590800</v>
      </c>
      <c r="G30" s="209">
        <v>0</v>
      </c>
      <c r="H30" s="210">
        <v>0</v>
      </c>
    </row>
    <row r="31" spans="1:8" ht="15.75">
      <c r="A31" s="207">
        <v>3331</v>
      </c>
      <c r="B31" s="208" t="s">
        <v>589</v>
      </c>
      <c r="C31" s="209">
        <v>0</v>
      </c>
      <c r="D31" s="209">
        <v>0</v>
      </c>
      <c r="E31" s="209">
        <v>146090800</v>
      </c>
      <c r="F31" s="209">
        <v>146090800</v>
      </c>
      <c r="G31" s="209">
        <v>0</v>
      </c>
      <c r="H31" s="210">
        <f>H33</f>
        <v>2340124</v>
      </c>
    </row>
    <row r="32" spans="1:8" ht="15.75">
      <c r="A32" s="211">
        <v>33311</v>
      </c>
      <c r="B32" s="212" t="s">
        <v>590</v>
      </c>
      <c r="C32" s="213">
        <v>0</v>
      </c>
      <c r="D32" s="213">
        <v>0</v>
      </c>
      <c r="E32" s="213">
        <v>146090800</v>
      </c>
      <c r="F32" s="213">
        <v>146090800</v>
      </c>
      <c r="G32" s="213">
        <v>0</v>
      </c>
      <c r="H32" s="214">
        <v>0</v>
      </c>
    </row>
    <row r="33" spans="1:8" ht="15.75">
      <c r="A33" s="211">
        <v>3334</v>
      </c>
      <c r="B33" s="212" t="s">
        <v>609</v>
      </c>
      <c r="C33" s="213"/>
      <c r="D33" s="213"/>
      <c r="E33" s="213"/>
      <c r="F33" s="213">
        <v>2340124</v>
      </c>
      <c r="G33" s="213"/>
      <c r="H33" s="214">
        <f>F33</f>
        <v>2340124</v>
      </c>
    </row>
    <row r="34" spans="1:8" ht="15.75">
      <c r="A34" s="211">
        <v>3338</v>
      </c>
      <c r="B34" s="212" t="s">
        <v>606</v>
      </c>
      <c r="C34" s="213">
        <v>0</v>
      </c>
      <c r="D34" s="213">
        <v>0</v>
      </c>
      <c r="E34" s="213">
        <v>1500000</v>
      </c>
      <c r="F34" s="213">
        <v>1500000</v>
      </c>
      <c r="G34" s="213">
        <v>0</v>
      </c>
      <c r="H34" s="214">
        <v>0</v>
      </c>
    </row>
    <row r="35" spans="1:8" ht="15.75">
      <c r="A35" s="207">
        <v>334</v>
      </c>
      <c r="B35" s="208" t="s">
        <v>591</v>
      </c>
      <c r="C35" s="209">
        <v>0</v>
      </c>
      <c r="D35" s="209">
        <v>0</v>
      </c>
      <c r="E35" s="209">
        <v>7500000</v>
      </c>
      <c r="F35" s="209">
        <v>7500000</v>
      </c>
      <c r="G35" s="209">
        <v>0</v>
      </c>
      <c r="H35" s="210">
        <v>0</v>
      </c>
    </row>
    <row r="36" spans="1:8" ht="15.75">
      <c r="A36" s="211">
        <v>3341</v>
      </c>
      <c r="B36" s="212" t="s">
        <v>592</v>
      </c>
      <c r="C36" s="213">
        <v>0</v>
      </c>
      <c r="D36" s="213">
        <v>0</v>
      </c>
      <c r="E36" s="213">
        <v>7500000</v>
      </c>
      <c r="F36" s="213">
        <v>7500000</v>
      </c>
      <c r="G36" s="213">
        <v>0</v>
      </c>
      <c r="H36" s="214">
        <v>0</v>
      </c>
    </row>
    <row r="37" spans="1:8" ht="15.75">
      <c r="A37" s="207">
        <v>336</v>
      </c>
      <c r="B37" s="208" t="s">
        <v>593</v>
      </c>
      <c r="C37" s="209">
        <v>0</v>
      </c>
      <c r="D37" s="209">
        <v>0</v>
      </c>
      <c r="E37" s="209">
        <v>0</v>
      </c>
      <c r="F37" s="209">
        <v>177452000</v>
      </c>
      <c r="G37" s="209">
        <v>0</v>
      </c>
      <c r="H37" s="210">
        <v>177452000</v>
      </c>
    </row>
    <row r="38" spans="1:8" ht="15.75">
      <c r="A38" s="207">
        <v>338</v>
      </c>
      <c r="B38" s="208" t="s">
        <v>594</v>
      </c>
      <c r="C38" s="209">
        <v>0</v>
      </c>
      <c r="D38" s="209">
        <v>0</v>
      </c>
      <c r="E38" s="209">
        <v>0</v>
      </c>
      <c r="F38" s="209">
        <v>200000000</v>
      </c>
      <c r="G38" s="209">
        <v>0</v>
      </c>
      <c r="H38" s="210">
        <v>200000000</v>
      </c>
    </row>
    <row r="39" spans="1:8" ht="15.75">
      <c r="A39" s="211">
        <v>3388</v>
      </c>
      <c r="B39" s="212" t="s">
        <v>594</v>
      </c>
      <c r="C39" s="213">
        <v>0</v>
      </c>
      <c r="D39" s="213">
        <v>0</v>
      </c>
      <c r="E39" s="213">
        <v>0</v>
      </c>
      <c r="F39" s="213">
        <v>200000000</v>
      </c>
      <c r="G39" s="213">
        <v>0</v>
      </c>
      <c r="H39" s="214">
        <v>200000000</v>
      </c>
    </row>
    <row r="40" spans="1:8" ht="15.75">
      <c r="A40" s="207">
        <v>411</v>
      </c>
      <c r="B40" s="208" t="s">
        <v>595</v>
      </c>
      <c r="C40" s="209">
        <v>0</v>
      </c>
      <c r="D40" s="209">
        <v>0</v>
      </c>
      <c r="E40" s="209">
        <v>0</v>
      </c>
      <c r="F40" s="209">
        <v>25000000000</v>
      </c>
      <c r="G40" s="209">
        <v>0</v>
      </c>
      <c r="H40" s="210">
        <v>25000000000</v>
      </c>
    </row>
    <row r="41" spans="1:8" ht="15.75">
      <c r="A41" s="207">
        <v>421</v>
      </c>
      <c r="B41" s="208" t="s">
        <v>596</v>
      </c>
      <c r="C41" s="209">
        <v>0</v>
      </c>
      <c r="D41" s="209">
        <v>0</v>
      </c>
      <c r="E41" s="209">
        <v>0</v>
      </c>
      <c r="F41" s="209">
        <f>F42</f>
        <v>9360498</v>
      </c>
      <c r="G41" s="209">
        <v>0</v>
      </c>
      <c r="H41" s="210">
        <f>H42</f>
        <v>9360498</v>
      </c>
    </row>
    <row r="42" spans="1:8" ht="15.75">
      <c r="A42" s="211">
        <v>4212</v>
      </c>
      <c r="B42" s="212" t="s">
        <v>597</v>
      </c>
      <c r="C42" s="213">
        <v>0</v>
      </c>
      <c r="D42" s="213">
        <v>0</v>
      </c>
      <c r="E42" s="213">
        <v>0</v>
      </c>
      <c r="F42" s="213">
        <v>9360498</v>
      </c>
      <c r="G42" s="213">
        <v>0</v>
      </c>
      <c r="H42" s="214">
        <f>F42</f>
        <v>9360498</v>
      </c>
    </row>
    <row r="43" spans="1:8" ht="15.75">
      <c r="A43" s="207">
        <v>511</v>
      </c>
      <c r="B43" s="208" t="s">
        <v>598</v>
      </c>
      <c r="C43" s="209">
        <v>0</v>
      </c>
      <c r="D43" s="209">
        <v>0</v>
      </c>
      <c r="E43" s="209">
        <v>1460908000</v>
      </c>
      <c r="F43" s="209">
        <v>1460908000</v>
      </c>
      <c r="G43" s="209">
        <v>0</v>
      </c>
      <c r="H43" s="210">
        <v>0</v>
      </c>
    </row>
    <row r="44" spans="1:8" ht="15.75">
      <c r="A44" s="211">
        <v>5112</v>
      </c>
      <c r="B44" s="212" t="s">
        <v>599</v>
      </c>
      <c r="C44" s="213">
        <v>0</v>
      </c>
      <c r="D44" s="213">
        <v>0</v>
      </c>
      <c r="E44" s="213">
        <v>1460908000</v>
      </c>
      <c r="F44" s="213">
        <v>1460908000</v>
      </c>
      <c r="G44" s="213">
        <v>0</v>
      </c>
      <c r="H44" s="214">
        <v>0</v>
      </c>
    </row>
    <row r="45" spans="1:8" ht="15.75">
      <c r="A45" s="207">
        <v>632</v>
      </c>
      <c r="B45" s="208" t="s">
        <v>600</v>
      </c>
      <c r="C45" s="209">
        <v>0</v>
      </c>
      <c r="D45" s="209">
        <v>0</v>
      </c>
      <c r="E45" s="209">
        <f>E46</f>
        <v>1376020000</v>
      </c>
      <c r="F45" s="209">
        <f>F46</f>
        <v>1376020000</v>
      </c>
      <c r="G45" s="209">
        <v>0</v>
      </c>
      <c r="H45" s="210">
        <v>0</v>
      </c>
    </row>
    <row r="46" spans="1:8" ht="15.75">
      <c r="A46" s="211">
        <v>6322</v>
      </c>
      <c r="B46" s="212" t="s">
        <v>601</v>
      </c>
      <c r="C46" s="213">
        <v>0</v>
      </c>
      <c r="D46" s="213">
        <v>0</v>
      </c>
      <c r="E46" s="213">
        <v>1376020000</v>
      </c>
      <c r="F46" s="213">
        <f>E46</f>
        <v>1376020000</v>
      </c>
      <c r="G46" s="213">
        <v>0</v>
      </c>
      <c r="H46" s="214">
        <v>0</v>
      </c>
    </row>
    <row r="47" spans="1:8" ht="15.75">
      <c r="A47" s="207">
        <v>642</v>
      </c>
      <c r="B47" s="208" t="s">
        <v>602</v>
      </c>
      <c r="C47" s="209">
        <v>0</v>
      </c>
      <c r="D47" s="209">
        <v>0</v>
      </c>
      <c r="E47" s="209">
        <f>73187372+6</f>
        <v>73187378</v>
      </c>
      <c r="F47" s="209">
        <f>E47</f>
        <v>73187378</v>
      </c>
      <c r="G47" s="209">
        <v>0</v>
      </c>
      <c r="H47" s="210">
        <v>0</v>
      </c>
    </row>
    <row r="48" spans="1:8" ht="15.75">
      <c r="A48" s="207">
        <v>821</v>
      </c>
      <c r="B48" s="208" t="s">
        <v>603</v>
      </c>
      <c r="C48" s="209">
        <v>0</v>
      </c>
      <c r="D48" s="209">
        <v>0</v>
      </c>
      <c r="E48" s="209">
        <v>2340124</v>
      </c>
      <c r="F48" s="209">
        <v>2340124</v>
      </c>
      <c r="G48" s="209">
        <v>0</v>
      </c>
      <c r="H48" s="210">
        <v>0</v>
      </c>
    </row>
    <row r="49" spans="1:8" ht="16.5" thickBot="1">
      <c r="A49" s="215">
        <v>911</v>
      </c>
      <c r="B49" s="216" t="s">
        <v>604</v>
      </c>
      <c r="C49" s="217">
        <v>0</v>
      </c>
      <c r="D49" s="217">
        <v>0</v>
      </c>
      <c r="E49" s="217">
        <v>1460908000</v>
      </c>
      <c r="F49" s="217">
        <v>1460908000</v>
      </c>
      <c r="G49" s="217">
        <v>0</v>
      </c>
      <c r="H49" s="218">
        <v>0</v>
      </c>
    </row>
    <row r="50" ht="15.75">
      <c r="F50" s="221">
        <f>F48+F42</f>
        <v>11700622</v>
      </c>
    </row>
    <row r="51" ht="15.75">
      <c r="F51" s="221"/>
    </row>
  </sheetData>
  <sheetProtection/>
  <mergeCells count="7">
    <mergeCell ref="A2:H2"/>
    <mergeCell ref="A1:H1"/>
    <mergeCell ref="A4:A5"/>
    <mergeCell ref="B4:B5"/>
    <mergeCell ref="C4:D4"/>
    <mergeCell ref="E4:F4"/>
    <mergeCell ref="G4:H4"/>
  </mergeCells>
  <printOptions/>
  <pageMargins left="0.28" right="0.75" top="0.23" bottom="0.29" header="0.22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F67" sqref="F67"/>
    </sheetView>
  </sheetViews>
  <sheetFormatPr defaultColWidth="9.00390625" defaultRowHeight="15.75"/>
  <cols>
    <col min="1" max="1" width="7.625" style="0" customWidth="1"/>
    <col min="2" max="2" width="36.375" style="0" customWidth="1"/>
    <col min="3" max="3" width="12.25390625" style="0" customWidth="1"/>
    <col min="4" max="4" width="11.875" style="0" customWidth="1"/>
    <col min="5" max="6" width="15.75390625" style="0" customWidth="1"/>
    <col min="7" max="7" width="14.00390625" style="0" bestFit="1" customWidth="1"/>
    <col min="8" max="8" width="14.25390625" style="0" customWidth="1"/>
    <col min="9" max="9" width="13.00390625" style="0" bestFit="1" customWidth="1"/>
  </cols>
  <sheetData>
    <row r="1" spans="1:8" ht="15.75">
      <c r="A1" s="231" t="s">
        <v>1</v>
      </c>
      <c r="B1" s="231"/>
      <c r="C1" s="231"/>
      <c r="D1" s="231"/>
      <c r="E1" s="231"/>
      <c r="F1" s="231"/>
      <c r="G1" s="231"/>
      <c r="H1" s="231"/>
    </row>
    <row r="2" spans="1:8" ht="27" customHeight="1">
      <c r="A2" s="230" t="s">
        <v>0</v>
      </c>
      <c r="B2" s="230"/>
      <c r="C2" s="230"/>
      <c r="D2" s="230"/>
      <c r="E2" s="230"/>
      <c r="F2" s="230"/>
      <c r="G2" s="230"/>
      <c r="H2" s="230"/>
    </row>
    <row r="3" spans="1:8" ht="16.5" thickBot="1">
      <c r="A3" s="232" t="s">
        <v>559</v>
      </c>
      <c r="B3" s="232"/>
      <c r="C3" s="232"/>
      <c r="D3" s="232"/>
      <c r="E3" s="232"/>
      <c r="F3" s="232"/>
      <c r="G3" s="232"/>
      <c r="H3" s="232"/>
    </row>
    <row r="4" spans="1:8" ht="15.75">
      <c r="A4" s="233" t="s">
        <v>459</v>
      </c>
      <c r="B4" s="235" t="s">
        <v>2</v>
      </c>
      <c r="C4" s="235" t="s">
        <v>4</v>
      </c>
      <c r="D4" s="235"/>
      <c r="E4" s="235" t="s">
        <v>460</v>
      </c>
      <c r="F4" s="235"/>
      <c r="G4" s="235" t="s">
        <v>461</v>
      </c>
      <c r="H4" s="237"/>
    </row>
    <row r="5" spans="1:8" ht="15.75">
      <c r="A5" s="234"/>
      <c r="B5" s="236"/>
      <c r="C5" s="189" t="s">
        <v>3</v>
      </c>
      <c r="D5" s="190" t="s">
        <v>5</v>
      </c>
      <c r="E5" s="189" t="s">
        <v>3</v>
      </c>
      <c r="F5" s="190" t="s">
        <v>5</v>
      </c>
      <c r="G5" s="189" t="s">
        <v>3</v>
      </c>
      <c r="H5" s="191" t="s">
        <v>5</v>
      </c>
    </row>
    <row r="6" spans="1:8" ht="15.75">
      <c r="A6" s="192">
        <v>111</v>
      </c>
      <c r="B6" s="193" t="s">
        <v>462</v>
      </c>
      <c r="C6" s="194">
        <v>96810053</v>
      </c>
      <c r="D6" s="194">
        <v>0</v>
      </c>
      <c r="E6" s="194">
        <v>42125513075</v>
      </c>
      <c r="F6" s="194">
        <v>42072026798</v>
      </c>
      <c r="G6" s="194">
        <v>150296330</v>
      </c>
      <c r="H6" s="195">
        <v>0</v>
      </c>
    </row>
    <row r="7" spans="1:8" ht="15.75">
      <c r="A7" s="196">
        <v>1111</v>
      </c>
      <c r="B7" s="197" t="s">
        <v>463</v>
      </c>
      <c r="C7" s="198">
        <v>96810053</v>
      </c>
      <c r="D7" s="198">
        <v>0</v>
      </c>
      <c r="E7" s="198">
        <v>42125513075</v>
      </c>
      <c r="F7" s="198">
        <v>42072026798</v>
      </c>
      <c r="G7" s="198">
        <v>150296330</v>
      </c>
      <c r="H7" s="199">
        <v>0</v>
      </c>
    </row>
    <row r="8" spans="1:8" ht="15.75">
      <c r="A8" s="192">
        <v>112</v>
      </c>
      <c r="B8" s="193" t="s">
        <v>464</v>
      </c>
      <c r="C8" s="194">
        <v>3173938555</v>
      </c>
      <c r="D8" s="194">
        <v>0</v>
      </c>
      <c r="E8" s="194">
        <v>109156521488</v>
      </c>
      <c r="F8" s="194">
        <v>110968601975</v>
      </c>
      <c r="G8" s="194">
        <v>1361858068</v>
      </c>
      <c r="H8" s="195">
        <v>0</v>
      </c>
    </row>
    <row r="9" spans="1:8" ht="15.75">
      <c r="A9" s="196">
        <v>1121</v>
      </c>
      <c r="B9" s="197" t="s">
        <v>465</v>
      </c>
      <c r="C9" s="198">
        <v>3171825054</v>
      </c>
      <c r="D9" s="198">
        <v>0</v>
      </c>
      <c r="E9" s="198">
        <v>109156521488</v>
      </c>
      <c r="F9" s="198">
        <v>110968601975</v>
      </c>
      <c r="G9" s="198">
        <v>1359744567</v>
      </c>
      <c r="H9" s="199">
        <v>0</v>
      </c>
    </row>
    <row r="10" spans="1:8" ht="15.75">
      <c r="A10" s="196">
        <v>11211</v>
      </c>
      <c r="B10" s="197" t="s">
        <v>466</v>
      </c>
      <c r="C10" s="198">
        <v>3159920126</v>
      </c>
      <c r="D10" s="198">
        <v>0</v>
      </c>
      <c r="E10" s="198">
        <v>26440726588</v>
      </c>
      <c r="F10" s="198">
        <v>29597207530</v>
      </c>
      <c r="G10" s="198">
        <v>3439184</v>
      </c>
      <c r="H10" s="199">
        <v>0</v>
      </c>
    </row>
    <row r="11" spans="1:8" ht="15.75">
      <c r="A11" s="196">
        <v>11212</v>
      </c>
      <c r="B11" s="197" t="s">
        <v>467</v>
      </c>
      <c r="C11" s="198">
        <v>1205790</v>
      </c>
      <c r="D11" s="198">
        <v>0</v>
      </c>
      <c r="E11" s="198">
        <v>0</v>
      </c>
      <c r="F11" s="198">
        <v>1205790</v>
      </c>
      <c r="G11" s="198">
        <v>0</v>
      </c>
      <c r="H11" s="199">
        <v>0</v>
      </c>
    </row>
    <row r="12" spans="1:8" ht="15.75">
      <c r="A12" s="196">
        <v>11213</v>
      </c>
      <c r="B12" s="197" t="s">
        <v>468</v>
      </c>
      <c r="C12" s="198">
        <v>10699138</v>
      </c>
      <c r="D12" s="198">
        <v>0</v>
      </c>
      <c r="E12" s="198">
        <v>76894490179</v>
      </c>
      <c r="F12" s="198">
        <v>75549744751</v>
      </c>
      <c r="G12" s="198">
        <v>1355444566</v>
      </c>
      <c r="H12" s="199">
        <v>0</v>
      </c>
    </row>
    <row r="13" spans="1:8" ht="15.75">
      <c r="A13" s="196">
        <v>11214</v>
      </c>
      <c r="B13" s="197" t="s">
        <v>553</v>
      </c>
      <c r="C13" s="198">
        <v>0</v>
      </c>
      <c r="D13" s="198">
        <v>0</v>
      </c>
      <c r="E13" s="198">
        <v>5821304721</v>
      </c>
      <c r="F13" s="198">
        <v>5820443904</v>
      </c>
      <c r="G13" s="198">
        <v>860817</v>
      </c>
      <c r="H13" s="199">
        <v>0</v>
      </c>
    </row>
    <row r="14" spans="1:8" ht="15.75">
      <c r="A14" s="196">
        <v>1122</v>
      </c>
      <c r="B14" s="197" t="s">
        <v>469</v>
      </c>
      <c r="C14" s="198">
        <v>2113501</v>
      </c>
      <c r="D14" s="198">
        <v>0</v>
      </c>
      <c r="E14" s="198">
        <v>0</v>
      </c>
      <c r="F14" s="198">
        <v>0</v>
      </c>
      <c r="G14" s="198">
        <v>2113501</v>
      </c>
      <c r="H14" s="199">
        <v>0</v>
      </c>
    </row>
    <row r="15" spans="1:8" ht="15.75">
      <c r="A15" s="196">
        <v>11221</v>
      </c>
      <c r="B15" s="197" t="s">
        <v>466</v>
      </c>
      <c r="C15" s="198">
        <v>2113501</v>
      </c>
      <c r="D15" s="198">
        <v>0</v>
      </c>
      <c r="E15" s="198">
        <v>0</v>
      </c>
      <c r="F15" s="198">
        <v>0</v>
      </c>
      <c r="G15" s="198">
        <v>2113501</v>
      </c>
      <c r="H15" s="199">
        <v>0</v>
      </c>
    </row>
    <row r="16" spans="1:8" ht="15.75">
      <c r="A16" s="192">
        <v>131</v>
      </c>
      <c r="B16" s="193" t="s">
        <v>470</v>
      </c>
      <c r="C16" s="194">
        <v>13790457147</v>
      </c>
      <c r="D16" s="194">
        <v>332968000</v>
      </c>
      <c r="E16" s="194">
        <v>65413885422</v>
      </c>
      <c r="F16" s="194">
        <v>65881902419</v>
      </c>
      <c r="G16" s="194">
        <v>13714800150</v>
      </c>
      <c r="H16" s="195">
        <v>725328000</v>
      </c>
    </row>
    <row r="17" spans="1:8" ht="15.75">
      <c r="A17" s="192">
        <v>133</v>
      </c>
      <c r="B17" s="193" t="s">
        <v>471</v>
      </c>
      <c r="C17" s="194">
        <v>0</v>
      </c>
      <c r="D17" s="194">
        <v>0</v>
      </c>
      <c r="E17" s="194">
        <v>5994378522</v>
      </c>
      <c r="F17" s="194">
        <v>4932284159</v>
      </c>
      <c r="G17" s="194">
        <v>1062094363</v>
      </c>
      <c r="H17" s="195">
        <v>0</v>
      </c>
    </row>
    <row r="18" spans="1:8" ht="15.75">
      <c r="A18" s="196">
        <v>1331</v>
      </c>
      <c r="B18" s="197" t="s">
        <v>472</v>
      </c>
      <c r="C18" s="198">
        <v>0</v>
      </c>
      <c r="D18" s="198">
        <v>0</v>
      </c>
      <c r="E18" s="198">
        <v>5994378522</v>
      </c>
      <c r="F18" s="198">
        <v>4932284159</v>
      </c>
      <c r="G18" s="198">
        <v>1062094363</v>
      </c>
      <c r="H18" s="199">
        <v>0</v>
      </c>
    </row>
    <row r="19" spans="1:8" ht="15.75">
      <c r="A19" s="196">
        <v>13311</v>
      </c>
      <c r="B19" s="197" t="s">
        <v>472</v>
      </c>
      <c r="C19" s="198">
        <v>0</v>
      </c>
      <c r="D19" s="198">
        <v>0</v>
      </c>
      <c r="E19" s="198">
        <v>5994378522</v>
      </c>
      <c r="F19" s="198">
        <v>4932284159</v>
      </c>
      <c r="G19" s="198">
        <v>1062094363</v>
      </c>
      <c r="H19" s="199">
        <v>0</v>
      </c>
    </row>
    <row r="20" spans="1:8" ht="15.75">
      <c r="A20" s="192">
        <v>136</v>
      </c>
      <c r="B20" s="193" t="s">
        <v>560</v>
      </c>
      <c r="C20" s="194">
        <v>0</v>
      </c>
      <c r="D20" s="194">
        <v>0</v>
      </c>
      <c r="E20" s="194">
        <v>177452000</v>
      </c>
      <c r="F20" s="194">
        <v>0</v>
      </c>
      <c r="G20" s="194">
        <v>177452000</v>
      </c>
      <c r="H20" s="195">
        <v>0</v>
      </c>
    </row>
    <row r="21" spans="1:8" ht="15.75">
      <c r="A21" s="196">
        <v>1368</v>
      </c>
      <c r="B21" s="197" t="s">
        <v>561</v>
      </c>
      <c r="C21" s="198">
        <v>0</v>
      </c>
      <c r="D21" s="198">
        <v>0</v>
      </c>
      <c r="E21" s="198">
        <v>177452000</v>
      </c>
      <c r="F21" s="198">
        <v>0</v>
      </c>
      <c r="G21" s="198">
        <v>177452000</v>
      </c>
      <c r="H21" s="199">
        <v>0</v>
      </c>
    </row>
    <row r="22" spans="1:8" ht="15.75">
      <c r="A22" s="192">
        <v>138</v>
      </c>
      <c r="B22" s="193" t="s">
        <v>544</v>
      </c>
      <c r="C22" s="194">
        <v>2694675</v>
      </c>
      <c r="D22" s="194">
        <v>0</v>
      </c>
      <c r="E22" s="194">
        <v>4150125</v>
      </c>
      <c r="F22" s="194">
        <v>6844800</v>
      </c>
      <c r="G22" s="194">
        <v>0</v>
      </c>
      <c r="H22" s="195">
        <v>0</v>
      </c>
    </row>
    <row r="23" spans="1:8" ht="15.75">
      <c r="A23" s="196">
        <v>1388</v>
      </c>
      <c r="B23" s="197" t="s">
        <v>544</v>
      </c>
      <c r="C23" s="198">
        <v>2694675</v>
      </c>
      <c r="D23" s="198">
        <v>0</v>
      </c>
      <c r="E23" s="198">
        <v>4150125</v>
      </c>
      <c r="F23" s="198">
        <v>6844800</v>
      </c>
      <c r="G23" s="198">
        <v>0</v>
      </c>
      <c r="H23" s="199">
        <v>0</v>
      </c>
    </row>
    <row r="24" spans="1:8" ht="15.75">
      <c r="A24" s="192">
        <v>139</v>
      </c>
      <c r="B24" s="193" t="s">
        <v>473</v>
      </c>
      <c r="C24" s="194">
        <v>0</v>
      </c>
      <c r="D24" s="194">
        <v>225515550</v>
      </c>
      <c r="E24" s="194">
        <v>225515550</v>
      </c>
      <c r="F24" s="194">
        <v>0</v>
      </c>
      <c r="G24" s="194">
        <v>0</v>
      </c>
      <c r="H24" s="195">
        <v>0</v>
      </c>
    </row>
    <row r="25" spans="1:8" ht="15.75">
      <c r="A25" s="192">
        <v>152</v>
      </c>
      <c r="B25" s="193" t="s">
        <v>474</v>
      </c>
      <c r="C25" s="194">
        <v>18101918632</v>
      </c>
      <c r="D25" s="194">
        <v>0</v>
      </c>
      <c r="E25" s="194">
        <v>39689200780</v>
      </c>
      <c r="F25" s="194">
        <v>40929677192</v>
      </c>
      <c r="G25" s="194">
        <v>16861442220</v>
      </c>
      <c r="H25" s="195">
        <v>0</v>
      </c>
    </row>
    <row r="26" spans="1:8" ht="15.75">
      <c r="A26" s="196">
        <v>1521</v>
      </c>
      <c r="B26" s="197" t="s">
        <v>475</v>
      </c>
      <c r="C26" s="198">
        <v>18101918632</v>
      </c>
      <c r="D26" s="198">
        <v>0</v>
      </c>
      <c r="E26" s="198">
        <v>39689200780</v>
      </c>
      <c r="F26" s="198">
        <v>40929677192</v>
      </c>
      <c r="G26" s="198">
        <v>16861442220</v>
      </c>
      <c r="H26" s="199">
        <v>0</v>
      </c>
    </row>
    <row r="27" spans="1:8" ht="15.75">
      <c r="A27" s="192">
        <v>153</v>
      </c>
      <c r="B27" s="193" t="s">
        <v>476</v>
      </c>
      <c r="C27" s="194">
        <v>0</v>
      </c>
      <c r="D27" s="194">
        <v>0</v>
      </c>
      <c r="E27" s="194">
        <v>27371818</v>
      </c>
      <c r="F27" s="194">
        <v>27371818</v>
      </c>
      <c r="G27" s="194">
        <v>0</v>
      </c>
      <c r="H27" s="195">
        <v>0</v>
      </c>
    </row>
    <row r="28" spans="1:8" ht="15.75">
      <c r="A28" s="196">
        <v>1531</v>
      </c>
      <c r="B28" s="197" t="s">
        <v>476</v>
      </c>
      <c r="C28" s="198">
        <v>0</v>
      </c>
      <c r="D28" s="198">
        <v>0</v>
      </c>
      <c r="E28" s="198">
        <v>27371818</v>
      </c>
      <c r="F28" s="198">
        <v>27371818</v>
      </c>
      <c r="G28" s="198">
        <v>0</v>
      </c>
      <c r="H28" s="199">
        <v>0</v>
      </c>
    </row>
    <row r="29" spans="1:8" ht="15.75">
      <c r="A29" s="192">
        <v>154</v>
      </c>
      <c r="B29" s="193" t="s">
        <v>477</v>
      </c>
      <c r="C29" s="194">
        <v>3626594073</v>
      </c>
      <c r="D29" s="194">
        <v>0</v>
      </c>
      <c r="E29" s="194">
        <v>57627106047</v>
      </c>
      <c r="F29" s="194">
        <v>49514170962</v>
      </c>
      <c r="G29" s="194">
        <v>11739529158</v>
      </c>
      <c r="H29" s="195">
        <v>0</v>
      </c>
    </row>
    <row r="30" spans="1:8" ht="15.75">
      <c r="A30" s="196">
        <v>1541</v>
      </c>
      <c r="B30" s="197" t="s">
        <v>478</v>
      </c>
      <c r="C30" s="198">
        <v>3626594073</v>
      </c>
      <c r="D30" s="198">
        <v>0</v>
      </c>
      <c r="E30" s="198">
        <v>57627106047</v>
      </c>
      <c r="F30" s="198">
        <v>49514170962</v>
      </c>
      <c r="G30" s="198">
        <v>11739529158</v>
      </c>
      <c r="H30" s="199">
        <v>0</v>
      </c>
    </row>
    <row r="31" spans="1:8" ht="15.75">
      <c r="A31" s="192">
        <v>211</v>
      </c>
      <c r="B31" s="193" t="s">
        <v>479</v>
      </c>
      <c r="C31" s="194">
        <v>13448354762</v>
      </c>
      <c r="D31" s="194">
        <v>0</v>
      </c>
      <c r="E31" s="194">
        <v>0</v>
      </c>
      <c r="F31" s="194">
        <v>0</v>
      </c>
      <c r="G31" s="194">
        <v>13448354762</v>
      </c>
      <c r="H31" s="195">
        <v>0</v>
      </c>
    </row>
    <row r="32" spans="1:8" ht="15.75">
      <c r="A32" s="196">
        <v>2111</v>
      </c>
      <c r="B32" s="197" t="s">
        <v>480</v>
      </c>
      <c r="C32" s="198">
        <v>2768845238</v>
      </c>
      <c r="D32" s="198">
        <v>0</v>
      </c>
      <c r="E32" s="198">
        <v>0</v>
      </c>
      <c r="F32" s="198">
        <v>700886900</v>
      </c>
      <c r="G32" s="198">
        <f>C32+E32-F32</f>
        <v>2067958338</v>
      </c>
      <c r="H32" s="199">
        <v>0</v>
      </c>
    </row>
    <row r="33" spans="1:8" ht="15.75">
      <c r="A33" s="196">
        <v>2112</v>
      </c>
      <c r="B33" s="197" t="s">
        <v>481</v>
      </c>
      <c r="C33" s="198">
        <v>8563826118</v>
      </c>
      <c r="D33" s="198">
        <v>0</v>
      </c>
      <c r="E33" s="198">
        <v>0</v>
      </c>
      <c r="F33" s="198">
        <v>7592897482</v>
      </c>
      <c r="G33" s="198">
        <v>8563826118</v>
      </c>
      <c r="H33" s="199">
        <v>0</v>
      </c>
    </row>
    <row r="34" spans="1:8" ht="15.75">
      <c r="A34" s="196">
        <v>2113</v>
      </c>
      <c r="B34" s="197" t="s">
        <v>482</v>
      </c>
      <c r="C34" s="198">
        <v>514750000</v>
      </c>
      <c r="D34" s="198">
        <v>0</v>
      </c>
      <c r="E34" s="198">
        <v>0</v>
      </c>
      <c r="F34" s="198">
        <v>0</v>
      </c>
      <c r="G34" s="198">
        <v>514750000</v>
      </c>
      <c r="H34" s="199">
        <v>0</v>
      </c>
    </row>
    <row r="35" spans="1:8" ht="15.75">
      <c r="A35" s="196">
        <v>2115</v>
      </c>
      <c r="B35" s="197" t="s">
        <v>537</v>
      </c>
      <c r="C35" s="198">
        <v>58076264</v>
      </c>
      <c r="D35" s="198">
        <v>0</v>
      </c>
      <c r="E35" s="198">
        <v>0</v>
      </c>
      <c r="F35" s="198"/>
      <c r="G35" s="198">
        <v>58076264</v>
      </c>
      <c r="H35" s="199">
        <v>0</v>
      </c>
    </row>
    <row r="36" spans="1:8" ht="15.75">
      <c r="A36" s="196">
        <v>2118</v>
      </c>
      <c r="B36" s="197" t="s">
        <v>528</v>
      </c>
      <c r="C36" s="198">
        <v>1542857142</v>
      </c>
      <c r="D36" s="198">
        <v>0</v>
      </c>
      <c r="E36" s="198">
        <v>0</v>
      </c>
      <c r="F36" s="198">
        <v>1542857147</v>
      </c>
      <c r="G36" s="198">
        <v>1542857142</v>
      </c>
      <c r="H36" s="199">
        <v>0</v>
      </c>
    </row>
    <row r="37" spans="1:8" ht="15.75">
      <c r="A37" s="192">
        <v>213</v>
      </c>
      <c r="B37" s="193" t="s">
        <v>483</v>
      </c>
      <c r="C37" s="194">
        <v>112752000</v>
      </c>
      <c r="D37" s="194">
        <v>0</v>
      </c>
      <c r="E37" s="194">
        <v>0</v>
      </c>
      <c r="F37" s="194">
        <v>0</v>
      </c>
      <c r="G37" s="194">
        <v>112752000</v>
      </c>
      <c r="H37" s="195">
        <v>0</v>
      </c>
    </row>
    <row r="38" spans="1:8" ht="15.75">
      <c r="A38" s="196">
        <v>2131</v>
      </c>
      <c r="B38" s="197" t="s">
        <v>484</v>
      </c>
      <c r="C38" s="198">
        <v>112752000</v>
      </c>
      <c r="D38" s="198">
        <v>0</v>
      </c>
      <c r="E38" s="198">
        <v>0</v>
      </c>
      <c r="F38" s="198">
        <v>0</v>
      </c>
      <c r="G38" s="198">
        <v>112752000</v>
      </c>
      <c r="H38" s="199">
        <v>0</v>
      </c>
    </row>
    <row r="39" spans="1:8" ht="15.75">
      <c r="A39" s="192">
        <v>214</v>
      </c>
      <c r="B39" s="193" t="s">
        <v>485</v>
      </c>
      <c r="C39" s="194">
        <v>0</v>
      </c>
      <c r="D39" s="194">
        <v>2340209047</v>
      </c>
      <c r="E39" s="194">
        <v>0</v>
      </c>
      <c r="F39" s="194">
        <v>623566993</v>
      </c>
      <c r="G39" s="194">
        <v>0</v>
      </c>
      <c r="H39" s="195">
        <v>2963776040</v>
      </c>
    </row>
    <row r="40" spans="1:8" ht="15.75">
      <c r="A40" s="196">
        <v>2141</v>
      </c>
      <c r="B40" s="197" t="s">
        <v>486</v>
      </c>
      <c r="C40" s="198">
        <v>0</v>
      </c>
      <c r="D40" s="198">
        <v>2314187796</v>
      </c>
      <c r="E40" s="198">
        <v>0</v>
      </c>
      <c r="F40" s="198">
        <v>614740537</v>
      </c>
      <c r="G40" s="198">
        <v>0</v>
      </c>
      <c r="H40" s="199">
        <v>2928928333</v>
      </c>
    </row>
    <row r="41" spans="1:8" ht="15.75">
      <c r="A41" s="196">
        <v>2143</v>
      </c>
      <c r="B41" s="197" t="s">
        <v>487</v>
      </c>
      <c r="C41" s="198">
        <v>0</v>
      </c>
      <c r="D41" s="198">
        <v>26021251</v>
      </c>
      <c r="E41" s="198">
        <v>0</v>
      </c>
      <c r="F41" s="198">
        <v>8826456</v>
      </c>
      <c r="G41" s="198">
        <v>0</v>
      </c>
      <c r="H41" s="199">
        <v>34847707</v>
      </c>
    </row>
    <row r="42" spans="1:8" ht="15.75">
      <c r="A42" s="196">
        <v>221</v>
      </c>
      <c r="B42" s="197" t="s">
        <v>607</v>
      </c>
      <c r="C42" s="198"/>
      <c r="D42" s="198"/>
      <c r="E42" s="198">
        <v>25000000000</v>
      </c>
      <c r="F42" s="198">
        <v>25000000000</v>
      </c>
      <c r="G42" s="198"/>
      <c r="H42" s="199"/>
    </row>
    <row r="43" spans="1:8" ht="15.75">
      <c r="A43" s="192">
        <v>242</v>
      </c>
      <c r="B43" s="193" t="s">
        <v>548</v>
      </c>
      <c r="C43" s="194">
        <v>162208361</v>
      </c>
      <c r="D43" s="194">
        <v>0</v>
      </c>
      <c r="E43" s="194">
        <v>0</v>
      </c>
      <c r="F43" s="194">
        <v>162208361</v>
      </c>
      <c r="G43" s="194">
        <v>0</v>
      </c>
      <c r="H43" s="195">
        <v>0</v>
      </c>
    </row>
    <row r="44" spans="1:8" ht="15.75">
      <c r="A44" s="192">
        <v>311</v>
      </c>
      <c r="B44" s="193" t="s">
        <v>488</v>
      </c>
      <c r="C44" s="194">
        <v>0</v>
      </c>
      <c r="D44" s="194">
        <v>7997315000</v>
      </c>
      <c r="E44" s="194">
        <v>15593537000</v>
      </c>
      <c r="F44" s="194">
        <v>14896222000</v>
      </c>
      <c r="G44" s="194">
        <v>0</v>
      </c>
      <c r="H44" s="195">
        <v>7300000000</v>
      </c>
    </row>
    <row r="45" spans="1:8" ht="15.75">
      <c r="A45" s="196">
        <v>3113</v>
      </c>
      <c r="B45" s="197" t="s">
        <v>489</v>
      </c>
      <c r="C45" s="198">
        <v>0</v>
      </c>
      <c r="D45" s="198">
        <v>3900000000</v>
      </c>
      <c r="E45" s="198">
        <v>1300000000</v>
      </c>
      <c r="F45" s="198">
        <v>4400000000</v>
      </c>
      <c r="G45" s="198">
        <v>0</v>
      </c>
      <c r="H45" s="199">
        <v>7000000000</v>
      </c>
    </row>
    <row r="46" spans="1:8" ht="15.75">
      <c r="A46" s="196">
        <v>3114</v>
      </c>
      <c r="B46" s="197" t="s">
        <v>490</v>
      </c>
      <c r="C46" s="198">
        <v>0</v>
      </c>
      <c r="D46" s="198">
        <v>4097315000</v>
      </c>
      <c r="E46" s="198">
        <v>14293537000</v>
      </c>
      <c r="F46" s="198">
        <v>10496222000</v>
      </c>
      <c r="G46" s="198">
        <v>0</v>
      </c>
      <c r="H46" s="199">
        <v>300000000</v>
      </c>
    </row>
    <row r="47" spans="1:8" ht="15.75">
      <c r="A47" s="192">
        <v>331</v>
      </c>
      <c r="B47" s="193" t="s">
        <v>491</v>
      </c>
      <c r="C47" s="194">
        <v>503618586</v>
      </c>
      <c r="D47" s="194">
        <v>12184846393</v>
      </c>
      <c r="E47" s="194">
        <v>57015514430</v>
      </c>
      <c r="F47" s="194">
        <v>61620799984</v>
      </c>
      <c r="G47" s="194">
        <v>1087503467</v>
      </c>
      <c r="H47" s="195">
        <v>17374016828</v>
      </c>
    </row>
    <row r="48" spans="1:8" ht="15.75">
      <c r="A48" s="192">
        <v>333</v>
      </c>
      <c r="B48" s="193" t="s">
        <v>492</v>
      </c>
      <c r="C48" s="194">
        <v>0</v>
      </c>
      <c r="D48" s="194">
        <v>86264928</v>
      </c>
      <c r="E48" s="194">
        <v>6068503038</v>
      </c>
      <c r="F48" s="194">
        <v>6112755261</v>
      </c>
      <c r="G48" s="194">
        <v>0</v>
      </c>
      <c r="H48" s="195">
        <v>130517151</v>
      </c>
    </row>
    <row r="49" spans="1:8" ht="15.75">
      <c r="A49" s="196">
        <v>3331</v>
      </c>
      <c r="B49" s="197" t="s">
        <v>493</v>
      </c>
      <c r="C49" s="198">
        <v>0</v>
      </c>
      <c r="D49" s="198">
        <v>42401611</v>
      </c>
      <c r="E49" s="198">
        <v>5997521321</v>
      </c>
      <c r="F49" s="198">
        <v>5955119710</v>
      </c>
      <c r="G49" s="198">
        <v>0</v>
      </c>
      <c r="H49" s="199">
        <v>0</v>
      </c>
    </row>
    <row r="50" spans="1:8" ht="15.75">
      <c r="A50" s="196">
        <v>33311</v>
      </c>
      <c r="B50" s="197" t="s">
        <v>494</v>
      </c>
      <c r="C50" s="198">
        <v>0</v>
      </c>
      <c r="D50" s="198">
        <v>42401611</v>
      </c>
      <c r="E50" s="198">
        <v>5997521321</v>
      </c>
      <c r="F50" s="198">
        <v>5955119710</v>
      </c>
      <c r="G50" s="198">
        <v>0</v>
      </c>
      <c r="H50" s="199">
        <v>0</v>
      </c>
    </row>
    <row r="51" spans="1:8" ht="15.75">
      <c r="A51" s="196">
        <v>3334</v>
      </c>
      <c r="B51" s="197" t="s">
        <v>495</v>
      </c>
      <c r="C51" s="198">
        <v>0</v>
      </c>
      <c r="D51" s="198">
        <v>43863317</v>
      </c>
      <c r="E51" s="198">
        <v>50393317</v>
      </c>
      <c r="F51" s="198">
        <v>137047151</v>
      </c>
      <c r="G51" s="198">
        <v>0</v>
      </c>
      <c r="H51" s="199">
        <v>130517151</v>
      </c>
    </row>
    <row r="52" spans="1:8" ht="15.75">
      <c r="A52" s="196">
        <v>3337</v>
      </c>
      <c r="B52" s="197" t="s">
        <v>546</v>
      </c>
      <c r="C52" s="198">
        <v>0</v>
      </c>
      <c r="D52" s="198">
        <v>0</v>
      </c>
      <c r="E52" s="198">
        <v>16286400</v>
      </c>
      <c r="F52" s="198">
        <v>16286400</v>
      </c>
      <c r="G52" s="198">
        <v>0</v>
      </c>
      <c r="H52" s="199">
        <v>0</v>
      </c>
    </row>
    <row r="53" spans="1:8" ht="15.75">
      <c r="A53" s="196">
        <v>33372</v>
      </c>
      <c r="B53" s="197" t="s">
        <v>547</v>
      </c>
      <c r="C53" s="198">
        <v>0</v>
      </c>
      <c r="D53" s="198">
        <v>0</v>
      </c>
      <c r="E53" s="198">
        <v>16286400</v>
      </c>
      <c r="F53" s="198">
        <v>16286400</v>
      </c>
      <c r="G53" s="198">
        <v>0</v>
      </c>
      <c r="H53" s="199">
        <v>0</v>
      </c>
    </row>
    <row r="54" spans="1:8" ht="15.75">
      <c r="A54" s="196">
        <v>3338</v>
      </c>
      <c r="B54" s="197" t="s">
        <v>496</v>
      </c>
      <c r="C54" s="198">
        <v>0</v>
      </c>
      <c r="D54" s="198">
        <v>0</v>
      </c>
      <c r="E54" s="198">
        <v>4302000</v>
      </c>
      <c r="F54" s="198">
        <v>4302000</v>
      </c>
      <c r="G54" s="198">
        <v>0</v>
      </c>
      <c r="H54" s="199">
        <v>0</v>
      </c>
    </row>
    <row r="55" spans="1:8" ht="15.75">
      <c r="A55" s="192">
        <v>334</v>
      </c>
      <c r="B55" s="193" t="s">
        <v>497</v>
      </c>
      <c r="C55" s="194">
        <v>0</v>
      </c>
      <c r="D55" s="194">
        <v>0</v>
      </c>
      <c r="E55" s="194">
        <v>4776840000</v>
      </c>
      <c r="F55" s="194">
        <v>4776840000</v>
      </c>
      <c r="G55" s="194">
        <v>0</v>
      </c>
      <c r="H55" s="195">
        <v>0</v>
      </c>
    </row>
    <row r="56" spans="1:8" ht="15.75">
      <c r="A56" s="196">
        <v>3341</v>
      </c>
      <c r="B56" s="197" t="s">
        <v>498</v>
      </c>
      <c r="C56" s="198">
        <v>0</v>
      </c>
      <c r="D56" s="198">
        <v>0</v>
      </c>
      <c r="E56" s="198">
        <v>2678490000</v>
      </c>
      <c r="F56" s="198">
        <v>2678490000</v>
      </c>
      <c r="G56" s="198">
        <v>0</v>
      </c>
      <c r="H56" s="199">
        <v>0</v>
      </c>
    </row>
    <row r="57" spans="1:8" ht="15.75">
      <c r="A57" s="196">
        <v>3342</v>
      </c>
      <c r="B57" s="197" t="s">
        <v>499</v>
      </c>
      <c r="C57" s="198">
        <v>0</v>
      </c>
      <c r="D57" s="198">
        <v>0</v>
      </c>
      <c r="E57" s="198">
        <v>2098350000</v>
      </c>
      <c r="F57" s="198">
        <v>2098350000</v>
      </c>
      <c r="G57" s="198">
        <v>0</v>
      </c>
      <c r="H57" s="199">
        <v>0</v>
      </c>
    </row>
    <row r="58" spans="1:8" ht="15.75">
      <c r="A58" s="192">
        <v>336</v>
      </c>
      <c r="B58" s="193" t="s">
        <v>562</v>
      </c>
      <c r="C58" s="194">
        <v>0</v>
      </c>
      <c r="D58" s="194">
        <v>0</v>
      </c>
      <c r="E58" s="194">
        <v>0</v>
      </c>
      <c r="F58" s="194">
        <v>1393480000</v>
      </c>
      <c r="G58" s="194">
        <v>0</v>
      </c>
      <c r="H58" s="195">
        <v>1393480000</v>
      </c>
    </row>
    <row r="59" spans="1:8" ht="15.75">
      <c r="A59" s="192">
        <v>338</v>
      </c>
      <c r="B59" s="193" t="s">
        <v>500</v>
      </c>
      <c r="C59" s="194">
        <v>3445925</v>
      </c>
      <c r="D59" s="194">
        <v>216786178</v>
      </c>
      <c r="E59" s="194">
        <v>341749000</v>
      </c>
      <c r="F59" s="194">
        <v>332431191</v>
      </c>
      <c r="G59" s="194">
        <v>8963754</v>
      </c>
      <c r="H59" s="195">
        <v>212986198</v>
      </c>
    </row>
    <row r="60" spans="1:8" ht="15.75">
      <c r="A60" s="196">
        <v>3383</v>
      </c>
      <c r="B60" s="197" t="s">
        <v>501</v>
      </c>
      <c r="C60" s="198">
        <v>3445925</v>
      </c>
      <c r="D60" s="198">
        <v>0</v>
      </c>
      <c r="E60" s="198">
        <v>333920320</v>
      </c>
      <c r="F60" s="198">
        <v>328402491</v>
      </c>
      <c r="G60" s="198">
        <v>8963754</v>
      </c>
      <c r="H60" s="199">
        <v>0</v>
      </c>
    </row>
    <row r="61" spans="1:8" ht="15.75">
      <c r="A61" s="196">
        <v>3388</v>
      </c>
      <c r="B61" s="197" t="s">
        <v>500</v>
      </c>
      <c r="C61" s="198">
        <v>0</v>
      </c>
      <c r="D61" s="198">
        <v>216786178</v>
      </c>
      <c r="E61" s="198">
        <v>7828680</v>
      </c>
      <c r="F61" s="198">
        <v>4028700</v>
      </c>
      <c r="G61" s="198">
        <v>0</v>
      </c>
      <c r="H61" s="199">
        <v>212986198</v>
      </c>
    </row>
    <row r="62" spans="1:8" ht="15.75">
      <c r="A62" s="192">
        <v>411</v>
      </c>
      <c r="B62" s="193" t="s">
        <v>502</v>
      </c>
      <c r="C62" s="194">
        <v>0</v>
      </c>
      <c r="D62" s="194">
        <v>28750000000</v>
      </c>
      <c r="E62" s="194">
        <v>25000000000</v>
      </c>
      <c r="F62" s="194">
        <v>800000000</v>
      </c>
      <c r="G62" s="194">
        <v>0</v>
      </c>
      <c r="H62" s="195">
        <f>D62+F62-E62</f>
        <v>4550000000</v>
      </c>
    </row>
    <row r="63" spans="1:8" ht="15.75">
      <c r="A63" s="192">
        <v>414</v>
      </c>
      <c r="B63" s="193" t="s">
        <v>503</v>
      </c>
      <c r="C63" s="194">
        <v>0</v>
      </c>
      <c r="D63" s="194">
        <v>50000000</v>
      </c>
      <c r="E63" s="194">
        <v>50000000</v>
      </c>
      <c r="F63" s="194">
        <v>0</v>
      </c>
      <c r="G63" s="194">
        <v>0</v>
      </c>
      <c r="H63" s="195">
        <v>0</v>
      </c>
    </row>
    <row r="64" spans="1:8" ht="15.75">
      <c r="A64" s="192">
        <v>415</v>
      </c>
      <c r="B64" s="193" t="s">
        <v>504</v>
      </c>
      <c r="C64" s="194">
        <v>0</v>
      </c>
      <c r="D64" s="194">
        <v>50000000</v>
      </c>
      <c r="E64" s="194">
        <v>50000000</v>
      </c>
      <c r="F64" s="194">
        <v>0</v>
      </c>
      <c r="G64" s="194">
        <v>0</v>
      </c>
      <c r="H64" s="195">
        <v>0</v>
      </c>
    </row>
    <row r="65" spans="1:8" ht="15.75">
      <c r="A65" s="192">
        <v>421</v>
      </c>
      <c r="B65" s="193" t="s">
        <v>505</v>
      </c>
      <c r="C65" s="194">
        <v>0</v>
      </c>
      <c r="D65" s="194">
        <v>738887673</v>
      </c>
      <c r="E65" s="194">
        <v>1216552921</v>
      </c>
      <c r="F65" s="194">
        <v>552607303</v>
      </c>
      <c r="G65" s="194">
        <v>0</v>
      </c>
      <c r="H65" s="195">
        <v>74942055</v>
      </c>
    </row>
    <row r="66" spans="1:8" ht="15.75">
      <c r="A66" s="196">
        <v>4211</v>
      </c>
      <c r="B66" s="197" t="s">
        <v>506</v>
      </c>
      <c r="C66" s="198">
        <v>0</v>
      </c>
      <c r="D66" s="198">
        <v>672174816</v>
      </c>
      <c r="E66" s="198">
        <v>711205790</v>
      </c>
      <c r="F66" s="198">
        <v>66712857</v>
      </c>
      <c r="G66" s="198">
        <v>0</v>
      </c>
      <c r="H66" s="199">
        <v>27681883</v>
      </c>
    </row>
    <row r="67" spans="1:8" ht="15.75">
      <c r="A67" s="196">
        <v>4212</v>
      </c>
      <c r="B67" s="197" t="s">
        <v>507</v>
      </c>
      <c r="C67" s="198">
        <v>0</v>
      </c>
      <c r="D67" s="198">
        <v>66712857</v>
      </c>
      <c r="E67" s="198">
        <v>505347131</v>
      </c>
      <c r="F67" s="198">
        <v>485894446</v>
      </c>
      <c r="G67" s="198">
        <v>0</v>
      </c>
      <c r="H67" s="199">
        <v>47260172</v>
      </c>
    </row>
    <row r="68" spans="1:8" ht="15.75">
      <c r="A68" s="192">
        <v>431</v>
      </c>
      <c r="B68" s="193" t="s">
        <v>508</v>
      </c>
      <c r="C68" s="194">
        <v>0</v>
      </c>
      <c r="D68" s="194">
        <v>50000000</v>
      </c>
      <c r="E68" s="194">
        <v>50000000</v>
      </c>
      <c r="F68" s="194">
        <v>0</v>
      </c>
      <c r="G68" s="194">
        <v>0</v>
      </c>
      <c r="H68" s="195">
        <v>0</v>
      </c>
    </row>
    <row r="69" spans="1:8" ht="15.75">
      <c r="A69" s="196">
        <v>4311</v>
      </c>
      <c r="B69" s="197" t="s">
        <v>509</v>
      </c>
      <c r="C69" s="198">
        <v>0</v>
      </c>
      <c r="D69" s="198">
        <v>50000000</v>
      </c>
      <c r="E69" s="198">
        <v>50000000</v>
      </c>
      <c r="F69" s="198">
        <v>0</v>
      </c>
      <c r="G69" s="198">
        <v>0</v>
      </c>
      <c r="H69" s="199">
        <v>0</v>
      </c>
    </row>
    <row r="70" spans="1:8" ht="15.75">
      <c r="A70" s="192">
        <v>511</v>
      </c>
      <c r="B70" s="193" t="s">
        <v>510</v>
      </c>
      <c r="C70" s="194">
        <v>0</v>
      </c>
      <c r="D70" s="194">
        <v>0</v>
      </c>
      <c r="E70" s="194">
        <v>59551197072</v>
      </c>
      <c r="F70" s="194">
        <v>59551197072</v>
      </c>
      <c r="G70" s="194">
        <v>0</v>
      </c>
      <c r="H70" s="195">
        <v>0</v>
      </c>
    </row>
    <row r="71" spans="1:8" ht="15.75">
      <c r="A71" s="196">
        <v>5111</v>
      </c>
      <c r="B71" s="197" t="s">
        <v>511</v>
      </c>
      <c r="C71" s="198">
        <v>0</v>
      </c>
      <c r="D71" s="198">
        <v>0</v>
      </c>
      <c r="E71" s="198">
        <v>55518630072</v>
      </c>
      <c r="F71" s="198">
        <v>55518630072</v>
      </c>
      <c r="G71" s="198">
        <v>0</v>
      </c>
      <c r="H71" s="199">
        <v>0</v>
      </c>
    </row>
    <row r="72" spans="1:8" ht="15.75">
      <c r="A72" s="196">
        <v>5114</v>
      </c>
      <c r="B72" s="197" t="s">
        <v>556</v>
      </c>
      <c r="C72" s="198">
        <v>0</v>
      </c>
      <c r="D72" s="198">
        <v>0</v>
      </c>
      <c r="E72" s="198">
        <v>4032567000</v>
      </c>
      <c r="F72" s="198">
        <v>4032567000</v>
      </c>
      <c r="G72" s="198">
        <v>0</v>
      </c>
      <c r="H72" s="199">
        <v>0</v>
      </c>
    </row>
    <row r="73" spans="1:8" ht="15.75">
      <c r="A73" s="192">
        <v>515</v>
      </c>
      <c r="B73" s="193" t="s">
        <v>512</v>
      </c>
      <c r="C73" s="194">
        <v>0</v>
      </c>
      <c r="D73" s="194">
        <v>0</v>
      </c>
      <c r="E73" s="194">
        <v>11516319</v>
      </c>
      <c r="F73" s="194">
        <v>11516319</v>
      </c>
      <c r="G73" s="194">
        <v>0</v>
      </c>
      <c r="H73" s="195">
        <v>0</v>
      </c>
    </row>
    <row r="74" spans="1:8" ht="15.75">
      <c r="A74" s="192">
        <v>621</v>
      </c>
      <c r="B74" s="193" t="s">
        <v>513</v>
      </c>
      <c r="C74" s="194">
        <v>0</v>
      </c>
      <c r="D74" s="194">
        <v>0</v>
      </c>
      <c r="E74" s="194">
        <v>37695005608</v>
      </c>
      <c r="F74" s="194">
        <v>37695005608</v>
      </c>
      <c r="G74" s="194">
        <v>0</v>
      </c>
      <c r="H74" s="195">
        <v>0</v>
      </c>
    </row>
    <row r="75" spans="1:8" ht="15.75">
      <c r="A75" s="196">
        <v>6211</v>
      </c>
      <c r="B75" s="197" t="s">
        <v>514</v>
      </c>
      <c r="C75" s="198">
        <v>0</v>
      </c>
      <c r="D75" s="198">
        <v>0</v>
      </c>
      <c r="E75" s="198">
        <v>37695005608</v>
      </c>
      <c r="F75" s="198">
        <v>37695005608</v>
      </c>
      <c r="G75" s="198">
        <v>0</v>
      </c>
      <c r="H75" s="199">
        <v>0</v>
      </c>
    </row>
    <row r="76" spans="1:8" ht="15.75">
      <c r="A76" s="192">
        <v>622</v>
      </c>
      <c r="B76" s="193" t="s">
        <v>515</v>
      </c>
      <c r="C76" s="194">
        <v>0</v>
      </c>
      <c r="D76" s="194">
        <v>0</v>
      </c>
      <c r="E76" s="194">
        <v>17752899200</v>
      </c>
      <c r="F76" s="194">
        <v>17752899200</v>
      </c>
      <c r="G76" s="194">
        <v>0</v>
      </c>
      <c r="H76" s="195">
        <v>0</v>
      </c>
    </row>
    <row r="77" spans="1:8" ht="15.75">
      <c r="A77" s="196">
        <v>6221</v>
      </c>
      <c r="B77" s="197" t="s">
        <v>516</v>
      </c>
      <c r="C77" s="198">
        <v>0</v>
      </c>
      <c r="D77" s="198">
        <v>0</v>
      </c>
      <c r="E77" s="198">
        <v>17752899200</v>
      </c>
      <c r="F77" s="198">
        <v>17752899200</v>
      </c>
      <c r="G77" s="198">
        <v>0</v>
      </c>
      <c r="H77" s="199">
        <v>0</v>
      </c>
    </row>
    <row r="78" spans="1:8" ht="15.75">
      <c r="A78" s="192">
        <v>627</v>
      </c>
      <c r="B78" s="193" t="s">
        <v>517</v>
      </c>
      <c r="C78" s="194">
        <v>0</v>
      </c>
      <c r="D78" s="194">
        <v>0</v>
      </c>
      <c r="E78" s="194">
        <v>2179201239</v>
      </c>
      <c r="F78" s="194">
        <v>2179201239</v>
      </c>
      <c r="G78" s="194">
        <v>0</v>
      </c>
      <c r="H78" s="195">
        <v>0</v>
      </c>
    </row>
    <row r="79" spans="1:8" ht="15.75">
      <c r="A79" s="196">
        <v>6272</v>
      </c>
      <c r="B79" s="197" t="s">
        <v>518</v>
      </c>
      <c r="C79" s="198">
        <v>0</v>
      </c>
      <c r="D79" s="198">
        <v>0</v>
      </c>
      <c r="E79" s="198">
        <v>892300000</v>
      </c>
      <c r="F79" s="198">
        <v>892300000</v>
      </c>
      <c r="G79" s="198">
        <v>0</v>
      </c>
      <c r="H79" s="199">
        <v>0</v>
      </c>
    </row>
    <row r="80" spans="1:8" ht="15.75">
      <c r="A80" s="196">
        <v>6274</v>
      </c>
      <c r="B80" s="197" t="s">
        <v>519</v>
      </c>
      <c r="C80" s="198">
        <v>0</v>
      </c>
      <c r="D80" s="198">
        <v>0</v>
      </c>
      <c r="E80" s="198">
        <v>171340416</v>
      </c>
      <c r="F80" s="198">
        <v>171340416</v>
      </c>
      <c r="G80" s="198">
        <v>0</v>
      </c>
      <c r="H80" s="199">
        <v>0</v>
      </c>
    </row>
    <row r="81" spans="1:8" ht="15.75" customHeight="1" hidden="1">
      <c r="A81" s="196">
        <v>6277</v>
      </c>
      <c r="B81" s="197" t="s">
        <v>520</v>
      </c>
      <c r="C81" s="198">
        <v>0</v>
      </c>
      <c r="D81" s="198">
        <v>0</v>
      </c>
      <c r="E81" s="198">
        <v>802285823</v>
      </c>
      <c r="F81" s="198">
        <v>802285823</v>
      </c>
      <c r="G81" s="198">
        <v>0</v>
      </c>
      <c r="H81" s="199">
        <v>0</v>
      </c>
    </row>
    <row r="82" spans="1:8" ht="15.75">
      <c r="A82" s="196">
        <v>6278</v>
      </c>
      <c r="B82" s="197" t="s">
        <v>557</v>
      </c>
      <c r="C82" s="198">
        <v>0</v>
      </c>
      <c r="D82" s="198">
        <v>0</v>
      </c>
      <c r="E82" s="198">
        <v>313275000</v>
      </c>
      <c r="F82" s="198">
        <v>313275000</v>
      </c>
      <c r="G82" s="198">
        <v>0</v>
      </c>
      <c r="H82" s="199">
        <v>0</v>
      </c>
    </row>
    <row r="83" spans="1:8" ht="15.75">
      <c r="A83" s="192">
        <v>632</v>
      </c>
      <c r="B83" s="193" t="s">
        <v>521</v>
      </c>
      <c r="C83" s="194">
        <v>0</v>
      </c>
      <c r="D83" s="194">
        <v>0</v>
      </c>
      <c r="E83" s="194">
        <v>52748842546</v>
      </c>
      <c r="F83" s="194">
        <v>52748842546</v>
      </c>
      <c r="G83" s="194">
        <v>0</v>
      </c>
      <c r="H83" s="195">
        <v>0</v>
      </c>
    </row>
    <row r="84" spans="1:8" ht="15.75">
      <c r="A84" s="196">
        <v>6321</v>
      </c>
      <c r="B84" s="197" t="s">
        <v>522</v>
      </c>
      <c r="C84" s="198">
        <v>0</v>
      </c>
      <c r="D84" s="198">
        <v>0</v>
      </c>
      <c r="E84" s="198">
        <v>49514171222</v>
      </c>
      <c r="F84" s="198">
        <v>49514171222</v>
      </c>
      <c r="G84" s="198">
        <v>0</v>
      </c>
      <c r="H84" s="199">
        <v>0</v>
      </c>
    </row>
    <row r="85" spans="1:8" ht="15.75">
      <c r="A85" s="196">
        <v>6324</v>
      </c>
      <c r="B85" s="197" t="s">
        <v>558</v>
      </c>
      <c r="C85" s="198">
        <v>0</v>
      </c>
      <c r="D85" s="198">
        <v>0</v>
      </c>
      <c r="E85" s="198">
        <v>3234671324</v>
      </c>
      <c r="F85" s="198">
        <v>3234671324</v>
      </c>
      <c r="G85" s="198">
        <v>0</v>
      </c>
      <c r="H85" s="199">
        <v>0</v>
      </c>
    </row>
    <row r="86" spans="1:8" ht="15.75">
      <c r="A86" s="192">
        <v>635</v>
      </c>
      <c r="B86" s="193" t="s">
        <v>523</v>
      </c>
      <c r="C86" s="194">
        <v>0</v>
      </c>
      <c r="D86" s="194">
        <v>0</v>
      </c>
      <c r="E86" s="194">
        <v>196328442</v>
      </c>
      <c r="F86" s="194">
        <v>196328442</v>
      </c>
      <c r="G86" s="194">
        <v>0</v>
      </c>
      <c r="H86" s="195">
        <v>0</v>
      </c>
    </row>
    <row r="87" spans="1:8" ht="15.75">
      <c r="A87" s="196">
        <v>6351</v>
      </c>
      <c r="B87" s="197" t="s">
        <v>524</v>
      </c>
      <c r="C87" s="198">
        <v>0</v>
      </c>
      <c r="D87" s="198">
        <v>0</v>
      </c>
      <c r="E87" s="198">
        <v>196328442</v>
      </c>
      <c r="F87" s="198">
        <v>196328442</v>
      </c>
      <c r="G87" s="198">
        <v>0</v>
      </c>
      <c r="H87" s="199">
        <v>0</v>
      </c>
    </row>
    <row r="88" spans="1:8" ht="15.75">
      <c r="A88" s="192">
        <v>642</v>
      </c>
      <c r="B88" s="193" t="s">
        <v>525</v>
      </c>
      <c r="C88" s="194">
        <v>0</v>
      </c>
      <c r="D88" s="194">
        <v>0</v>
      </c>
      <c r="E88" s="194">
        <v>6233825088</v>
      </c>
      <c r="F88" s="194">
        <v>6233825088</v>
      </c>
      <c r="G88" s="194">
        <v>0</v>
      </c>
      <c r="H88" s="195">
        <v>0</v>
      </c>
    </row>
    <row r="89" spans="1:8" ht="15.75">
      <c r="A89" s="192">
        <v>711</v>
      </c>
      <c r="B89" s="193" t="s">
        <v>563</v>
      </c>
      <c r="C89" s="194">
        <v>0</v>
      </c>
      <c r="D89" s="194">
        <v>0</v>
      </c>
      <c r="E89" s="194">
        <v>538</v>
      </c>
      <c r="F89" s="194">
        <v>538</v>
      </c>
      <c r="G89" s="194">
        <v>0</v>
      </c>
      <c r="H89" s="195">
        <v>0</v>
      </c>
    </row>
    <row r="90" spans="1:8" ht="15.75">
      <c r="A90" s="192">
        <v>811</v>
      </c>
      <c r="B90" s="193" t="s">
        <v>564</v>
      </c>
      <c r="C90" s="194">
        <v>0</v>
      </c>
      <c r="D90" s="194">
        <v>0</v>
      </c>
      <c r="E90" s="194">
        <v>6</v>
      </c>
      <c r="F90" s="194">
        <v>6</v>
      </c>
      <c r="G90" s="194">
        <v>0</v>
      </c>
      <c r="H90" s="195">
        <v>0</v>
      </c>
    </row>
    <row r="91" spans="1:8" ht="15.75">
      <c r="A91" s="192">
        <v>821</v>
      </c>
      <c r="B91" s="193" t="s">
        <v>526</v>
      </c>
      <c r="C91" s="194">
        <v>0</v>
      </c>
      <c r="D91" s="194">
        <v>0</v>
      </c>
      <c r="E91" s="194">
        <v>137047151</v>
      </c>
      <c r="F91" s="194">
        <v>137047151</v>
      </c>
      <c r="G91" s="194">
        <v>0</v>
      </c>
      <c r="H91" s="195">
        <v>0</v>
      </c>
    </row>
    <row r="92" spans="1:8" ht="16.5" thickBot="1">
      <c r="A92" s="200">
        <v>911</v>
      </c>
      <c r="B92" s="201" t="s">
        <v>527</v>
      </c>
      <c r="C92" s="202">
        <v>0</v>
      </c>
      <c r="D92" s="202">
        <v>0</v>
      </c>
      <c r="E92" s="202">
        <v>59562713929</v>
      </c>
      <c r="F92" s="202">
        <v>59562713929</v>
      </c>
      <c r="G92" s="202">
        <v>0</v>
      </c>
      <c r="H92" s="203">
        <v>0</v>
      </c>
    </row>
  </sheetData>
  <sheetProtection/>
  <mergeCells count="8">
    <mergeCell ref="A2:H2"/>
    <mergeCell ref="A1:H1"/>
    <mergeCell ref="A3:H3"/>
    <mergeCell ref="A4:A5"/>
    <mergeCell ref="B4:B5"/>
    <mergeCell ref="C4:D4"/>
    <mergeCell ref="E4:F4"/>
    <mergeCell ref="G4:H4"/>
  </mergeCells>
  <printOptions/>
  <pageMargins left="0.48" right="0.28" top="0.35" bottom="0.45" header="0.21" footer="0.2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B1">
      <pane ySplit="5" topLeftCell="A75" activePane="bottomLeft" state="frozen"/>
      <selection pane="topLeft" activeCell="A1" sqref="A1"/>
      <selection pane="bottomLeft" activeCell="F66" sqref="F66"/>
    </sheetView>
  </sheetViews>
  <sheetFormatPr defaultColWidth="9.00390625" defaultRowHeight="15.75"/>
  <cols>
    <col min="1" max="1" width="7.625" style="0" customWidth="1"/>
    <col min="2" max="2" width="36.375" style="0" customWidth="1"/>
    <col min="3" max="3" width="12.25390625" style="0" customWidth="1"/>
    <col min="4" max="4" width="11.875" style="0" customWidth="1"/>
    <col min="5" max="5" width="14.875" style="0" customWidth="1"/>
    <col min="6" max="6" width="13.875" style="0" customWidth="1"/>
    <col min="7" max="7" width="14.00390625" style="0" bestFit="1" customWidth="1"/>
    <col min="8" max="8" width="14.25390625" style="0" customWidth="1"/>
    <col min="9" max="9" width="14.00390625" style="0" bestFit="1" customWidth="1"/>
    <col min="10" max="10" width="17.125" style="0" customWidth="1"/>
  </cols>
  <sheetData>
    <row r="1" spans="1:8" ht="15.75">
      <c r="A1" s="231" t="s">
        <v>1</v>
      </c>
      <c r="B1" s="231"/>
      <c r="C1" s="231"/>
      <c r="D1" s="231"/>
      <c r="E1" s="231"/>
      <c r="F1" s="231"/>
      <c r="G1" s="231"/>
      <c r="H1" s="231"/>
    </row>
    <row r="2" spans="1:8" ht="27" customHeight="1">
      <c r="A2" s="230" t="s">
        <v>0</v>
      </c>
      <c r="B2" s="230"/>
      <c r="C2" s="230"/>
      <c r="D2" s="230"/>
      <c r="E2" s="230"/>
      <c r="F2" s="230"/>
      <c r="G2" s="230"/>
      <c r="H2" s="230"/>
    </row>
    <row r="3" spans="1:8" ht="16.5" thickBot="1">
      <c r="A3" s="232" t="s">
        <v>605</v>
      </c>
      <c r="B3" s="232"/>
      <c r="C3" s="232"/>
      <c r="D3" s="232"/>
      <c r="E3" s="232"/>
      <c r="F3" s="232"/>
      <c r="G3" s="232"/>
      <c r="H3" s="232"/>
    </row>
    <row r="4" spans="1:8" ht="15.75">
      <c r="A4" s="233" t="s">
        <v>459</v>
      </c>
      <c r="B4" s="235" t="s">
        <v>2</v>
      </c>
      <c r="C4" s="235" t="s">
        <v>4</v>
      </c>
      <c r="D4" s="235"/>
      <c r="E4" s="235" t="s">
        <v>460</v>
      </c>
      <c r="F4" s="235"/>
      <c r="G4" s="235" t="s">
        <v>461</v>
      </c>
      <c r="H4" s="237"/>
    </row>
    <row r="5" spans="1:8" ht="15.75">
      <c r="A5" s="234"/>
      <c r="B5" s="236"/>
      <c r="C5" s="189" t="s">
        <v>3</v>
      </c>
      <c r="D5" s="190" t="s">
        <v>5</v>
      </c>
      <c r="E5" s="189" t="s">
        <v>3</v>
      </c>
      <c r="F5" s="190" t="s">
        <v>5</v>
      </c>
      <c r="G5" s="189" t="s">
        <v>3</v>
      </c>
      <c r="H5" s="191" t="s">
        <v>5</v>
      </c>
    </row>
    <row r="6" spans="1:10" ht="15.75">
      <c r="A6" s="192">
        <v>111</v>
      </c>
      <c r="B6" s="193" t="s">
        <v>462</v>
      </c>
      <c r="C6" s="194">
        <v>96810053</v>
      </c>
      <c r="D6" s="194">
        <v>0</v>
      </c>
      <c r="E6" s="194">
        <f>E7</f>
        <v>42325513075</v>
      </c>
      <c r="F6" s="194">
        <f>F7</f>
        <v>42103969798</v>
      </c>
      <c r="G6" s="194">
        <f>C6+E6-F6</f>
        <v>318353330</v>
      </c>
      <c r="H6" s="195">
        <v>0</v>
      </c>
      <c r="I6" s="194">
        <v>318353330</v>
      </c>
      <c r="J6" s="195">
        <v>0</v>
      </c>
    </row>
    <row r="7" spans="1:10" ht="15.75">
      <c r="A7" s="196">
        <v>1111</v>
      </c>
      <c r="B7" s="197" t="s">
        <v>463</v>
      </c>
      <c r="C7" s="198">
        <v>96810053</v>
      </c>
      <c r="D7" s="198">
        <v>0</v>
      </c>
      <c r="E7" s="198">
        <f>42125513075+TNHH!E7</f>
        <v>42325513075</v>
      </c>
      <c r="F7" s="198">
        <f>42072026798+TNHH!F7</f>
        <v>42103969798</v>
      </c>
      <c r="G7" s="198">
        <f>150296330+TNHH!G7</f>
        <v>318353330</v>
      </c>
      <c r="H7" s="199">
        <v>0</v>
      </c>
      <c r="I7" s="198"/>
      <c r="J7" s="199">
        <v>0</v>
      </c>
    </row>
    <row r="8" spans="1:10" ht="15.75">
      <c r="A8" s="192">
        <v>112</v>
      </c>
      <c r="B8" s="193" t="s">
        <v>464</v>
      </c>
      <c r="C8" s="194">
        <v>3173938555</v>
      </c>
      <c r="D8" s="194">
        <v>0</v>
      </c>
      <c r="E8" s="194">
        <f>E9</f>
        <v>109158521488</v>
      </c>
      <c r="F8" s="194">
        <f>F9</f>
        <v>110968601975</v>
      </c>
      <c r="G8" s="194">
        <f>G9+G14</f>
        <v>1363858068</v>
      </c>
      <c r="H8" s="195">
        <v>0</v>
      </c>
      <c r="I8" s="194">
        <v>1363858068</v>
      </c>
      <c r="J8" s="195">
        <v>0</v>
      </c>
    </row>
    <row r="9" spans="1:10" ht="15.75">
      <c r="A9" s="196">
        <v>1121</v>
      </c>
      <c r="B9" s="197" t="s">
        <v>465</v>
      </c>
      <c r="C9" s="198">
        <v>3171825054</v>
      </c>
      <c r="D9" s="198">
        <v>0</v>
      </c>
      <c r="E9" s="198">
        <f>SUM(E10:E13)</f>
        <v>109158521488</v>
      </c>
      <c r="F9" s="198">
        <f>SUM(F10:F13)</f>
        <v>110968601975</v>
      </c>
      <c r="G9" s="198">
        <f>SUM(G10:G13)</f>
        <v>1361744567</v>
      </c>
      <c r="H9" s="199">
        <v>0</v>
      </c>
      <c r="I9" s="198"/>
      <c r="J9" s="199">
        <v>0</v>
      </c>
    </row>
    <row r="10" spans="1:10" ht="15.75">
      <c r="A10" s="196">
        <v>11211</v>
      </c>
      <c r="B10" s="197" t="s">
        <v>466</v>
      </c>
      <c r="C10" s="198">
        <v>3159920126</v>
      </c>
      <c r="D10" s="198">
        <v>0</v>
      </c>
      <c r="E10" s="198">
        <v>26440726588</v>
      </c>
      <c r="F10" s="198">
        <v>29597207530</v>
      </c>
      <c r="G10" s="198">
        <v>3439184</v>
      </c>
      <c r="H10" s="199">
        <v>0</v>
      </c>
      <c r="I10" s="198"/>
      <c r="J10" s="199">
        <v>0</v>
      </c>
    </row>
    <row r="11" spans="1:10" ht="15.75">
      <c r="A11" s="196">
        <v>11212</v>
      </c>
      <c r="B11" s="197" t="s">
        <v>467</v>
      </c>
      <c r="C11" s="198">
        <v>1205790</v>
      </c>
      <c r="D11" s="198">
        <v>0</v>
      </c>
      <c r="E11" s="198">
        <v>0</v>
      </c>
      <c r="F11" s="198">
        <v>1205790</v>
      </c>
      <c r="G11" s="198">
        <v>0</v>
      </c>
      <c r="H11" s="199">
        <v>0</v>
      </c>
      <c r="I11" s="198"/>
      <c r="J11" s="199">
        <v>0</v>
      </c>
    </row>
    <row r="12" spans="1:10" ht="15.75">
      <c r="A12" s="196">
        <v>11213</v>
      </c>
      <c r="B12" s="197" t="s">
        <v>468</v>
      </c>
      <c r="C12" s="198">
        <v>10699138</v>
      </c>
      <c r="D12" s="198">
        <v>0</v>
      </c>
      <c r="E12" s="198">
        <f>76894490179+TNHH!E8</f>
        <v>76896490179</v>
      </c>
      <c r="F12" s="198">
        <v>75549744751</v>
      </c>
      <c r="G12" s="198">
        <f>C12+E12-F12</f>
        <v>1357444566</v>
      </c>
      <c r="H12" s="199">
        <v>0</v>
      </c>
      <c r="I12" s="198"/>
      <c r="J12" s="199">
        <v>0</v>
      </c>
    </row>
    <row r="13" spans="1:10" ht="15.75">
      <c r="A13" s="196">
        <v>11214</v>
      </c>
      <c r="B13" s="197" t="s">
        <v>553</v>
      </c>
      <c r="C13" s="198">
        <v>0</v>
      </c>
      <c r="D13" s="198">
        <v>0</v>
      </c>
      <c r="E13" s="198">
        <v>5821304721</v>
      </c>
      <c r="F13" s="198">
        <v>5820443904</v>
      </c>
      <c r="G13" s="198">
        <v>860817</v>
      </c>
      <c r="H13" s="199">
        <v>0</v>
      </c>
      <c r="I13" s="198"/>
      <c r="J13" s="199">
        <v>0</v>
      </c>
    </row>
    <row r="14" spans="1:10" ht="15.75">
      <c r="A14" s="196">
        <v>1122</v>
      </c>
      <c r="B14" s="197" t="s">
        <v>469</v>
      </c>
      <c r="C14" s="198">
        <v>2113501</v>
      </c>
      <c r="D14" s="198">
        <v>0</v>
      </c>
      <c r="E14" s="198">
        <v>0</v>
      </c>
      <c r="F14" s="198">
        <v>0</v>
      </c>
      <c r="G14" s="198">
        <v>2113501</v>
      </c>
      <c r="H14" s="199">
        <v>0</v>
      </c>
      <c r="I14" s="198"/>
      <c r="J14" s="199">
        <v>0</v>
      </c>
    </row>
    <row r="15" spans="1:10" ht="15.75">
      <c r="A15" s="196">
        <v>11221</v>
      </c>
      <c r="B15" s="197" t="s">
        <v>466</v>
      </c>
      <c r="C15" s="198">
        <v>2113501</v>
      </c>
      <c r="D15" s="198">
        <v>0</v>
      </c>
      <c r="E15" s="198">
        <v>0</v>
      </c>
      <c r="F15" s="198">
        <v>0</v>
      </c>
      <c r="G15" s="198">
        <v>2113501</v>
      </c>
      <c r="H15" s="199">
        <v>0</v>
      </c>
      <c r="I15" s="198"/>
      <c r="J15" s="199">
        <v>0</v>
      </c>
    </row>
    <row r="16" spans="1:10" ht="15.75">
      <c r="A16" s="192">
        <v>131</v>
      </c>
      <c r="B16" s="193" t="s">
        <v>470</v>
      </c>
      <c r="C16" s="194">
        <v>13790457147</v>
      </c>
      <c r="D16" s="194">
        <v>332968000</v>
      </c>
      <c r="E16" s="194">
        <f>65413885422+TNHH!E9</f>
        <v>65627404222</v>
      </c>
      <c r="F16" s="194">
        <v>65881902419</v>
      </c>
      <c r="G16" s="194">
        <f>13714800150+TNHH!G9</f>
        <v>13928318950</v>
      </c>
      <c r="H16" s="195">
        <v>725328000</v>
      </c>
      <c r="I16" s="194">
        <v>13928318950</v>
      </c>
      <c r="J16" s="195">
        <v>725328000</v>
      </c>
    </row>
    <row r="17" spans="1:10" ht="15.75">
      <c r="A17" s="192">
        <v>133</v>
      </c>
      <c r="B17" s="193" t="s">
        <v>471</v>
      </c>
      <c r="C17" s="194">
        <v>0</v>
      </c>
      <c r="D17" s="194">
        <v>0</v>
      </c>
      <c r="E17" s="194">
        <f>E18</f>
        <v>6140767522</v>
      </c>
      <c r="F17" s="194">
        <f>F18</f>
        <v>5078374959</v>
      </c>
      <c r="G17" s="194">
        <f>E17-F17</f>
        <v>1062392563</v>
      </c>
      <c r="H17" s="195">
        <v>0</v>
      </c>
      <c r="I17" s="194">
        <v>1062392563</v>
      </c>
      <c r="J17" s="195">
        <v>0</v>
      </c>
    </row>
    <row r="18" spans="1:10" ht="15.75">
      <c r="A18" s="196">
        <v>1331</v>
      </c>
      <c r="B18" s="197" t="s">
        <v>472</v>
      </c>
      <c r="C18" s="198">
        <v>0</v>
      </c>
      <c r="D18" s="198">
        <v>0</v>
      </c>
      <c r="E18" s="198">
        <f>E19</f>
        <v>6140767522</v>
      </c>
      <c r="F18" s="198">
        <f>F19</f>
        <v>5078374959</v>
      </c>
      <c r="G18" s="198">
        <f>E18-F18</f>
        <v>1062392563</v>
      </c>
      <c r="H18" s="199">
        <v>0</v>
      </c>
      <c r="I18" s="198"/>
      <c r="J18" s="199">
        <v>0</v>
      </c>
    </row>
    <row r="19" spans="1:10" ht="15.75">
      <c r="A19" s="196">
        <v>13311</v>
      </c>
      <c r="B19" s="197" t="s">
        <v>472</v>
      </c>
      <c r="C19" s="198">
        <v>0</v>
      </c>
      <c r="D19" s="198">
        <v>0</v>
      </c>
      <c r="E19" s="198">
        <f>5994378522+TNHH!E11</f>
        <v>6140767522</v>
      </c>
      <c r="F19" s="198">
        <f>4932284159+TNHH!F12</f>
        <v>5078374959</v>
      </c>
      <c r="G19" s="198">
        <f>E19-F19</f>
        <v>1062392563</v>
      </c>
      <c r="H19" s="199">
        <v>0</v>
      </c>
      <c r="I19" s="198"/>
      <c r="J19" s="199">
        <v>0</v>
      </c>
    </row>
    <row r="20" spans="1:10" ht="15.75">
      <c r="A20" s="196">
        <v>1368</v>
      </c>
      <c r="B20" s="197" t="s">
        <v>561</v>
      </c>
      <c r="C20" s="198">
        <v>0</v>
      </c>
      <c r="D20" s="198">
        <v>0</v>
      </c>
      <c r="E20" s="198">
        <f>177452000+TNHH!E14</f>
        <v>1570932000</v>
      </c>
      <c r="F20" s="219">
        <f>E20</f>
        <v>1570932000</v>
      </c>
      <c r="G20" s="198"/>
      <c r="H20" s="199">
        <v>0</v>
      </c>
      <c r="I20" s="198"/>
      <c r="J20" s="199">
        <v>0</v>
      </c>
    </row>
    <row r="21" spans="1:10" ht="15.75">
      <c r="A21" s="192">
        <v>138</v>
      </c>
      <c r="B21" s="193" t="s">
        <v>544</v>
      </c>
      <c r="C21" s="194">
        <v>2694675</v>
      </c>
      <c r="D21" s="194">
        <v>0</v>
      </c>
      <c r="E21" s="194">
        <f>E22</f>
        <v>15167508596</v>
      </c>
      <c r="F21" s="194">
        <f>F22</f>
        <v>15170203271</v>
      </c>
      <c r="G21" s="194">
        <f>C21+E21-F21</f>
        <v>0</v>
      </c>
      <c r="H21" s="195">
        <v>0</v>
      </c>
      <c r="I21" s="194">
        <v>0</v>
      </c>
      <c r="J21" s="195">
        <v>0</v>
      </c>
    </row>
    <row r="22" spans="1:10" ht="15.75">
      <c r="A22" s="196">
        <v>1388</v>
      </c>
      <c r="B22" s="197" t="s">
        <v>544</v>
      </c>
      <c r="C22" s="198">
        <v>2694675</v>
      </c>
      <c r="D22" s="198">
        <v>0</v>
      </c>
      <c r="E22" s="198">
        <f>4150125+TNHH!E16</f>
        <v>15167508596</v>
      </c>
      <c r="F22" s="198">
        <f>6844800+15163358471</f>
        <v>15170203271</v>
      </c>
      <c r="G22" s="198">
        <f>C22+E22-F22</f>
        <v>0</v>
      </c>
      <c r="H22" s="199">
        <v>0</v>
      </c>
      <c r="I22" s="198">
        <v>0</v>
      </c>
      <c r="J22" s="199">
        <v>0</v>
      </c>
    </row>
    <row r="23" spans="1:10" ht="15.75">
      <c r="A23" s="192">
        <v>139</v>
      </c>
      <c r="B23" s="193" t="s">
        <v>473</v>
      </c>
      <c r="C23" s="194">
        <v>0</v>
      </c>
      <c r="D23" s="194">
        <v>225515550</v>
      </c>
      <c r="E23" s="194">
        <v>225515550</v>
      </c>
      <c r="F23" s="194">
        <v>0</v>
      </c>
      <c r="G23" s="194">
        <v>0</v>
      </c>
      <c r="H23" s="195">
        <v>0</v>
      </c>
      <c r="I23" s="194">
        <v>0</v>
      </c>
      <c r="J23" s="195">
        <v>0</v>
      </c>
    </row>
    <row r="24" spans="1:10" ht="15.75">
      <c r="A24" s="192">
        <v>152</v>
      </c>
      <c r="B24" s="193" t="s">
        <v>474</v>
      </c>
      <c r="C24" s="194">
        <v>18101918632</v>
      </c>
      <c r="D24" s="194">
        <v>0</v>
      </c>
      <c r="E24" s="194">
        <f>E25</f>
        <v>41065220780</v>
      </c>
      <c r="F24" s="194">
        <f>F25</f>
        <v>42305697192</v>
      </c>
      <c r="G24" s="194">
        <f>C24+E24-F24</f>
        <v>16861442220</v>
      </c>
      <c r="H24" s="195">
        <v>0</v>
      </c>
      <c r="I24" s="194">
        <v>16861442220</v>
      </c>
      <c r="J24" s="195">
        <v>0</v>
      </c>
    </row>
    <row r="25" spans="1:10" ht="15.75">
      <c r="A25" s="196">
        <v>1521</v>
      </c>
      <c r="B25" s="197" t="s">
        <v>475</v>
      </c>
      <c r="C25" s="198">
        <v>18101918632</v>
      </c>
      <c r="D25" s="198">
        <v>0</v>
      </c>
      <c r="E25" s="198">
        <f>39689200780+TNHH!E18</f>
        <v>41065220780</v>
      </c>
      <c r="F25" s="198">
        <f>40929677192+TNHH!F18</f>
        <v>42305697192</v>
      </c>
      <c r="G25" s="198">
        <f>C25+E25-F25</f>
        <v>16861442220</v>
      </c>
      <c r="H25" s="199">
        <v>0</v>
      </c>
      <c r="I25" s="198"/>
      <c r="J25" s="199">
        <v>0</v>
      </c>
    </row>
    <row r="26" spans="1:10" ht="15.75">
      <c r="A26" s="192">
        <v>153</v>
      </c>
      <c r="B26" s="193" t="s">
        <v>476</v>
      </c>
      <c r="C26" s="194">
        <v>0</v>
      </c>
      <c r="D26" s="194">
        <v>0</v>
      </c>
      <c r="E26" s="194">
        <f>E27</f>
        <v>61371818</v>
      </c>
      <c r="F26" s="194">
        <f>F27</f>
        <v>30205151</v>
      </c>
      <c r="G26" s="194">
        <f>G27</f>
        <v>31166667</v>
      </c>
      <c r="H26" s="195">
        <v>0</v>
      </c>
      <c r="I26" s="194">
        <v>31166666.67</v>
      </c>
      <c r="J26" s="195">
        <v>0</v>
      </c>
    </row>
    <row r="27" spans="1:10" ht="15.75">
      <c r="A27" s="196">
        <v>1531</v>
      </c>
      <c r="B27" s="197" t="s">
        <v>476</v>
      </c>
      <c r="C27" s="198">
        <v>0</v>
      </c>
      <c r="D27" s="198">
        <v>0</v>
      </c>
      <c r="E27" s="198">
        <f>27371818+TNHH!E20</f>
        <v>61371818</v>
      </c>
      <c r="F27" s="198">
        <f>27371818+TNHH!F20</f>
        <v>30205151</v>
      </c>
      <c r="G27" s="198">
        <f>E27-F27</f>
        <v>31166667</v>
      </c>
      <c r="H27" s="199">
        <v>0</v>
      </c>
      <c r="I27" s="198"/>
      <c r="J27" s="199">
        <v>0</v>
      </c>
    </row>
    <row r="28" spans="1:10" ht="15.75">
      <c r="A28" s="192">
        <v>154</v>
      </c>
      <c r="B28" s="193" t="s">
        <v>477</v>
      </c>
      <c r="C28" s="194">
        <v>3626594073</v>
      </c>
      <c r="D28" s="194">
        <v>0</v>
      </c>
      <c r="E28" s="194">
        <v>57627106047</v>
      </c>
      <c r="F28" s="194">
        <v>49514170962</v>
      </c>
      <c r="G28" s="194">
        <v>11739529158</v>
      </c>
      <c r="H28" s="195">
        <v>0</v>
      </c>
      <c r="I28" s="194">
        <v>11739529158</v>
      </c>
      <c r="J28" s="195">
        <v>0</v>
      </c>
    </row>
    <row r="29" spans="1:10" ht="15.75">
      <c r="A29" s="196">
        <v>1541</v>
      </c>
      <c r="B29" s="197" t="s">
        <v>478</v>
      </c>
      <c r="C29" s="198">
        <v>3626594073</v>
      </c>
      <c r="D29" s="198">
        <v>0</v>
      </c>
      <c r="E29" s="198">
        <f>57627106047</f>
        <v>57627106047</v>
      </c>
      <c r="F29" s="198">
        <v>49514170962</v>
      </c>
      <c r="G29" s="198">
        <v>11739529158</v>
      </c>
      <c r="H29" s="199">
        <v>0</v>
      </c>
      <c r="I29" s="198"/>
      <c r="J29" s="199">
        <v>0</v>
      </c>
    </row>
    <row r="30" spans="1:10" ht="15.75">
      <c r="A30" s="192">
        <v>211</v>
      </c>
      <c r="B30" s="193" t="s">
        <v>479</v>
      </c>
      <c r="C30" s="194">
        <v>13448354762</v>
      </c>
      <c r="D30" s="194">
        <v>0</v>
      </c>
      <c r="E30" s="194">
        <f>SUM(E31:E35)</f>
        <v>9871641529</v>
      </c>
      <c r="F30" s="194">
        <f>SUM(F31:F35)</f>
        <v>9836641529</v>
      </c>
      <c r="G30" s="194">
        <f>C30+E30-F30</f>
        <v>13483354762</v>
      </c>
      <c r="H30" s="195">
        <v>0</v>
      </c>
      <c r="I30" s="194">
        <v>13483354762</v>
      </c>
      <c r="J30" s="195">
        <v>0</v>
      </c>
    </row>
    <row r="31" spans="1:10" ht="15.75">
      <c r="A31" s="196">
        <v>2111</v>
      </c>
      <c r="B31" s="197" t="s">
        <v>480</v>
      </c>
      <c r="C31" s="198">
        <v>2768845238</v>
      </c>
      <c r="D31" s="198">
        <v>0</v>
      </c>
      <c r="E31" s="213">
        <v>7592897482</v>
      </c>
      <c r="F31" s="198">
        <f>E31</f>
        <v>7592897482</v>
      </c>
      <c r="G31" s="198">
        <v>2768845238</v>
      </c>
      <c r="H31" s="199">
        <v>0</v>
      </c>
      <c r="I31" s="198"/>
      <c r="J31" s="199">
        <v>0</v>
      </c>
    </row>
    <row r="32" spans="1:10" ht="15.75">
      <c r="A32" s="196">
        <v>2112</v>
      </c>
      <c r="B32" s="197" t="s">
        <v>481</v>
      </c>
      <c r="C32" s="198">
        <v>8563826118</v>
      </c>
      <c r="D32" s="198">
        <v>0</v>
      </c>
      <c r="E32" s="213">
        <v>700886900</v>
      </c>
      <c r="F32" s="198">
        <f>E32</f>
        <v>700886900</v>
      </c>
      <c r="G32" s="198">
        <v>8563826118</v>
      </c>
      <c r="H32" s="199">
        <v>0</v>
      </c>
      <c r="I32" s="198"/>
      <c r="J32" s="199">
        <v>0</v>
      </c>
    </row>
    <row r="33" spans="1:10" ht="15.75">
      <c r="A33" s="196">
        <v>2113</v>
      </c>
      <c r="B33" s="197" t="s">
        <v>482</v>
      </c>
      <c r="C33" s="198">
        <v>514750000</v>
      </c>
      <c r="D33" s="198">
        <v>0</v>
      </c>
      <c r="E33" s="213"/>
      <c r="F33" s="198">
        <v>0</v>
      </c>
      <c r="G33" s="198">
        <v>514750000</v>
      </c>
      <c r="H33" s="199">
        <v>0</v>
      </c>
      <c r="I33" s="198"/>
      <c r="J33" s="199">
        <v>0</v>
      </c>
    </row>
    <row r="34" spans="1:10" ht="15.75">
      <c r="A34" s="196">
        <v>2115</v>
      </c>
      <c r="B34" s="197" t="s">
        <v>537</v>
      </c>
      <c r="C34" s="198">
        <v>58076264</v>
      </c>
      <c r="D34" s="198">
        <v>0</v>
      </c>
      <c r="E34" s="213">
        <v>35000000</v>
      </c>
      <c r="F34" s="198"/>
      <c r="G34" s="198">
        <f>C34+E34</f>
        <v>93076264</v>
      </c>
      <c r="H34" s="199">
        <v>0</v>
      </c>
      <c r="I34" s="198"/>
      <c r="J34" s="199">
        <v>0</v>
      </c>
    </row>
    <row r="35" spans="1:10" ht="15.75">
      <c r="A35" s="196">
        <v>2118</v>
      </c>
      <c r="B35" s="197" t="s">
        <v>528</v>
      </c>
      <c r="C35" s="198">
        <v>1542857142</v>
      </c>
      <c r="D35" s="198">
        <v>0</v>
      </c>
      <c r="E35" s="213">
        <v>1542857147</v>
      </c>
      <c r="F35" s="198">
        <f>E35</f>
        <v>1542857147</v>
      </c>
      <c r="G35" s="198">
        <v>1542857142</v>
      </c>
      <c r="H35" s="199">
        <v>0</v>
      </c>
      <c r="I35" s="198"/>
      <c r="J35" s="199">
        <v>0</v>
      </c>
    </row>
    <row r="36" spans="1:10" ht="15.75">
      <c r="A36" s="192">
        <v>213</v>
      </c>
      <c r="B36" s="193" t="s">
        <v>483</v>
      </c>
      <c r="C36" s="194">
        <v>112752000</v>
      </c>
      <c r="D36" s="194">
        <v>0</v>
      </c>
      <c r="E36" s="194">
        <v>0</v>
      </c>
      <c r="F36" s="194">
        <v>0</v>
      </c>
      <c r="G36" s="194">
        <v>112752000</v>
      </c>
      <c r="H36" s="195">
        <v>0</v>
      </c>
      <c r="I36" s="194">
        <v>112752000</v>
      </c>
      <c r="J36" s="195">
        <v>0</v>
      </c>
    </row>
    <row r="37" spans="1:10" ht="15.75">
      <c r="A37" s="196">
        <v>2131</v>
      </c>
      <c r="B37" s="197" t="s">
        <v>484</v>
      </c>
      <c r="C37" s="198">
        <v>112752000</v>
      </c>
      <c r="D37" s="198">
        <v>0</v>
      </c>
      <c r="E37" s="198">
        <v>0</v>
      </c>
      <c r="F37" s="198">
        <v>0</v>
      </c>
      <c r="G37" s="198">
        <v>112752000</v>
      </c>
      <c r="H37" s="199">
        <v>0</v>
      </c>
      <c r="I37" s="198"/>
      <c r="J37" s="199">
        <v>0</v>
      </c>
    </row>
    <row r="38" spans="1:10" ht="15.75">
      <c r="A38" s="192">
        <v>214</v>
      </c>
      <c r="B38" s="193" t="s">
        <v>485</v>
      </c>
      <c r="C38" s="194">
        <v>0</v>
      </c>
      <c r="D38" s="194">
        <v>2340209047</v>
      </c>
      <c r="E38" s="194"/>
      <c r="F38" s="194">
        <f>F39+F40</f>
        <v>665865038</v>
      </c>
      <c r="G38" s="194">
        <v>0</v>
      </c>
      <c r="H38" s="195">
        <f>D38+F38</f>
        <v>3006074085</v>
      </c>
      <c r="I38" s="194">
        <v>0</v>
      </c>
      <c r="J38" s="195">
        <v>3006074085.23</v>
      </c>
    </row>
    <row r="39" spans="1:10" ht="15.75">
      <c r="A39" s="196">
        <v>2141</v>
      </c>
      <c r="B39" s="197" t="s">
        <v>486</v>
      </c>
      <c r="C39" s="198">
        <v>0</v>
      </c>
      <c r="D39" s="198">
        <v>2314187796</v>
      </c>
      <c r="E39" s="198">
        <v>0</v>
      </c>
      <c r="F39" s="198">
        <f>614740537+TNHH!F26</f>
        <v>657038582</v>
      </c>
      <c r="G39" s="198">
        <v>0</v>
      </c>
      <c r="H39" s="199">
        <f>D39+F39</f>
        <v>2971226378</v>
      </c>
      <c r="I39" s="198">
        <v>0</v>
      </c>
      <c r="J39" s="199"/>
    </row>
    <row r="40" spans="1:10" ht="15.75">
      <c r="A40" s="196">
        <v>2143</v>
      </c>
      <c r="B40" s="197" t="s">
        <v>487</v>
      </c>
      <c r="C40" s="198">
        <v>0</v>
      </c>
      <c r="D40" s="198">
        <v>26021251</v>
      </c>
      <c r="E40" s="198">
        <v>0</v>
      </c>
      <c r="F40" s="198">
        <v>8826456</v>
      </c>
      <c r="G40" s="198">
        <v>0</v>
      </c>
      <c r="H40" s="199">
        <v>34847707</v>
      </c>
      <c r="I40" s="198">
        <v>0</v>
      </c>
      <c r="J40" s="199"/>
    </row>
    <row r="41" spans="1:10" ht="15.75">
      <c r="A41" s="196">
        <v>221</v>
      </c>
      <c r="B41" s="197" t="s">
        <v>607</v>
      </c>
      <c r="C41" s="198"/>
      <c r="D41" s="198"/>
      <c r="E41" s="198">
        <v>25000000000</v>
      </c>
      <c r="F41" s="198">
        <v>25000000000</v>
      </c>
      <c r="G41" s="198"/>
      <c r="H41" s="199"/>
      <c r="I41" s="198"/>
      <c r="J41" s="199"/>
    </row>
    <row r="42" spans="1:10" ht="15.75">
      <c r="A42" s="192">
        <v>242</v>
      </c>
      <c r="B42" s="193" t="s">
        <v>548</v>
      </c>
      <c r="C42" s="194">
        <v>162208361</v>
      </c>
      <c r="D42" s="194">
        <v>0</v>
      </c>
      <c r="E42" s="194">
        <v>0</v>
      </c>
      <c r="F42" s="194">
        <v>162208361</v>
      </c>
      <c r="G42" s="194">
        <v>0</v>
      </c>
      <c r="H42" s="195">
        <v>0</v>
      </c>
      <c r="I42" s="194">
        <v>0</v>
      </c>
      <c r="J42" s="195">
        <v>0</v>
      </c>
    </row>
    <row r="43" spans="1:10" ht="15.75">
      <c r="A43" s="192">
        <v>311</v>
      </c>
      <c r="B43" s="193" t="s">
        <v>488</v>
      </c>
      <c r="C43" s="194">
        <v>0</v>
      </c>
      <c r="D43" s="194">
        <v>7997315000</v>
      </c>
      <c r="E43" s="194">
        <v>15593537000</v>
      </c>
      <c r="F43" s="194">
        <v>14896222000</v>
      </c>
      <c r="G43" s="194">
        <v>0</v>
      </c>
      <c r="H43" s="195">
        <v>7300000000</v>
      </c>
      <c r="I43" s="194">
        <v>0</v>
      </c>
      <c r="J43" s="195">
        <v>7300000000</v>
      </c>
    </row>
    <row r="44" spans="1:10" ht="15.75">
      <c r="A44" s="196">
        <v>3113</v>
      </c>
      <c r="B44" s="197" t="s">
        <v>489</v>
      </c>
      <c r="C44" s="198">
        <v>0</v>
      </c>
      <c r="D44" s="198">
        <v>3900000000</v>
      </c>
      <c r="E44" s="198">
        <f>1300000000</f>
        <v>1300000000</v>
      </c>
      <c r="F44" s="198">
        <v>4400000000</v>
      </c>
      <c r="G44" s="198">
        <v>0</v>
      </c>
      <c r="H44" s="199">
        <v>7000000000</v>
      </c>
      <c r="I44" s="198">
        <v>0</v>
      </c>
      <c r="J44" s="199"/>
    </row>
    <row r="45" spans="1:10" ht="15.75">
      <c r="A45" s="196">
        <v>3114</v>
      </c>
      <c r="B45" s="197" t="s">
        <v>490</v>
      </c>
      <c r="C45" s="198">
        <v>0</v>
      </c>
      <c r="D45" s="198">
        <v>4097315000</v>
      </c>
      <c r="E45" s="198">
        <v>14293537000</v>
      </c>
      <c r="F45" s="198">
        <v>10496222000</v>
      </c>
      <c r="G45" s="198">
        <v>0</v>
      </c>
      <c r="H45" s="199">
        <v>300000000</v>
      </c>
      <c r="I45" s="198">
        <v>0</v>
      </c>
      <c r="J45" s="199"/>
    </row>
    <row r="46" spans="1:10" ht="15.75">
      <c r="A46" s="192">
        <v>331</v>
      </c>
      <c r="B46" s="193" t="s">
        <v>491</v>
      </c>
      <c r="C46" s="194">
        <v>503618586</v>
      </c>
      <c r="D46" s="194">
        <v>12184846393</v>
      </c>
      <c r="E46" s="194">
        <f>57015514430+TNHH!E29</f>
        <v>57015514430</v>
      </c>
      <c r="F46" s="194">
        <f>61620799984+TNHH!F29</f>
        <v>63032869984</v>
      </c>
      <c r="G46" s="194">
        <v>1087503467</v>
      </c>
      <c r="H46" s="195">
        <f>17374016828+TNHH!H29</f>
        <v>18786086828</v>
      </c>
      <c r="I46" s="194">
        <v>1087503467</v>
      </c>
      <c r="J46" s="195">
        <v>18786086828</v>
      </c>
    </row>
    <row r="47" spans="1:10" ht="15.75">
      <c r="A47" s="192">
        <v>333</v>
      </c>
      <c r="B47" s="193" t="s">
        <v>492</v>
      </c>
      <c r="C47" s="194">
        <v>0</v>
      </c>
      <c r="D47" s="194">
        <v>86264928</v>
      </c>
      <c r="E47" s="194">
        <f>E48+E50+E51+E53</f>
        <v>6216093838</v>
      </c>
      <c r="F47" s="194">
        <f>F48+F50+F51+F53</f>
        <v>6262686185</v>
      </c>
      <c r="G47" s="194">
        <v>0</v>
      </c>
      <c r="H47" s="195">
        <f>D47+F47-E47</f>
        <v>132857275</v>
      </c>
      <c r="I47" s="194">
        <v>0</v>
      </c>
      <c r="J47" s="195">
        <v>130517151</v>
      </c>
    </row>
    <row r="48" spans="1:10" ht="15.75">
      <c r="A48" s="196">
        <v>3331</v>
      </c>
      <c r="B48" s="197" t="s">
        <v>493</v>
      </c>
      <c r="C48" s="198">
        <v>0</v>
      </c>
      <c r="D48" s="198">
        <v>42401611</v>
      </c>
      <c r="E48" s="198">
        <f>E49</f>
        <v>6143612121</v>
      </c>
      <c r="F48" s="198">
        <f>F49</f>
        <v>6101210510</v>
      </c>
      <c r="G48" s="198">
        <v>0</v>
      </c>
      <c r="H48" s="199">
        <v>0</v>
      </c>
      <c r="I48" s="198">
        <v>0</v>
      </c>
      <c r="J48" s="199">
        <v>0</v>
      </c>
    </row>
    <row r="49" spans="1:10" ht="15.75">
      <c r="A49" s="196">
        <v>33311</v>
      </c>
      <c r="B49" s="197" t="s">
        <v>494</v>
      </c>
      <c r="C49" s="198">
        <v>0</v>
      </c>
      <c r="D49" s="198">
        <v>42401611</v>
      </c>
      <c r="E49" s="198">
        <f>5997521321+TNHH!E32</f>
        <v>6143612121</v>
      </c>
      <c r="F49" s="198">
        <f>5955119710+TNHH!F32</f>
        <v>6101210510</v>
      </c>
      <c r="G49" s="198">
        <v>0</v>
      </c>
      <c r="H49" s="199">
        <v>0</v>
      </c>
      <c r="I49" s="198">
        <v>0</v>
      </c>
      <c r="J49" s="199">
        <v>0</v>
      </c>
    </row>
    <row r="50" spans="1:10" ht="15.75">
      <c r="A50" s="196">
        <v>3334</v>
      </c>
      <c r="B50" s="197" t="s">
        <v>495</v>
      </c>
      <c r="C50" s="198">
        <v>0</v>
      </c>
      <c r="D50" s="198">
        <v>43863317</v>
      </c>
      <c r="E50" s="198">
        <v>50393317</v>
      </c>
      <c r="F50" s="198">
        <f>137047151+TNHH!F33</f>
        <v>139387275</v>
      </c>
      <c r="G50" s="198">
        <v>0</v>
      </c>
      <c r="H50" s="199">
        <f>D50+F50-E50</f>
        <v>132857275</v>
      </c>
      <c r="I50" s="198">
        <v>0</v>
      </c>
      <c r="J50" s="199"/>
    </row>
    <row r="51" spans="1:10" ht="15.75">
      <c r="A51" s="196">
        <v>3337</v>
      </c>
      <c r="B51" s="197" t="s">
        <v>546</v>
      </c>
      <c r="C51" s="198">
        <v>0</v>
      </c>
      <c r="D51" s="198">
        <v>0</v>
      </c>
      <c r="E51" s="198">
        <v>16286400</v>
      </c>
      <c r="F51" s="198">
        <v>16286400</v>
      </c>
      <c r="G51" s="198">
        <v>0</v>
      </c>
      <c r="H51" s="199">
        <v>0</v>
      </c>
      <c r="I51" s="198">
        <v>0</v>
      </c>
      <c r="J51" s="199">
        <v>0</v>
      </c>
    </row>
    <row r="52" spans="1:10" ht="15.75">
      <c r="A52" s="196">
        <v>33372</v>
      </c>
      <c r="B52" s="197" t="s">
        <v>547</v>
      </c>
      <c r="C52" s="198">
        <v>0</v>
      </c>
      <c r="D52" s="198">
        <v>0</v>
      </c>
      <c r="E52" s="198">
        <v>16286400</v>
      </c>
      <c r="F52" s="198">
        <v>16286400</v>
      </c>
      <c r="G52" s="198">
        <v>0</v>
      </c>
      <c r="H52" s="199">
        <v>0</v>
      </c>
      <c r="I52" s="198">
        <v>0</v>
      </c>
      <c r="J52" s="199">
        <v>0</v>
      </c>
    </row>
    <row r="53" spans="1:10" ht="15.75">
      <c r="A53" s="196">
        <v>3338</v>
      </c>
      <c r="B53" s="197" t="s">
        <v>496</v>
      </c>
      <c r="C53" s="198">
        <v>0</v>
      </c>
      <c r="D53" s="198">
        <v>0</v>
      </c>
      <c r="E53" s="198">
        <f>4302000+TNHH!E34</f>
        <v>5802000</v>
      </c>
      <c r="F53" s="198">
        <f>4302000+TNHH!F34</f>
        <v>5802000</v>
      </c>
      <c r="G53" s="198">
        <v>0</v>
      </c>
      <c r="H53" s="199">
        <v>0</v>
      </c>
      <c r="I53" s="198">
        <v>0</v>
      </c>
      <c r="J53" s="199">
        <v>0</v>
      </c>
    </row>
    <row r="54" spans="1:10" ht="15.75">
      <c r="A54" s="192">
        <v>334</v>
      </c>
      <c r="B54" s="193" t="s">
        <v>497</v>
      </c>
      <c r="C54" s="194">
        <v>0</v>
      </c>
      <c r="D54" s="194">
        <v>0</v>
      </c>
      <c r="E54" s="194">
        <f>E55+E56</f>
        <v>4784340000</v>
      </c>
      <c r="F54" s="194">
        <f>F55+F56</f>
        <v>4784340000</v>
      </c>
      <c r="G54" s="194">
        <v>0</v>
      </c>
      <c r="H54" s="195">
        <v>0</v>
      </c>
      <c r="I54" s="194">
        <v>0</v>
      </c>
      <c r="J54" s="195">
        <v>0</v>
      </c>
    </row>
    <row r="55" spans="1:10" ht="15.75">
      <c r="A55" s="196">
        <v>3341</v>
      </c>
      <c r="B55" s="197" t="s">
        <v>498</v>
      </c>
      <c r="C55" s="198">
        <v>0</v>
      </c>
      <c r="D55" s="198">
        <v>0</v>
      </c>
      <c r="E55" s="198">
        <f>2678490000+TNHH!E36</f>
        <v>2685990000</v>
      </c>
      <c r="F55" s="198">
        <f>2678490000+TNHH!F36</f>
        <v>2685990000</v>
      </c>
      <c r="G55" s="198">
        <v>0</v>
      </c>
      <c r="H55" s="199">
        <v>0</v>
      </c>
      <c r="I55" s="198">
        <v>0</v>
      </c>
      <c r="J55" s="199">
        <v>0</v>
      </c>
    </row>
    <row r="56" spans="1:10" ht="15.75">
      <c r="A56" s="196">
        <v>3342</v>
      </c>
      <c r="B56" s="197" t="s">
        <v>499</v>
      </c>
      <c r="C56" s="198">
        <v>0</v>
      </c>
      <c r="D56" s="198">
        <v>0</v>
      </c>
      <c r="E56" s="198">
        <v>2098350000</v>
      </c>
      <c r="F56" s="198">
        <v>2098350000</v>
      </c>
      <c r="G56" s="198">
        <v>0</v>
      </c>
      <c r="H56" s="199">
        <v>0</v>
      </c>
      <c r="I56" s="198">
        <v>0</v>
      </c>
      <c r="J56" s="199">
        <v>0</v>
      </c>
    </row>
    <row r="57" spans="1:10" ht="15.75">
      <c r="A57" s="192">
        <v>336</v>
      </c>
      <c r="B57" s="193" t="s">
        <v>562</v>
      </c>
      <c r="C57" s="194">
        <v>0</v>
      </c>
      <c r="D57" s="194">
        <v>0</v>
      </c>
      <c r="E57" s="220">
        <f>F57</f>
        <v>1570932000</v>
      </c>
      <c r="F57" s="194">
        <f>1393480000+TNHH!F37</f>
        <v>1570932000</v>
      </c>
      <c r="G57" s="194">
        <v>0</v>
      </c>
      <c r="H57" s="195"/>
      <c r="I57" s="194">
        <v>0</v>
      </c>
      <c r="J57" s="195"/>
    </row>
    <row r="58" spans="1:10" ht="15.75">
      <c r="A58" s="192">
        <v>338</v>
      </c>
      <c r="B58" s="193" t="s">
        <v>500</v>
      </c>
      <c r="C58" s="194">
        <v>3445925</v>
      </c>
      <c r="D58" s="194">
        <v>216786178</v>
      </c>
      <c r="E58" s="194">
        <v>341749000</v>
      </c>
      <c r="F58" s="194">
        <f>F59+F60</f>
        <v>15695789662</v>
      </c>
      <c r="G58" s="194">
        <v>8963754</v>
      </c>
      <c r="H58" s="195">
        <f>H60</f>
        <v>412986198</v>
      </c>
      <c r="I58" s="194">
        <v>8963754</v>
      </c>
      <c r="J58" s="195">
        <v>412986198</v>
      </c>
    </row>
    <row r="59" spans="1:10" ht="15.75">
      <c r="A59" s="196">
        <v>3383</v>
      </c>
      <c r="B59" s="197" t="s">
        <v>501</v>
      </c>
      <c r="C59" s="198">
        <v>3445925</v>
      </c>
      <c r="D59" s="198">
        <v>0</v>
      </c>
      <c r="E59" s="198">
        <v>333920320</v>
      </c>
      <c r="F59" s="198">
        <v>328402491</v>
      </c>
      <c r="G59" s="198">
        <v>8963754</v>
      </c>
      <c r="H59" s="199">
        <v>0</v>
      </c>
      <c r="I59" s="198"/>
      <c r="J59" s="199">
        <v>0</v>
      </c>
    </row>
    <row r="60" spans="1:10" ht="15.75">
      <c r="A60" s="196">
        <v>3388</v>
      </c>
      <c r="B60" s="197" t="s">
        <v>500</v>
      </c>
      <c r="C60" s="198">
        <v>0</v>
      </c>
      <c r="D60" s="198">
        <v>216786178</v>
      </c>
      <c r="E60" s="198">
        <f>7828680+15163358471</f>
        <v>15171187151</v>
      </c>
      <c r="F60" s="198">
        <f>4028700+TNHH!F39+15163358471</f>
        <v>15367387171</v>
      </c>
      <c r="G60" s="198">
        <v>0</v>
      </c>
      <c r="H60" s="199">
        <f>D60+F60-E60</f>
        <v>412986198</v>
      </c>
      <c r="I60" s="198">
        <v>0</v>
      </c>
      <c r="J60" s="199"/>
    </row>
    <row r="61" spans="1:10" ht="15.75">
      <c r="A61" s="192">
        <v>411</v>
      </c>
      <c r="B61" s="193" t="s">
        <v>502</v>
      </c>
      <c r="C61" s="194">
        <v>0</v>
      </c>
      <c r="D61" s="194">
        <v>28750000000</v>
      </c>
      <c r="E61" s="194">
        <f>BCDSPS!E62</f>
        <v>25000000000</v>
      </c>
      <c r="F61" s="194">
        <f>800000000+TNHH!F40</f>
        <v>25800000000</v>
      </c>
      <c r="G61" s="194">
        <v>0</v>
      </c>
      <c r="H61" s="195">
        <v>29550000000</v>
      </c>
      <c r="I61" s="194">
        <v>0</v>
      </c>
      <c r="J61" s="195">
        <v>29550000000</v>
      </c>
    </row>
    <row r="62" spans="1:10" ht="15.75">
      <c r="A62" s="192">
        <v>414</v>
      </c>
      <c r="B62" s="193" t="s">
        <v>503</v>
      </c>
      <c r="C62" s="194">
        <v>0</v>
      </c>
      <c r="D62" s="194">
        <v>50000000</v>
      </c>
      <c r="E62" s="194">
        <v>50000000</v>
      </c>
      <c r="F62" s="194">
        <v>0</v>
      </c>
      <c r="G62" s="194">
        <v>0</v>
      </c>
      <c r="H62" s="195">
        <v>0</v>
      </c>
      <c r="I62" s="194">
        <v>0</v>
      </c>
      <c r="J62" s="195">
        <v>0</v>
      </c>
    </row>
    <row r="63" spans="1:10" ht="15.75">
      <c r="A63" s="192">
        <v>415</v>
      </c>
      <c r="B63" s="193" t="s">
        <v>504</v>
      </c>
      <c r="C63" s="194">
        <v>0</v>
      </c>
      <c r="D63" s="194">
        <v>50000000</v>
      </c>
      <c r="E63" s="194">
        <v>50000000</v>
      </c>
      <c r="F63" s="194">
        <v>0</v>
      </c>
      <c r="G63" s="194">
        <v>0</v>
      </c>
      <c r="H63" s="195">
        <v>0</v>
      </c>
      <c r="I63" s="194">
        <v>0</v>
      </c>
      <c r="J63" s="195">
        <v>0</v>
      </c>
    </row>
    <row r="64" spans="1:10" ht="15.75">
      <c r="A64" s="192">
        <v>421</v>
      </c>
      <c r="B64" s="193" t="s">
        <v>505</v>
      </c>
      <c r="C64" s="194">
        <v>0</v>
      </c>
      <c r="D64" s="194">
        <v>738887673</v>
      </c>
      <c r="E64" s="194">
        <f>E65+E66</f>
        <v>1216552921</v>
      </c>
      <c r="F64" s="194">
        <f>F65+F66</f>
        <v>561967801</v>
      </c>
      <c r="G64" s="194">
        <v>0</v>
      </c>
      <c r="H64" s="195">
        <f>D64+F64-E64</f>
        <v>84302553</v>
      </c>
      <c r="I64" s="194">
        <v>0</v>
      </c>
      <c r="J64" s="195">
        <v>86642676.44000006</v>
      </c>
    </row>
    <row r="65" spans="1:10" ht="15.75">
      <c r="A65" s="196">
        <v>4211</v>
      </c>
      <c r="B65" s="197" t="s">
        <v>506</v>
      </c>
      <c r="C65" s="198">
        <v>0</v>
      </c>
      <c r="D65" s="198">
        <v>672174816</v>
      </c>
      <c r="E65" s="198">
        <v>711205790</v>
      </c>
      <c r="F65" s="198">
        <v>66712857</v>
      </c>
      <c r="G65" s="198">
        <v>0</v>
      </c>
      <c r="H65" s="199">
        <f>D65+F65-E65</f>
        <v>27681883</v>
      </c>
      <c r="I65" s="198">
        <v>0</v>
      </c>
      <c r="J65" s="199"/>
    </row>
    <row r="66" spans="1:10" ht="15.75">
      <c r="A66" s="196">
        <v>4212</v>
      </c>
      <c r="B66" s="197" t="s">
        <v>507</v>
      </c>
      <c r="C66" s="198">
        <v>0</v>
      </c>
      <c r="D66" s="198">
        <v>66712857</v>
      </c>
      <c r="E66" s="198">
        <f>505347131+TNHH!E42</f>
        <v>505347131</v>
      </c>
      <c r="F66" s="198">
        <f>485894446+TNHH!F42</f>
        <v>495254944</v>
      </c>
      <c r="G66" s="198">
        <v>0</v>
      </c>
      <c r="H66" s="199">
        <f>D66+F66-E66</f>
        <v>56620670</v>
      </c>
      <c r="I66" s="198">
        <v>0</v>
      </c>
      <c r="J66" s="199"/>
    </row>
    <row r="67" spans="1:10" ht="15.75">
      <c r="A67" s="192">
        <v>431</v>
      </c>
      <c r="B67" s="193" t="s">
        <v>508</v>
      </c>
      <c r="C67" s="194">
        <v>0</v>
      </c>
      <c r="D67" s="194">
        <v>50000000</v>
      </c>
      <c r="E67" s="194">
        <v>50000000</v>
      </c>
      <c r="F67" s="194">
        <v>0</v>
      </c>
      <c r="G67" s="194">
        <v>0</v>
      </c>
      <c r="H67" s="195">
        <v>0</v>
      </c>
      <c r="I67" s="194">
        <v>0</v>
      </c>
      <c r="J67" s="195">
        <v>0</v>
      </c>
    </row>
    <row r="68" spans="1:10" ht="15.75">
      <c r="A68" s="196">
        <v>4311</v>
      </c>
      <c r="B68" s="197" t="s">
        <v>509</v>
      </c>
      <c r="C68" s="198">
        <v>0</v>
      </c>
      <c r="D68" s="198">
        <v>50000000</v>
      </c>
      <c r="E68" s="198">
        <v>50000000</v>
      </c>
      <c r="F68" s="198">
        <v>0</v>
      </c>
      <c r="G68" s="198">
        <v>0</v>
      </c>
      <c r="H68" s="199">
        <v>0</v>
      </c>
      <c r="I68" s="198">
        <v>0</v>
      </c>
      <c r="J68" s="199">
        <v>0</v>
      </c>
    </row>
    <row r="69" spans="1:10" ht="15.75">
      <c r="A69" s="192">
        <v>511</v>
      </c>
      <c r="B69" s="193" t="s">
        <v>510</v>
      </c>
      <c r="C69" s="194">
        <v>0</v>
      </c>
      <c r="D69" s="194">
        <v>0</v>
      </c>
      <c r="E69" s="194">
        <f>E70+E71</f>
        <v>60927217072</v>
      </c>
      <c r="F69" s="194">
        <f>E69</f>
        <v>60927217072</v>
      </c>
      <c r="G69" s="194">
        <v>0</v>
      </c>
      <c r="H69" s="195">
        <v>0</v>
      </c>
      <c r="I69" s="194">
        <v>0</v>
      </c>
      <c r="J69" s="195">
        <v>0</v>
      </c>
    </row>
    <row r="70" spans="1:10" ht="15.75">
      <c r="A70" s="196">
        <v>5111</v>
      </c>
      <c r="B70" s="197" t="s">
        <v>511</v>
      </c>
      <c r="C70" s="198">
        <v>0</v>
      </c>
      <c r="D70" s="198">
        <v>0</v>
      </c>
      <c r="E70" s="198">
        <f>55518630072</f>
        <v>55518630072</v>
      </c>
      <c r="F70" s="198">
        <v>55518630072</v>
      </c>
      <c r="G70" s="198">
        <v>0</v>
      </c>
      <c r="H70" s="199">
        <v>0</v>
      </c>
      <c r="I70" s="198">
        <v>0</v>
      </c>
      <c r="J70" s="199">
        <v>0</v>
      </c>
    </row>
    <row r="71" spans="1:10" ht="15.75">
      <c r="A71" s="196">
        <v>5114</v>
      </c>
      <c r="B71" s="197" t="s">
        <v>556</v>
      </c>
      <c r="C71" s="198">
        <v>0</v>
      </c>
      <c r="D71" s="198">
        <v>0</v>
      </c>
      <c r="E71" s="198">
        <f>4032567000+TNHH!E46</f>
        <v>5408587000</v>
      </c>
      <c r="F71" s="198">
        <f>4032567000+TNHH!F44</f>
        <v>5493475000</v>
      </c>
      <c r="G71" s="198">
        <v>0</v>
      </c>
      <c r="H71" s="199">
        <v>0</v>
      </c>
      <c r="I71" s="198">
        <v>0</v>
      </c>
      <c r="J71" s="199">
        <v>0</v>
      </c>
    </row>
    <row r="72" spans="1:10" ht="15.75">
      <c r="A72" s="192">
        <v>515</v>
      </c>
      <c r="B72" s="193" t="s">
        <v>512</v>
      </c>
      <c r="C72" s="194">
        <v>0</v>
      </c>
      <c r="D72" s="194">
        <v>0</v>
      </c>
      <c r="E72" s="194">
        <v>11516319</v>
      </c>
      <c r="F72" s="194">
        <v>11516319</v>
      </c>
      <c r="G72" s="194">
        <v>0</v>
      </c>
      <c r="H72" s="195">
        <v>0</v>
      </c>
      <c r="I72" s="194">
        <v>0</v>
      </c>
      <c r="J72" s="195">
        <v>0</v>
      </c>
    </row>
    <row r="73" spans="1:10" ht="15.75">
      <c r="A73" s="192">
        <v>621</v>
      </c>
      <c r="B73" s="193" t="s">
        <v>513</v>
      </c>
      <c r="C73" s="194">
        <v>0</v>
      </c>
      <c r="D73" s="194">
        <v>0</v>
      </c>
      <c r="E73" s="194">
        <v>37695005608</v>
      </c>
      <c r="F73" s="194">
        <v>37695005608</v>
      </c>
      <c r="G73" s="194">
        <v>0</v>
      </c>
      <c r="H73" s="195">
        <v>0</v>
      </c>
      <c r="I73" s="194">
        <v>0</v>
      </c>
      <c r="J73" s="195">
        <v>0</v>
      </c>
    </row>
    <row r="74" spans="1:10" ht="15.75">
      <c r="A74" s="196">
        <v>6211</v>
      </c>
      <c r="B74" s="197" t="s">
        <v>514</v>
      </c>
      <c r="C74" s="198">
        <v>0</v>
      </c>
      <c r="D74" s="198">
        <v>0</v>
      </c>
      <c r="E74" s="198">
        <v>37695005608</v>
      </c>
      <c r="F74" s="198">
        <v>37695005608</v>
      </c>
      <c r="G74" s="198">
        <v>0</v>
      </c>
      <c r="H74" s="199">
        <v>0</v>
      </c>
      <c r="I74" s="198">
        <v>0</v>
      </c>
      <c r="J74" s="199">
        <v>0</v>
      </c>
    </row>
    <row r="75" spans="1:10" ht="15.75">
      <c r="A75" s="192">
        <v>622</v>
      </c>
      <c r="B75" s="193" t="s">
        <v>515</v>
      </c>
      <c r="C75" s="194">
        <v>0</v>
      </c>
      <c r="D75" s="194">
        <v>0</v>
      </c>
      <c r="E75" s="194">
        <v>17752899200</v>
      </c>
      <c r="F75" s="194">
        <v>17752899200</v>
      </c>
      <c r="G75" s="194">
        <v>0</v>
      </c>
      <c r="H75" s="195">
        <v>0</v>
      </c>
      <c r="I75" s="194">
        <v>0</v>
      </c>
      <c r="J75" s="195">
        <v>0</v>
      </c>
    </row>
    <row r="76" spans="1:10" ht="15.75">
      <c r="A76" s="196">
        <v>6221</v>
      </c>
      <c r="B76" s="197" t="s">
        <v>516</v>
      </c>
      <c r="C76" s="198">
        <v>0</v>
      </c>
      <c r="D76" s="198">
        <v>0</v>
      </c>
      <c r="E76" s="198">
        <v>17752899200</v>
      </c>
      <c r="F76" s="198">
        <v>17752899200</v>
      </c>
      <c r="G76" s="198">
        <v>0</v>
      </c>
      <c r="H76" s="199">
        <v>0</v>
      </c>
      <c r="I76" s="198">
        <v>0</v>
      </c>
      <c r="J76" s="199">
        <v>0</v>
      </c>
    </row>
    <row r="77" spans="1:10" ht="15.75">
      <c r="A77" s="192">
        <v>627</v>
      </c>
      <c r="B77" s="193" t="s">
        <v>517</v>
      </c>
      <c r="C77" s="194">
        <v>0</v>
      </c>
      <c r="D77" s="194">
        <v>0</v>
      </c>
      <c r="E77" s="194">
        <v>2179201239</v>
      </c>
      <c r="F77" s="194">
        <v>2179201239</v>
      </c>
      <c r="G77" s="194">
        <v>0</v>
      </c>
      <c r="H77" s="195">
        <v>0</v>
      </c>
      <c r="I77" s="194">
        <v>0</v>
      </c>
      <c r="J77" s="195">
        <v>0</v>
      </c>
    </row>
    <row r="78" spans="1:10" ht="15.75">
      <c r="A78" s="196">
        <v>6272</v>
      </c>
      <c r="B78" s="197" t="s">
        <v>518</v>
      </c>
      <c r="C78" s="198">
        <v>0</v>
      </c>
      <c r="D78" s="198">
        <v>0</v>
      </c>
      <c r="E78" s="198">
        <v>892300000</v>
      </c>
      <c r="F78" s="198">
        <v>892300000</v>
      </c>
      <c r="G78" s="198">
        <v>0</v>
      </c>
      <c r="H78" s="199">
        <v>0</v>
      </c>
      <c r="I78" s="198">
        <v>0</v>
      </c>
      <c r="J78" s="199">
        <v>0</v>
      </c>
    </row>
    <row r="79" spans="1:10" ht="15.75">
      <c r="A79" s="196">
        <v>6274</v>
      </c>
      <c r="B79" s="197" t="s">
        <v>519</v>
      </c>
      <c r="C79" s="198">
        <v>0</v>
      </c>
      <c r="D79" s="198">
        <v>0</v>
      </c>
      <c r="E79" s="198">
        <v>171340416</v>
      </c>
      <c r="F79" s="198">
        <v>171340416</v>
      </c>
      <c r="G79" s="198">
        <v>0</v>
      </c>
      <c r="H79" s="199">
        <v>0</v>
      </c>
      <c r="I79" s="198">
        <v>0</v>
      </c>
      <c r="J79" s="199">
        <v>0</v>
      </c>
    </row>
    <row r="80" spans="1:10" ht="15.75" customHeight="1" hidden="1">
      <c r="A80" s="196">
        <v>6277</v>
      </c>
      <c r="B80" s="197" t="s">
        <v>520</v>
      </c>
      <c r="C80" s="198">
        <v>0</v>
      </c>
      <c r="D80" s="198">
        <v>0</v>
      </c>
      <c r="E80" s="198">
        <v>802285823</v>
      </c>
      <c r="F80" s="198">
        <v>802285823</v>
      </c>
      <c r="G80" s="198">
        <v>0</v>
      </c>
      <c r="H80" s="199">
        <v>0</v>
      </c>
      <c r="I80" s="198">
        <v>0</v>
      </c>
      <c r="J80" s="199">
        <v>0</v>
      </c>
    </row>
    <row r="81" spans="1:10" ht="15.75">
      <c r="A81" s="196">
        <v>6278</v>
      </c>
      <c r="B81" s="197" t="s">
        <v>557</v>
      </c>
      <c r="C81" s="198">
        <v>0</v>
      </c>
      <c r="D81" s="198">
        <v>0</v>
      </c>
      <c r="E81" s="198">
        <v>313275000</v>
      </c>
      <c r="F81" s="198">
        <v>313275000</v>
      </c>
      <c r="G81" s="198">
        <v>0</v>
      </c>
      <c r="H81" s="199">
        <v>0</v>
      </c>
      <c r="I81" s="198">
        <v>0</v>
      </c>
      <c r="J81" s="199">
        <v>0</v>
      </c>
    </row>
    <row r="82" spans="1:10" ht="15.75">
      <c r="A82" s="192">
        <v>632</v>
      </c>
      <c r="B82" s="193" t="s">
        <v>521</v>
      </c>
      <c r="C82" s="194">
        <v>0</v>
      </c>
      <c r="D82" s="194">
        <v>0</v>
      </c>
      <c r="E82" s="194">
        <f>E83+E84</f>
        <v>54124862546</v>
      </c>
      <c r="F82" s="194">
        <f>E82</f>
        <v>54124862546</v>
      </c>
      <c r="G82" s="194">
        <v>0</v>
      </c>
      <c r="H82" s="195">
        <v>0</v>
      </c>
      <c r="I82" s="194">
        <v>0</v>
      </c>
      <c r="J82" s="195">
        <v>0</v>
      </c>
    </row>
    <row r="83" spans="1:10" ht="15.75">
      <c r="A83" s="196">
        <v>6321</v>
      </c>
      <c r="B83" s="197" t="s">
        <v>522</v>
      </c>
      <c r="C83" s="198">
        <v>0</v>
      </c>
      <c r="D83" s="198">
        <v>0</v>
      </c>
      <c r="E83" s="198">
        <v>49514171222</v>
      </c>
      <c r="F83" s="198">
        <v>49514171222</v>
      </c>
      <c r="G83" s="198">
        <v>0</v>
      </c>
      <c r="H83" s="199">
        <v>0</v>
      </c>
      <c r="I83" s="198">
        <v>0</v>
      </c>
      <c r="J83" s="199">
        <v>0</v>
      </c>
    </row>
    <row r="84" spans="1:10" ht="15.75">
      <c r="A84" s="196">
        <v>6324</v>
      </c>
      <c r="B84" s="197" t="s">
        <v>558</v>
      </c>
      <c r="C84" s="198">
        <v>0</v>
      </c>
      <c r="D84" s="198">
        <v>0</v>
      </c>
      <c r="E84" s="198">
        <f>3234671324+TNHH!E45</f>
        <v>4610691324</v>
      </c>
      <c r="F84" s="198">
        <f>3234671324+TNHH!F45</f>
        <v>4610691324</v>
      </c>
      <c r="G84" s="198">
        <v>0</v>
      </c>
      <c r="H84" s="199">
        <v>0</v>
      </c>
      <c r="I84" s="198">
        <v>0</v>
      </c>
      <c r="J84" s="199">
        <v>0</v>
      </c>
    </row>
    <row r="85" spans="1:10" ht="15.75">
      <c r="A85" s="192">
        <v>635</v>
      </c>
      <c r="B85" s="193" t="s">
        <v>523</v>
      </c>
      <c r="C85" s="194">
        <v>0</v>
      </c>
      <c r="D85" s="194">
        <v>0</v>
      </c>
      <c r="E85" s="194">
        <v>196328442</v>
      </c>
      <c r="F85" s="194">
        <v>196328442</v>
      </c>
      <c r="G85" s="194">
        <v>0</v>
      </c>
      <c r="H85" s="195">
        <v>0</v>
      </c>
      <c r="I85" s="194">
        <v>0</v>
      </c>
      <c r="J85" s="195">
        <v>0</v>
      </c>
    </row>
    <row r="86" spans="1:10" ht="15.75">
      <c r="A86" s="196">
        <v>6351</v>
      </c>
      <c r="B86" s="197" t="s">
        <v>524</v>
      </c>
      <c r="C86" s="198">
        <v>0</v>
      </c>
      <c r="D86" s="198">
        <v>0</v>
      </c>
      <c r="E86" s="198">
        <v>196328442</v>
      </c>
      <c r="F86" s="198">
        <v>196328442</v>
      </c>
      <c r="G86" s="198">
        <v>0</v>
      </c>
      <c r="H86" s="199">
        <v>0</v>
      </c>
      <c r="I86" s="198">
        <v>0</v>
      </c>
      <c r="J86" s="199">
        <v>0</v>
      </c>
    </row>
    <row r="87" spans="1:10" ht="15.75">
      <c r="A87" s="192">
        <v>642</v>
      </c>
      <c r="B87" s="193" t="s">
        <v>525</v>
      </c>
      <c r="C87" s="194">
        <v>0</v>
      </c>
      <c r="D87" s="194">
        <v>0</v>
      </c>
      <c r="E87" s="194">
        <f>6233825088+TNHH!E47</f>
        <v>6307012466</v>
      </c>
      <c r="F87" s="194">
        <f>E87</f>
        <v>6307012466</v>
      </c>
      <c r="G87" s="194">
        <v>0</v>
      </c>
      <c r="H87" s="195">
        <v>0</v>
      </c>
      <c r="I87" s="194">
        <v>0</v>
      </c>
      <c r="J87" s="195">
        <v>0</v>
      </c>
    </row>
    <row r="88" spans="1:10" ht="15.75">
      <c r="A88" s="192">
        <v>711</v>
      </c>
      <c r="B88" s="193" t="s">
        <v>563</v>
      </c>
      <c r="C88" s="194">
        <v>0</v>
      </c>
      <c r="D88" s="194">
        <v>0</v>
      </c>
      <c r="E88" s="194">
        <v>538</v>
      </c>
      <c r="F88" s="194">
        <v>538</v>
      </c>
      <c r="G88" s="194">
        <v>0</v>
      </c>
      <c r="H88" s="195">
        <v>0</v>
      </c>
      <c r="I88" s="194">
        <v>0</v>
      </c>
      <c r="J88" s="195">
        <v>0</v>
      </c>
    </row>
    <row r="89" spans="1:10" ht="15.75">
      <c r="A89" s="192">
        <v>811</v>
      </c>
      <c r="B89" s="193" t="s">
        <v>564</v>
      </c>
      <c r="C89" s="194">
        <v>0</v>
      </c>
      <c r="D89" s="194">
        <v>0</v>
      </c>
      <c r="E89" s="194">
        <v>6</v>
      </c>
      <c r="F89" s="194">
        <v>6</v>
      </c>
      <c r="G89" s="194">
        <v>0</v>
      </c>
      <c r="H89" s="195">
        <v>0</v>
      </c>
      <c r="I89" s="194">
        <v>0</v>
      </c>
      <c r="J89" s="195">
        <v>0</v>
      </c>
    </row>
    <row r="90" spans="1:10" ht="15.75">
      <c r="A90" s="192">
        <v>821</v>
      </c>
      <c r="B90" s="193" t="s">
        <v>526</v>
      </c>
      <c r="C90" s="194">
        <v>0</v>
      </c>
      <c r="D90" s="194">
        <v>0</v>
      </c>
      <c r="E90" s="194">
        <f>137047151+TNHH!E48</f>
        <v>139387275</v>
      </c>
      <c r="F90" s="194">
        <f>E90</f>
        <v>139387275</v>
      </c>
      <c r="G90" s="194">
        <v>0</v>
      </c>
      <c r="H90" s="195">
        <v>0</v>
      </c>
      <c r="I90" s="194">
        <v>0</v>
      </c>
      <c r="J90" s="195">
        <v>0</v>
      </c>
    </row>
    <row r="91" spans="1:10" ht="16.5" thickBot="1">
      <c r="A91" s="200">
        <v>911</v>
      </c>
      <c r="B91" s="201" t="s">
        <v>527</v>
      </c>
      <c r="C91" s="202">
        <v>0</v>
      </c>
      <c r="D91" s="202">
        <v>0</v>
      </c>
      <c r="E91" s="202">
        <v>59562713929</v>
      </c>
      <c r="F91" s="202">
        <v>59562713929</v>
      </c>
      <c r="G91" s="202">
        <v>0</v>
      </c>
      <c r="H91" s="203">
        <v>0</v>
      </c>
      <c r="I91" s="202">
        <v>0</v>
      </c>
      <c r="J91" s="203">
        <v>0</v>
      </c>
    </row>
    <row r="92" spans="9:10" ht="15.75">
      <c r="I92" s="221">
        <f>SUM(I6:I91)</f>
        <v>59997634938.67</v>
      </c>
      <c r="J92" s="221">
        <f>SUM(J6:J91)</f>
        <v>59997634938.67</v>
      </c>
    </row>
  </sheetData>
  <sheetProtection/>
  <mergeCells count="8">
    <mergeCell ref="A1:H1"/>
    <mergeCell ref="A2:H2"/>
    <mergeCell ref="A3:H3"/>
    <mergeCell ref="A4:A5"/>
    <mergeCell ref="B4:B5"/>
    <mergeCell ref="C4:D4"/>
    <mergeCell ref="E4:F4"/>
    <mergeCell ref="G4:H4"/>
  </mergeCells>
  <printOptions/>
  <pageMargins left="0.48" right="0.28" top="0.35" bottom="0.45" header="0.21" footer="0.2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19"/>
  <sheetViews>
    <sheetView tabSelected="1" zoomScalePageLayoutView="0" workbookViewId="0" topLeftCell="A30">
      <selection activeCell="D74" sqref="D74"/>
    </sheetView>
  </sheetViews>
  <sheetFormatPr defaultColWidth="9.00390625" defaultRowHeight="15.75"/>
  <cols>
    <col min="1" max="1" width="35.00390625" style="43" customWidth="1"/>
    <col min="2" max="2" width="7.50390625" style="7" customWidth="1"/>
    <col min="3" max="3" width="6.875" style="43" customWidth="1"/>
    <col min="4" max="4" width="15.50390625" style="44" customWidth="1"/>
    <col min="5" max="5" width="16.00390625" style="44" customWidth="1"/>
    <col min="6" max="6" width="16.50390625" style="43" customWidth="1"/>
    <col min="7" max="7" width="16.75390625" style="43" customWidth="1"/>
    <col min="8" max="8" width="16.875" style="43" customWidth="1"/>
    <col min="9" max="16384" width="9.00390625" style="43" customWidth="1"/>
  </cols>
  <sheetData>
    <row r="1" spans="1:8" ht="15.75">
      <c r="A1" s="239" t="s">
        <v>7</v>
      </c>
      <c r="B1" s="240"/>
      <c r="C1" s="3"/>
      <c r="D1" s="3" t="s">
        <v>8</v>
      </c>
      <c r="E1" s="4"/>
      <c r="G1" s="3"/>
      <c r="H1" s="1"/>
    </row>
    <row r="2" spans="1:8" ht="15.75">
      <c r="A2" s="241" t="s">
        <v>9</v>
      </c>
      <c r="B2" s="241"/>
      <c r="C2" s="241"/>
      <c r="D2" s="172" t="s">
        <v>608</v>
      </c>
      <c r="E2" s="3"/>
      <c r="H2" s="2"/>
    </row>
    <row r="3" spans="1:7" ht="15.75">
      <c r="A3" s="242" t="s">
        <v>10</v>
      </c>
      <c r="B3" s="242"/>
      <c r="C3" s="5"/>
      <c r="D3" s="3" t="s">
        <v>11</v>
      </c>
      <c r="E3" s="3"/>
      <c r="F3" s="5"/>
      <c r="G3" s="4"/>
    </row>
    <row r="4" spans="1:5" ht="15.75">
      <c r="A4" s="4"/>
      <c r="B4" s="4"/>
      <c r="C4" s="243"/>
      <c r="D4" s="243"/>
      <c r="E4" s="4"/>
    </row>
    <row r="5" spans="1:5" s="6" customFormat="1" ht="19.5" customHeight="1">
      <c r="A5" s="238" t="s">
        <v>12</v>
      </c>
      <c r="B5" s="238"/>
      <c r="C5" s="238"/>
      <c r="D5" s="238"/>
      <c r="E5" s="238"/>
    </row>
    <row r="6" spans="2:5" s="6" customFormat="1" ht="12.75" thickBot="1">
      <c r="B6" s="7"/>
      <c r="D6" s="8"/>
      <c r="E6" s="8"/>
    </row>
    <row r="7" spans="1:5" s="14" customFormat="1" ht="30.75" thickTop="1">
      <c r="A7" s="9" t="s">
        <v>13</v>
      </c>
      <c r="B7" s="10" t="s">
        <v>14</v>
      </c>
      <c r="C7" s="11" t="s">
        <v>15</v>
      </c>
      <c r="D7" s="12" t="s">
        <v>16</v>
      </c>
      <c r="E7" s="13" t="s">
        <v>442</v>
      </c>
    </row>
    <row r="8" spans="1:5" s="20" customFormat="1" ht="20.25" customHeight="1">
      <c r="A8" s="15" t="s">
        <v>17</v>
      </c>
      <c r="B8" s="16"/>
      <c r="C8" s="17"/>
      <c r="D8" s="18"/>
      <c r="E8" s="19"/>
    </row>
    <row r="9" spans="1:5" s="20" customFormat="1" ht="20.25" customHeight="1">
      <c r="A9" s="15" t="s">
        <v>18</v>
      </c>
      <c r="B9" s="16" t="s">
        <v>19</v>
      </c>
      <c r="C9" s="17"/>
      <c r="D9" s="18">
        <f>D10+D16+D23+D26</f>
        <v>46401528177</v>
      </c>
      <c r="E9" s="19">
        <f>E10+E16+E23+E26</f>
        <v>39073962096</v>
      </c>
    </row>
    <row r="10" spans="1:5" s="20" customFormat="1" ht="20.25" customHeight="1">
      <c r="A10" s="15" t="s">
        <v>20</v>
      </c>
      <c r="B10" s="16" t="s">
        <v>21</v>
      </c>
      <c r="C10" s="17"/>
      <c r="D10" s="18">
        <f>D11</f>
        <v>1682211398</v>
      </c>
      <c r="E10" s="19">
        <f>E11</f>
        <v>3270748608</v>
      </c>
    </row>
    <row r="11" spans="1:5" s="20" customFormat="1" ht="20.25" customHeight="1">
      <c r="A11" s="21" t="s">
        <v>22</v>
      </c>
      <c r="B11" s="22" t="s">
        <v>23</v>
      </c>
      <c r="C11" s="23"/>
      <c r="D11" s="24">
        <f>'hop nhat '!G6+'hop nhat '!G8</f>
        <v>1682211398</v>
      </c>
      <c r="E11" s="25">
        <f>'hop nhat '!C6+'hop nhat '!C8</f>
        <v>3270748608</v>
      </c>
    </row>
    <row r="12" spans="1:5" s="20" customFormat="1" ht="20.25" customHeight="1">
      <c r="A12" s="21" t="s">
        <v>24</v>
      </c>
      <c r="B12" s="22" t="s">
        <v>25</v>
      </c>
      <c r="C12" s="23"/>
      <c r="D12" s="24">
        <v>0</v>
      </c>
      <c r="E12" s="25">
        <v>0</v>
      </c>
    </row>
    <row r="13" spans="1:5" s="20" customFormat="1" ht="20.25" customHeight="1">
      <c r="A13" s="15" t="s">
        <v>26</v>
      </c>
      <c r="B13" s="16" t="s">
        <v>27</v>
      </c>
      <c r="C13" s="17"/>
      <c r="D13" s="18">
        <v>0</v>
      </c>
      <c r="E13" s="19">
        <v>0</v>
      </c>
    </row>
    <row r="14" spans="1:5" s="20" customFormat="1" ht="20.25" customHeight="1">
      <c r="A14" s="21" t="s">
        <v>28</v>
      </c>
      <c r="B14" s="22" t="s">
        <v>29</v>
      </c>
      <c r="C14" s="23"/>
      <c r="D14" s="24">
        <v>0</v>
      </c>
      <c r="E14" s="25">
        <v>0</v>
      </c>
    </row>
    <row r="15" spans="1:5" s="20" customFormat="1" ht="20.25" customHeight="1">
      <c r="A15" s="21" t="s">
        <v>30</v>
      </c>
      <c r="B15" s="22" t="s">
        <v>31</v>
      </c>
      <c r="C15" s="23"/>
      <c r="D15" s="24">
        <v>0</v>
      </c>
      <c r="E15" s="25">
        <v>0</v>
      </c>
    </row>
    <row r="16" spans="1:5" s="20" customFormat="1" ht="20.25" customHeight="1">
      <c r="A16" s="15" t="s">
        <v>32</v>
      </c>
      <c r="B16" s="16" t="s">
        <v>33</v>
      </c>
      <c r="C16" s="17"/>
      <c r="D16" s="18">
        <f>SUM(D17:D22)</f>
        <v>15024786171</v>
      </c>
      <c r="E16" s="26">
        <f>E17+E18+E19+E21+E22</f>
        <v>14074700783</v>
      </c>
    </row>
    <row r="17" spans="1:5" s="20" customFormat="1" ht="20.25" customHeight="1">
      <c r="A17" s="21" t="s">
        <v>34</v>
      </c>
      <c r="B17" s="22" t="s">
        <v>35</v>
      </c>
      <c r="C17" s="23"/>
      <c r="D17" s="24">
        <f>'hop nhat '!G16</f>
        <v>13928318950</v>
      </c>
      <c r="E17" s="25">
        <f>'hop nhat '!C16</f>
        <v>13790457147</v>
      </c>
    </row>
    <row r="18" spans="1:5" s="20" customFormat="1" ht="20.25" customHeight="1">
      <c r="A18" s="21" t="s">
        <v>36</v>
      </c>
      <c r="B18" s="22" t="s">
        <v>37</v>
      </c>
      <c r="C18" s="23"/>
      <c r="D18" s="24">
        <f>'hop nhat '!G46</f>
        <v>1087503467</v>
      </c>
      <c r="E18" s="25">
        <f>'hop nhat '!C46</f>
        <v>503618586</v>
      </c>
    </row>
    <row r="19" spans="1:5" s="20" customFormat="1" ht="20.25" customHeight="1">
      <c r="A19" s="21" t="s">
        <v>38</v>
      </c>
      <c r="B19" s="22" t="s">
        <v>39</v>
      </c>
      <c r="C19" s="23"/>
      <c r="D19" s="24">
        <v>8963754</v>
      </c>
      <c r="E19" s="25">
        <f>BCDSPS!C59</f>
        <v>3445925</v>
      </c>
    </row>
    <row r="20" spans="1:5" s="20" customFormat="1" ht="20.25" customHeight="1">
      <c r="A20" s="21" t="s">
        <v>40</v>
      </c>
      <c r="B20" s="22" t="s">
        <v>41</v>
      </c>
      <c r="C20" s="23"/>
      <c r="D20" s="24">
        <v>0</v>
      </c>
      <c r="E20" s="25">
        <v>0</v>
      </c>
    </row>
    <row r="21" spans="1:5" s="20" customFormat="1" ht="20.25" customHeight="1">
      <c r="A21" s="21" t="s">
        <v>42</v>
      </c>
      <c r="B21" s="22" t="s">
        <v>43</v>
      </c>
      <c r="C21" s="23"/>
      <c r="D21" s="24"/>
      <c r="E21" s="25">
        <f>'hop nhat '!C21</f>
        <v>2694675</v>
      </c>
    </row>
    <row r="22" spans="1:5" s="20" customFormat="1" ht="20.25" customHeight="1">
      <c r="A22" s="21" t="s">
        <v>44</v>
      </c>
      <c r="B22" s="22" t="s">
        <v>45</v>
      </c>
      <c r="C22" s="23"/>
      <c r="D22" s="24">
        <f>-BCDSPS!H21</f>
        <v>0</v>
      </c>
      <c r="E22" s="25">
        <f>-'hop nhat '!D23</f>
        <v>-225515550</v>
      </c>
    </row>
    <row r="23" spans="1:5" s="20" customFormat="1" ht="20.25" customHeight="1">
      <c r="A23" s="15" t="s">
        <v>46</v>
      </c>
      <c r="B23" s="16" t="s">
        <v>47</v>
      </c>
      <c r="C23" s="17"/>
      <c r="D23" s="18">
        <f>D24</f>
        <v>28632138045</v>
      </c>
      <c r="E23" s="19">
        <f>E24</f>
        <v>21728512705</v>
      </c>
    </row>
    <row r="24" spans="1:5" s="20" customFormat="1" ht="20.25" customHeight="1">
      <c r="A24" s="21" t="s">
        <v>48</v>
      </c>
      <c r="B24" s="22" t="s">
        <v>49</v>
      </c>
      <c r="C24" s="23"/>
      <c r="D24" s="24">
        <f>'hop nhat '!G24+'hop nhat '!G26+'hop nhat '!G28</f>
        <v>28632138045</v>
      </c>
      <c r="E24" s="25">
        <f>'hop nhat '!C24+'hop nhat '!C28</f>
        <v>21728512705</v>
      </c>
    </row>
    <row r="25" spans="1:5" s="20" customFormat="1" ht="20.25" customHeight="1">
      <c r="A25" s="21" t="s">
        <v>50</v>
      </c>
      <c r="B25" s="22" t="s">
        <v>51</v>
      </c>
      <c r="C25" s="23"/>
      <c r="D25" s="24">
        <v>0</v>
      </c>
      <c r="E25" s="25">
        <v>0</v>
      </c>
    </row>
    <row r="26" spans="1:5" s="20" customFormat="1" ht="20.25" customHeight="1">
      <c r="A26" s="15" t="s">
        <v>52</v>
      </c>
      <c r="B26" s="16" t="s">
        <v>53</v>
      </c>
      <c r="C26" s="17"/>
      <c r="D26" s="18">
        <f>SUM(D27:D30)</f>
        <v>1062392563</v>
      </c>
      <c r="E26" s="26">
        <f>SUM(E27:E30)</f>
        <v>0</v>
      </c>
    </row>
    <row r="27" spans="1:5" s="20" customFormat="1" ht="20.25" customHeight="1">
      <c r="A27" s="21" t="s">
        <v>54</v>
      </c>
      <c r="B27" s="22" t="s">
        <v>55</v>
      </c>
      <c r="C27" s="23"/>
      <c r="D27" s="159">
        <v>0</v>
      </c>
      <c r="E27" s="160">
        <v>0</v>
      </c>
    </row>
    <row r="28" spans="1:5" s="20" customFormat="1" ht="20.25" customHeight="1">
      <c r="A28" s="21" t="s">
        <v>56</v>
      </c>
      <c r="B28" s="22" t="s">
        <v>57</v>
      </c>
      <c r="C28" s="23"/>
      <c r="D28" s="24">
        <f>'hop nhat '!G17</f>
        <v>1062392563</v>
      </c>
      <c r="E28" s="25">
        <f>BCDSPS!C17</f>
        <v>0</v>
      </c>
    </row>
    <row r="29" spans="1:5" s="20" customFormat="1" ht="20.25" customHeight="1">
      <c r="A29" s="21" t="s">
        <v>58</v>
      </c>
      <c r="B29" s="22" t="s">
        <v>59</v>
      </c>
      <c r="C29" s="23"/>
      <c r="D29" s="24"/>
      <c r="E29" s="25"/>
    </row>
    <row r="30" spans="1:5" s="20" customFormat="1" ht="20.25" customHeight="1">
      <c r="A30" s="21" t="s">
        <v>60</v>
      </c>
      <c r="B30" s="22" t="s">
        <v>61</v>
      </c>
      <c r="C30" s="23"/>
      <c r="D30" s="24">
        <v>0</v>
      </c>
      <c r="E30" s="25">
        <v>0</v>
      </c>
    </row>
    <row r="31" spans="1:5" s="20" customFormat="1" ht="20.25" customHeight="1">
      <c r="A31" s="15" t="s">
        <v>62</v>
      </c>
      <c r="B31" s="16" t="s">
        <v>63</v>
      </c>
      <c r="C31" s="17"/>
      <c r="D31" s="18">
        <f>D38+D49+D52+D57</f>
        <v>10590032677</v>
      </c>
      <c r="E31" s="26">
        <f>E38+E49+E52+E57</f>
        <v>11383106076</v>
      </c>
    </row>
    <row r="32" spans="1:5" s="20" customFormat="1" ht="20.25" customHeight="1">
      <c r="A32" s="15" t="s">
        <v>64</v>
      </c>
      <c r="B32" s="16" t="s">
        <v>65</v>
      </c>
      <c r="C32" s="17"/>
      <c r="D32" s="18">
        <v>0</v>
      </c>
      <c r="E32" s="19">
        <f>SUM(E33:E37)</f>
        <v>0</v>
      </c>
    </row>
    <row r="33" spans="1:5" s="20" customFormat="1" ht="20.25" customHeight="1">
      <c r="A33" s="21" t="s">
        <v>66</v>
      </c>
      <c r="B33" s="22" t="s">
        <v>67</v>
      </c>
      <c r="C33" s="23"/>
      <c r="D33" s="24">
        <v>0</v>
      </c>
      <c r="E33" s="25">
        <v>0</v>
      </c>
    </row>
    <row r="34" spans="1:5" s="20" customFormat="1" ht="20.25" customHeight="1">
      <c r="A34" s="21" t="s">
        <v>68</v>
      </c>
      <c r="B34" s="22" t="s">
        <v>69</v>
      </c>
      <c r="C34" s="23"/>
      <c r="D34" s="24">
        <v>0</v>
      </c>
      <c r="E34" s="25">
        <v>0</v>
      </c>
    </row>
    <row r="35" spans="1:5" s="20" customFormat="1" ht="20.25" customHeight="1">
      <c r="A35" s="21" t="s">
        <v>70</v>
      </c>
      <c r="B35" s="22" t="s">
        <v>71</v>
      </c>
      <c r="C35" s="23"/>
      <c r="D35" s="24">
        <v>0</v>
      </c>
      <c r="E35" s="25">
        <v>0</v>
      </c>
    </row>
    <row r="36" spans="1:5" s="20" customFormat="1" ht="20.25" customHeight="1">
      <c r="A36" s="21" t="s">
        <v>72</v>
      </c>
      <c r="B36" s="22" t="s">
        <v>73</v>
      </c>
      <c r="C36" s="23"/>
      <c r="D36" s="24"/>
      <c r="E36" s="25"/>
    </row>
    <row r="37" spans="1:5" s="20" customFormat="1" ht="20.25" customHeight="1">
      <c r="A37" s="21" t="s">
        <v>74</v>
      </c>
      <c r="B37" s="22" t="s">
        <v>75</v>
      </c>
      <c r="C37" s="23"/>
      <c r="D37" s="24">
        <v>0</v>
      </c>
      <c r="E37" s="25"/>
    </row>
    <row r="38" spans="1:5" s="20" customFormat="1" ht="20.25" customHeight="1">
      <c r="A38" s="15" t="s">
        <v>76</v>
      </c>
      <c r="B38" s="16" t="s">
        <v>77</v>
      </c>
      <c r="C38" s="17"/>
      <c r="D38" s="18">
        <f>D39+D45+D48</f>
        <v>10590032677</v>
      </c>
      <c r="E38" s="26">
        <f>E39+E45+E48</f>
        <v>11220897715</v>
      </c>
    </row>
    <row r="39" spans="1:7" s="20" customFormat="1" ht="20.25" customHeight="1">
      <c r="A39" s="15" t="s">
        <v>78</v>
      </c>
      <c r="B39" s="16" t="s">
        <v>79</v>
      </c>
      <c r="C39" s="17"/>
      <c r="D39" s="18">
        <f>D40+D41</f>
        <v>10512128384</v>
      </c>
      <c r="E39" s="26">
        <f>E40+E41</f>
        <v>11134166966</v>
      </c>
      <c r="G39" s="50"/>
    </row>
    <row r="40" spans="1:5" s="20" customFormat="1" ht="20.25" customHeight="1">
      <c r="A40" s="21" t="s">
        <v>80</v>
      </c>
      <c r="B40" s="22" t="s">
        <v>81</v>
      </c>
      <c r="C40" s="23"/>
      <c r="D40" s="24">
        <f>'hop nhat '!G30</f>
        <v>13483354762</v>
      </c>
      <c r="E40" s="25">
        <f>'hop nhat '!C30</f>
        <v>13448354762</v>
      </c>
    </row>
    <row r="41" spans="1:5" s="20" customFormat="1" ht="20.25" customHeight="1">
      <c r="A41" s="21" t="s">
        <v>82</v>
      </c>
      <c r="B41" s="22" t="s">
        <v>83</v>
      </c>
      <c r="C41" s="23"/>
      <c r="D41" s="24">
        <f>-'hop nhat '!H39</f>
        <v>-2971226378</v>
      </c>
      <c r="E41" s="25">
        <f>-'hop nhat '!D39</f>
        <v>-2314187796</v>
      </c>
    </row>
    <row r="42" spans="1:5" s="20" customFormat="1" ht="20.25" customHeight="1">
      <c r="A42" s="15" t="s">
        <v>84</v>
      </c>
      <c r="B42" s="16" t="s">
        <v>85</v>
      </c>
      <c r="C42" s="17"/>
      <c r="D42" s="18">
        <v>0</v>
      </c>
      <c r="E42" s="19">
        <v>0</v>
      </c>
    </row>
    <row r="43" spans="1:5" s="20" customFormat="1" ht="20.25" customHeight="1">
      <c r="A43" s="21" t="s">
        <v>80</v>
      </c>
      <c r="B43" s="22" t="s">
        <v>86</v>
      </c>
      <c r="C43" s="23"/>
      <c r="D43" s="24">
        <v>0</v>
      </c>
      <c r="E43" s="25">
        <v>0</v>
      </c>
    </row>
    <row r="44" spans="1:5" s="20" customFormat="1" ht="20.25" customHeight="1">
      <c r="A44" s="21" t="s">
        <v>82</v>
      </c>
      <c r="B44" s="22" t="s">
        <v>87</v>
      </c>
      <c r="C44" s="23"/>
      <c r="D44" s="24">
        <v>0</v>
      </c>
      <c r="E44" s="25">
        <v>0</v>
      </c>
    </row>
    <row r="45" spans="1:5" s="20" customFormat="1" ht="20.25" customHeight="1">
      <c r="A45" s="15" t="s">
        <v>88</v>
      </c>
      <c r="B45" s="16" t="s">
        <v>89</v>
      </c>
      <c r="C45" s="17"/>
      <c r="D45" s="18">
        <f>D46+D47</f>
        <v>77904293</v>
      </c>
      <c r="E45" s="26">
        <f>E46+E47</f>
        <v>86730749</v>
      </c>
    </row>
    <row r="46" spans="1:5" s="20" customFormat="1" ht="20.25" customHeight="1">
      <c r="A46" s="21" t="s">
        <v>80</v>
      </c>
      <c r="B46" s="22" t="s">
        <v>90</v>
      </c>
      <c r="C46" s="23"/>
      <c r="D46" s="24">
        <f>'hop nhat '!G36</f>
        <v>112752000</v>
      </c>
      <c r="E46" s="25">
        <f>'hop nhat '!C36</f>
        <v>112752000</v>
      </c>
    </row>
    <row r="47" spans="1:5" s="20" customFormat="1" ht="20.25" customHeight="1">
      <c r="A47" s="21" t="s">
        <v>82</v>
      </c>
      <c r="B47" s="22" t="s">
        <v>91</v>
      </c>
      <c r="C47" s="23"/>
      <c r="D47" s="24">
        <f>-'hop nhat '!H40</f>
        <v>-34847707</v>
      </c>
      <c r="E47" s="25">
        <f>-'hop nhat '!D40</f>
        <v>-26021251</v>
      </c>
    </row>
    <row r="48" spans="1:5" s="20" customFormat="1" ht="20.25" customHeight="1">
      <c r="A48" s="21" t="s">
        <v>92</v>
      </c>
      <c r="B48" s="22" t="s">
        <v>93</v>
      </c>
      <c r="C48" s="23"/>
      <c r="D48" s="24"/>
      <c r="E48" s="25"/>
    </row>
    <row r="49" spans="1:5" s="20" customFormat="1" ht="20.25" customHeight="1">
      <c r="A49" s="15" t="s">
        <v>94</v>
      </c>
      <c r="B49" s="16" t="s">
        <v>95</v>
      </c>
      <c r="C49" s="17"/>
      <c r="D49" s="18">
        <v>0</v>
      </c>
      <c r="E49" s="19">
        <v>0</v>
      </c>
    </row>
    <row r="50" spans="1:5" s="20" customFormat="1" ht="20.25" customHeight="1">
      <c r="A50" s="21" t="s">
        <v>80</v>
      </c>
      <c r="B50" s="22" t="s">
        <v>96</v>
      </c>
      <c r="C50" s="23"/>
      <c r="D50" s="24">
        <v>0</v>
      </c>
      <c r="E50" s="25">
        <v>0</v>
      </c>
    </row>
    <row r="51" spans="1:5" s="20" customFormat="1" ht="20.25" customHeight="1">
      <c r="A51" s="21" t="s">
        <v>82</v>
      </c>
      <c r="B51" s="22" t="s">
        <v>97</v>
      </c>
      <c r="C51" s="23"/>
      <c r="D51" s="24">
        <v>0</v>
      </c>
      <c r="E51" s="25">
        <v>0</v>
      </c>
    </row>
    <row r="52" spans="1:5" s="20" customFormat="1" ht="20.25" customHeight="1">
      <c r="A52" s="15" t="s">
        <v>98</v>
      </c>
      <c r="B52" s="16" t="s">
        <v>99</v>
      </c>
      <c r="C52" s="17"/>
      <c r="D52" s="18">
        <v>0</v>
      </c>
      <c r="E52" s="19">
        <v>0</v>
      </c>
    </row>
    <row r="53" spans="1:5" s="20" customFormat="1" ht="20.25" customHeight="1">
      <c r="A53" s="21" t="s">
        <v>100</v>
      </c>
      <c r="B53" s="22" t="s">
        <v>101</v>
      </c>
      <c r="C53" s="23"/>
      <c r="D53" s="24"/>
      <c r="E53" s="25">
        <v>0</v>
      </c>
    </row>
    <row r="54" spans="1:5" s="20" customFormat="1" ht="20.25" customHeight="1">
      <c r="A54" s="21" t="s">
        <v>102</v>
      </c>
      <c r="B54" s="22" t="s">
        <v>103</v>
      </c>
      <c r="C54" s="23"/>
      <c r="D54" s="24">
        <v>0</v>
      </c>
      <c r="E54" s="25">
        <v>0</v>
      </c>
    </row>
    <row r="55" spans="1:5" s="20" customFormat="1" ht="20.25" customHeight="1">
      <c r="A55" s="21" t="s">
        <v>104</v>
      </c>
      <c r="B55" s="22" t="s">
        <v>105</v>
      </c>
      <c r="C55" s="23"/>
      <c r="D55" s="24">
        <v>0</v>
      </c>
      <c r="E55" s="25">
        <v>0</v>
      </c>
    </row>
    <row r="56" spans="1:5" s="20" customFormat="1" ht="20.25" customHeight="1">
      <c r="A56" s="21" t="s">
        <v>106</v>
      </c>
      <c r="B56" s="22" t="s">
        <v>107</v>
      </c>
      <c r="C56" s="23"/>
      <c r="D56" s="24">
        <v>0</v>
      </c>
      <c r="E56" s="25">
        <v>0</v>
      </c>
    </row>
    <row r="57" spans="1:5" s="20" customFormat="1" ht="20.25" customHeight="1">
      <c r="A57" s="15" t="s">
        <v>108</v>
      </c>
      <c r="B57" s="16" t="s">
        <v>109</v>
      </c>
      <c r="C57" s="17"/>
      <c r="D57" s="18">
        <f>D58</f>
        <v>0</v>
      </c>
      <c r="E57" s="19">
        <f>E58</f>
        <v>162208361</v>
      </c>
    </row>
    <row r="58" spans="1:5" s="20" customFormat="1" ht="20.25" customHeight="1">
      <c r="A58" s="21" t="s">
        <v>110</v>
      </c>
      <c r="B58" s="22" t="s">
        <v>111</v>
      </c>
      <c r="C58" s="23"/>
      <c r="D58" s="24">
        <f>BCDSPS!G40</f>
        <v>0</v>
      </c>
      <c r="E58" s="25">
        <f>'hop nhat '!C42</f>
        <v>162208361</v>
      </c>
    </row>
    <row r="59" spans="1:5" s="20" customFormat="1" ht="20.25" customHeight="1">
      <c r="A59" s="21" t="s">
        <v>112</v>
      </c>
      <c r="B59" s="22" t="s">
        <v>113</v>
      </c>
      <c r="C59" s="23"/>
      <c r="D59" s="24">
        <v>0</v>
      </c>
      <c r="E59" s="25">
        <v>0</v>
      </c>
    </row>
    <row r="60" spans="1:5" s="20" customFormat="1" ht="20.25" customHeight="1">
      <c r="A60" s="21" t="s">
        <v>114</v>
      </c>
      <c r="B60" s="22" t="s">
        <v>115</v>
      </c>
      <c r="C60" s="23"/>
      <c r="D60" s="24">
        <v>0</v>
      </c>
      <c r="E60" s="25">
        <v>0</v>
      </c>
    </row>
    <row r="61" spans="1:5" s="20" customFormat="1" ht="20.25" customHeight="1">
      <c r="A61" s="15" t="s">
        <v>116</v>
      </c>
      <c r="B61" s="16" t="s">
        <v>117</v>
      </c>
      <c r="C61" s="17"/>
      <c r="D61" s="18">
        <v>0</v>
      </c>
      <c r="E61" s="19">
        <v>0</v>
      </c>
    </row>
    <row r="62" spans="1:8" s="20" customFormat="1" ht="20.25" customHeight="1">
      <c r="A62" s="15" t="s">
        <v>118</v>
      </c>
      <c r="B62" s="16" t="s">
        <v>119</v>
      </c>
      <c r="C62" s="17"/>
      <c r="D62" s="18">
        <f>D9+D31</f>
        <v>56991560854</v>
      </c>
      <c r="E62" s="19">
        <f>E9+E31</f>
        <v>50457068172</v>
      </c>
      <c r="G62" s="53"/>
      <c r="H62" s="53"/>
    </row>
    <row r="63" spans="1:7" s="20" customFormat="1" ht="20.25" customHeight="1">
      <c r="A63" s="15" t="s">
        <v>120</v>
      </c>
      <c r="B63" s="16"/>
      <c r="C63" s="17"/>
      <c r="D63" s="18">
        <v>0</v>
      </c>
      <c r="E63" s="19">
        <v>0</v>
      </c>
      <c r="G63" s="50"/>
    </row>
    <row r="64" spans="1:5" s="20" customFormat="1" ht="20.25" customHeight="1">
      <c r="A64" s="15" t="s">
        <v>121</v>
      </c>
      <c r="B64" s="16" t="s">
        <v>122</v>
      </c>
      <c r="C64" s="17"/>
      <c r="D64" s="18">
        <f>D65+D77</f>
        <v>27357258301</v>
      </c>
      <c r="E64" s="19">
        <f>E65+E77</f>
        <v>20868180499</v>
      </c>
    </row>
    <row r="65" spans="1:5" s="20" customFormat="1" ht="20.25" customHeight="1">
      <c r="A65" s="15" t="s">
        <v>123</v>
      </c>
      <c r="B65" s="16" t="s">
        <v>124</v>
      </c>
      <c r="C65" s="17"/>
      <c r="D65" s="18">
        <f>SUM(D66:D76)</f>
        <v>27357258301</v>
      </c>
      <c r="E65" s="19">
        <f>SUM(E66:E76)</f>
        <v>20868180499</v>
      </c>
    </row>
    <row r="66" spans="1:5" s="20" customFormat="1" ht="20.25" customHeight="1">
      <c r="A66" s="21" t="s">
        <v>125</v>
      </c>
      <c r="B66" s="22" t="s">
        <v>126</v>
      </c>
      <c r="C66" s="23"/>
      <c r="D66" s="24">
        <f>'hop nhat '!H43</f>
        <v>7300000000</v>
      </c>
      <c r="E66" s="25">
        <f>'hop nhat '!D43</f>
        <v>7997315000</v>
      </c>
    </row>
    <row r="67" spans="1:5" s="20" customFormat="1" ht="20.25" customHeight="1">
      <c r="A67" s="21" t="s">
        <v>127</v>
      </c>
      <c r="B67" s="22" t="s">
        <v>128</v>
      </c>
      <c r="C67" s="23"/>
      <c r="D67" s="24">
        <f>'hop nhat '!H46</f>
        <v>18786086828</v>
      </c>
      <c r="E67" s="25">
        <f>'hop nhat '!D46</f>
        <v>12184846393</v>
      </c>
    </row>
    <row r="68" spans="1:5" s="20" customFormat="1" ht="20.25" customHeight="1">
      <c r="A68" s="21" t="s">
        <v>129</v>
      </c>
      <c r="B68" s="22" t="s">
        <v>130</v>
      </c>
      <c r="C68" s="23"/>
      <c r="D68" s="24">
        <f>BCDSPS!H16</f>
        <v>725328000</v>
      </c>
      <c r="E68" s="25">
        <f>BCDSPS!D16</f>
        <v>332968000</v>
      </c>
    </row>
    <row r="69" spans="1:5" s="20" customFormat="1" ht="20.25" customHeight="1">
      <c r="A69" s="21" t="s">
        <v>131</v>
      </c>
      <c r="B69" s="22" t="s">
        <v>132</v>
      </c>
      <c r="C69" s="23"/>
      <c r="D69" s="24">
        <f>'hop nhat '!H47</f>
        <v>132857275</v>
      </c>
      <c r="E69" s="25">
        <f>'hop nhat '!D47</f>
        <v>86264928</v>
      </c>
    </row>
    <row r="70" spans="1:5" s="20" customFormat="1" ht="20.25" customHeight="1">
      <c r="A70" s="21" t="s">
        <v>133</v>
      </c>
      <c r="B70" s="22" t="s">
        <v>134</v>
      </c>
      <c r="C70" s="23"/>
      <c r="D70" s="24">
        <v>0</v>
      </c>
      <c r="E70" s="25">
        <v>0</v>
      </c>
    </row>
    <row r="71" spans="1:5" s="20" customFormat="1" ht="20.25" customHeight="1">
      <c r="A71" s="21" t="s">
        <v>135</v>
      </c>
      <c r="B71" s="22" t="s">
        <v>136</v>
      </c>
      <c r="C71" s="23"/>
      <c r="D71" s="24">
        <v>0</v>
      </c>
      <c r="E71" s="25">
        <v>0</v>
      </c>
    </row>
    <row r="72" spans="1:5" s="20" customFormat="1" ht="20.25" customHeight="1">
      <c r="A72" s="21" t="s">
        <v>137</v>
      </c>
      <c r="B72" s="22" t="s">
        <v>138</v>
      </c>
      <c r="C72" s="23"/>
      <c r="D72" s="24">
        <f>'hop nhat '!H57</f>
        <v>0</v>
      </c>
      <c r="E72" s="25">
        <v>0</v>
      </c>
    </row>
    <row r="73" spans="1:5" s="20" customFormat="1" ht="20.25" customHeight="1">
      <c r="A73" s="21" t="s">
        <v>139</v>
      </c>
      <c r="B73" s="22" t="s">
        <v>140</v>
      </c>
      <c r="C73" s="23"/>
      <c r="D73" s="24">
        <v>0</v>
      </c>
      <c r="E73" s="25">
        <v>0</v>
      </c>
    </row>
    <row r="74" spans="1:5" s="20" customFormat="1" ht="20.25" customHeight="1">
      <c r="A74" s="21" t="s">
        <v>141</v>
      </c>
      <c r="B74" s="22" t="s">
        <v>142</v>
      </c>
      <c r="C74" s="23"/>
      <c r="D74" s="24">
        <f>'hop nhat '!H58</f>
        <v>412986198</v>
      </c>
      <c r="E74" s="25">
        <f>'hop nhat '!D58</f>
        <v>216786178</v>
      </c>
    </row>
    <row r="75" spans="1:5" s="20" customFormat="1" ht="20.25" customHeight="1">
      <c r="A75" s="21" t="s">
        <v>143</v>
      </c>
      <c r="B75" s="22" t="s">
        <v>144</v>
      </c>
      <c r="C75" s="23"/>
      <c r="D75" s="24">
        <v>0</v>
      </c>
      <c r="E75" s="25">
        <v>0</v>
      </c>
    </row>
    <row r="76" spans="1:5" s="20" customFormat="1" ht="20.25" customHeight="1">
      <c r="A76" s="21" t="s">
        <v>145</v>
      </c>
      <c r="B76" s="22" t="s">
        <v>146</v>
      </c>
      <c r="C76" s="23"/>
      <c r="D76" s="24">
        <f>'hop nhat '!H68</f>
        <v>0</v>
      </c>
      <c r="E76" s="25">
        <f>'hop nhat '!D67</f>
        <v>50000000</v>
      </c>
    </row>
    <row r="77" spans="1:5" s="20" customFormat="1" ht="20.25" customHeight="1">
      <c r="A77" s="15" t="s">
        <v>147</v>
      </c>
      <c r="B77" s="16" t="s">
        <v>148</v>
      </c>
      <c r="C77" s="17"/>
      <c r="D77" s="18">
        <f>SUM(D78:D86)</f>
        <v>0</v>
      </c>
      <c r="E77" s="26">
        <f>SUM(E78:E86)</f>
        <v>0</v>
      </c>
    </row>
    <row r="78" spans="1:5" s="20" customFormat="1" ht="20.25" customHeight="1">
      <c r="A78" s="21" t="s">
        <v>149</v>
      </c>
      <c r="B78" s="22" t="s">
        <v>150</v>
      </c>
      <c r="C78" s="23"/>
      <c r="D78" s="24">
        <v>0</v>
      </c>
      <c r="E78" s="25">
        <v>0</v>
      </c>
    </row>
    <row r="79" spans="1:5" s="20" customFormat="1" ht="20.25" customHeight="1">
      <c r="A79" s="21" t="s">
        <v>151</v>
      </c>
      <c r="B79" s="22" t="s">
        <v>152</v>
      </c>
      <c r="C79" s="23"/>
      <c r="D79" s="24">
        <v>0</v>
      </c>
      <c r="E79" s="25">
        <v>0</v>
      </c>
    </row>
    <row r="80" spans="1:5" s="20" customFormat="1" ht="20.25" customHeight="1">
      <c r="A80" s="21" t="s">
        <v>153</v>
      </c>
      <c r="B80" s="22" t="s">
        <v>154</v>
      </c>
      <c r="C80" s="23"/>
      <c r="D80" s="24">
        <v>0</v>
      </c>
      <c r="E80" s="25">
        <v>0</v>
      </c>
    </row>
    <row r="81" spans="1:5" s="20" customFormat="1" ht="20.25" customHeight="1">
      <c r="A81" s="21" t="s">
        <v>155</v>
      </c>
      <c r="B81" s="22" t="s">
        <v>156</v>
      </c>
      <c r="C81" s="23"/>
      <c r="D81" s="24"/>
      <c r="E81" s="25"/>
    </row>
    <row r="82" spans="1:5" s="20" customFormat="1" ht="20.25" customHeight="1">
      <c r="A82" s="21" t="s">
        <v>157</v>
      </c>
      <c r="B82" s="22" t="s">
        <v>158</v>
      </c>
      <c r="C82" s="23"/>
      <c r="D82" s="24">
        <v>0</v>
      </c>
      <c r="E82" s="25">
        <v>0</v>
      </c>
    </row>
    <row r="83" spans="1:5" s="20" customFormat="1" ht="20.25" customHeight="1">
      <c r="A83" s="21" t="s">
        <v>159</v>
      </c>
      <c r="B83" s="22" t="s">
        <v>160</v>
      </c>
      <c r="C83" s="23"/>
      <c r="D83" s="24">
        <f>BCDSPS!H68</f>
        <v>0</v>
      </c>
      <c r="E83" s="25"/>
    </row>
    <row r="84" spans="1:5" s="20" customFormat="1" ht="20.25" customHeight="1">
      <c r="A84" s="21" t="s">
        <v>161</v>
      </c>
      <c r="B84" s="22" t="s">
        <v>162</v>
      </c>
      <c r="C84" s="23"/>
      <c r="D84" s="24">
        <v>0</v>
      </c>
      <c r="E84" s="25">
        <v>0</v>
      </c>
    </row>
    <row r="85" spans="1:5" s="20" customFormat="1" ht="20.25" customHeight="1">
      <c r="A85" s="21" t="s">
        <v>163</v>
      </c>
      <c r="B85" s="22" t="s">
        <v>164</v>
      </c>
      <c r="C85" s="23"/>
      <c r="D85" s="24">
        <v>0</v>
      </c>
      <c r="E85" s="25">
        <v>0</v>
      </c>
    </row>
    <row r="86" spans="1:5" s="20" customFormat="1" ht="20.25" customHeight="1">
      <c r="A86" s="21" t="s">
        <v>165</v>
      </c>
      <c r="B86" s="22" t="s">
        <v>166</v>
      </c>
      <c r="C86" s="23"/>
      <c r="D86" s="24">
        <v>0</v>
      </c>
      <c r="E86" s="25">
        <v>0</v>
      </c>
    </row>
    <row r="87" spans="1:5" s="20" customFormat="1" ht="20.25" customHeight="1">
      <c r="A87" s="15" t="s">
        <v>167</v>
      </c>
      <c r="B87" s="16" t="s">
        <v>168</v>
      </c>
      <c r="C87" s="17"/>
      <c r="D87" s="18">
        <f>D88+D101</f>
        <v>29634302553</v>
      </c>
      <c r="E87" s="19">
        <f>E88+E101</f>
        <v>29588887673</v>
      </c>
    </row>
    <row r="88" spans="1:5" s="20" customFormat="1" ht="20.25" customHeight="1">
      <c r="A88" s="15" t="s">
        <v>169</v>
      </c>
      <c r="B88" s="16" t="s">
        <v>170</v>
      </c>
      <c r="C88" s="17"/>
      <c r="D88" s="18">
        <f>SUM(D89:D100)</f>
        <v>29634302553</v>
      </c>
      <c r="E88" s="19">
        <f>SUM(E89:E100)</f>
        <v>29588887673</v>
      </c>
    </row>
    <row r="89" spans="1:5" s="20" customFormat="1" ht="20.25" customHeight="1">
      <c r="A89" s="21" t="s">
        <v>171</v>
      </c>
      <c r="B89" s="22" t="s">
        <v>172</v>
      </c>
      <c r="C89" s="23"/>
      <c r="D89" s="24">
        <f>'hop nhat '!H61</f>
        <v>29550000000</v>
      </c>
      <c r="E89" s="25">
        <f>'hop nhat '!D61</f>
        <v>28750000000</v>
      </c>
    </row>
    <row r="90" spans="1:5" s="20" customFormat="1" ht="20.25" customHeight="1">
      <c r="A90" s="21" t="s">
        <v>173</v>
      </c>
      <c r="B90" s="22" t="s">
        <v>174</v>
      </c>
      <c r="C90" s="23"/>
      <c r="D90" s="24">
        <v>0</v>
      </c>
      <c r="E90" s="25">
        <v>0</v>
      </c>
    </row>
    <row r="91" spans="1:5" s="20" customFormat="1" ht="20.25" customHeight="1">
      <c r="A91" s="21" t="s">
        <v>175</v>
      </c>
      <c r="B91" s="22" t="s">
        <v>176</v>
      </c>
      <c r="C91" s="23"/>
      <c r="D91" s="24">
        <v>0</v>
      </c>
      <c r="E91" s="25">
        <v>0</v>
      </c>
    </row>
    <row r="92" spans="1:5" s="20" customFormat="1" ht="20.25" customHeight="1">
      <c r="A92" s="21" t="s">
        <v>177</v>
      </c>
      <c r="B92" s="22" t="s">
        <v>178</v>
      </c>
      <c r="C92" s="23"/>
      <c r="D92" s="24">
        <v>0</v>
      </c>
      <c r="E92" s="25">
        <v>0</v>
      </c>
    </row>
    <row r="93" spans="1:5" s="20" customFormat="1" ht="20.25" customHeight="1">
      <c r="A93" s="21" t="s">
        <v>179</v>
      </c>
      <c r="B93" s="22" t="s">
        <v>180</v>
      </c>
      <c r="C93" s="23"/>
      <c r="D93" s="24">
        <v>0</v>
      </c>
      <c r="E93" s="25">
        <v>0</v>
      </c>
    </row>
    <row r="94" spans="1:5" s="20" customFormat="1" ht="20.25" customHeight="1">
      <c r="A94" s="21" t="s">
        <v>181</v>
      </c>
      <c r="B94" s="22" t="s">
        <v>182</v>
      </c>
      <c r="C94" s="23"/>
      <c r="D94" s="24">
        <v>0</v>
      </c>
      <c r="E94" s="25">
        <v>0</v>
      </c>
    </row>
    <row r="95" spans="1:5" s="20" customFormat="1" ht="20.25" customHeight="1">
      <c r="A95" s="21" t="s">
        <v>183</v>
      </c>
      <c r="B95" s="22" t="s">
        <v>184</v>
      </c>
      <c r="C95" s="23"/>
      <c r="D95" s="24">
        <f>BCDSPS!H60</f>
        <v>0</v>
      </c>
      <c r="E95" s="25">
        <f>'hop nhat '!D62</f>
        <v>50000000</v>
      </c>
    </row>
    <row r="96" spans="1:5" s="20" customFormat="1" ht="20.25" customHeight="1">
      <c r="A96" s="21" t="s">
        <v>185</v>
      </c>
      <c r="B96" s="22" t="s">
        <v>186</v>
      </c>
      <c r="C96" s="23"/>
      <c r="D96" s="24"/>
      <c r="E96" s="25">
        <f>'hop nhat '!D63</f>
        <v>50000000</v>
      </c>
    </row>
    <row r="97" spans="1:5" s="20" customFormat="1" ht="20.25" customHeight="1">
      <c r="A97" s="21" t="s">
        <v>187</v>
      </c>
      <c r="B97" s="22" t="s">
        <v>188</v>
      </c>
      <c r="C97" s="23"/>
      <c r="D97" s="24">
        <v>0</v>
      </c>
      <c r="E97" s="25">
        <v>0</v>
      </c>
    </row>
    <row r="98" spans="1:5" s="20" customFormat="1" ht="20.25" customHeight="1">
      <c r="A98" s="21" t="s">
        <v>189</v>
      </c>
      <c r="B98" s="22" t="s">
        <v>190</v>
      </c>
      <c r="C98" s="23"/>
      <c r="D98" s="24">
        <f>'hop nhat '!H64</f>
        <v>84302553</v>
      </c>
      <c r="E98" s="25">
        <f>'hop nhat '!D64</f>
        <v>738887673</v>
      </c>
    </row>
    <row r="99" spans="1:5" s="20" customFormat="1" ht="20.25" customHeight="1">
      <c r="A99" s="21" t="s">
        <v>191</v>
      </c>
      <c r="B99" s="22" t="s">
        <v>192</v>
      </c>
      <c r="C99" s="23"/>
      <c r="D99" s="24">
        <v>0</v>
      </c>
      <c r="E99" s="25">
        <v>0</v>
      </c>
    </row>
    <row r="100" spans="1:5" s="20" customFormat="1" ht="20.25" customHeight="1">
      <c r="A100" s="21" t="s">
        <v>193</v>
      </c>
      <c r="B100" s="22" t="s">
        <v>194</v>
      </c>
      <c r="C100" s="23"/>
      <c r="D100" s="24">
        <v>0</v>
      </c>
      <c r="E100" s="25">
        <v>0</v>
      </c>
    </row>
    <row r="101" spans="1:5" s="20" customFormat="1" ht="20.25" customHeight="1">
      <c r="A101" s="15" t="s">
        <v>195</v>
      </c>
      <c r="B101" s="16" t="s">
        <v>196</v>
      </c>
      <c r="C101" s="17"/>
      <c r="D101" s="18">
        <v>0</v>
      </c>
      <c r="E101" s="19">
        <v>0</v>
      </c>
    </row>
    <row r="102" spans="1:5" s="20" customFormat="1" ht="20.25" customHeight="1">
      <c r="A102" s="21" t="s">
        <v>197</v>
      </c>
      <c r="B102" s="22" t="s">
        <v>198</v>
      </c>
      <c r="C102" s="23"/>
      <c r="D102" s="24">
        <v>0</v>
      </c>
      <c r="E102" s="25">
        <v>0</v>
      </c>
    </row>
    <row r="103" spans="1:5" s="20" customFormat="1" ht="20.25" customHeight="1">
      <c r="A103" s="21" t="s">
        <v>199</v>
      </c>
      <c r="B103" s="22" t="s">
        <v>200</v>
      </c>
      <c r="C103" s="23"/>
      <c r="D103" s="24">
        <v>0</v>
      </c>
      <c r="E103" s="25">
        <v>0</v>
      </c>
    </row>
    <row r="104" spans="1:5" s="20" customFormat="1" ht="20.25" customHeight="1">
      <c r="A104" s="15" t="s">
        <v>201</v>
      </c>
      <c r="B104" s="16" t="s">
        <v>202</v>
      </c>
      <c r="C104" s="17"/>
      <c r="D104" s="18">
        <v>0</v>
      </c>
      <c r="E104" s="19">
        <v>0</v>
      </c>
    </row>
    <row r="105" spans="1:7" s="20" customFormat="1" ht="20.25" customHeight="1">
      <c r="A105" s="15" t="s">
        <v>203</v>
      </c>
      <c r="B105" s="16" t="s">
        <v>204</v>
      </c>
      <c r="C105" s="17"/>
      <c r="D105" s="18">
        <f>D87+D64</f>
        <v>56991560854</v>
      </c>
      <c r="E105" s="19">
        <f>E87+E64</f>
        <v>50457068172</v>
      </c>
      <c r="G105" s="50"/>
    </row>
    <row r="106" spans="1:5" s="20" customFormat="1" ht="20.25" customHeight="1">
      <c r="A106" s="15" t="s">
        <v>205</v>
      </c>
      <c r="B106" s="16"/>
      <c r="C106" s="17"/>
      <c r="D106" s="18">
        <v>0</v>
      </c>
      <c r="E106" s="19">
        <v>0</v>
      </c>
    </row>
    <row r="107" spans="1:5" s="20" customFormat="1" ht="20.25" customHeight="1">
      <c r="A107" s="21" t="s">
        <v>206</v>
      </c>
      <c r="B107" s="22" t="s">
        <v>207</v>
      </c>
      <c r="C107" s="23"/>
      <c r="D107" s="24">
        <v>0</v>
      </c>
      <c r="E107" s="25">
        <v>0</v>
      </c>
    </row>
    <row r="108" spans="1:5" s="20" customFormat="1" ht="20.25" customHeight="1">
      <c r="A108" s="21" t="s">
        <v>208</v>
      </c>
      <c r="B108" s="22" t="s">
        <v>209</v>
      </c>
      <c r="C108" s="23"/>
      <c r="D108" s="24">
        <v>0</v>
      </c>
      <c r="E108" s="25">
        <v>0</v>
      </c>
    </row>
    <row r="109" spans="1:5" s="20" customFormat="1" ht="20.25" customHeight="1">
      <c r="A109" s="21" t="s">
        <v>210</v>
      </c>
      <c r="B109" s="22" t="s">
        <v>211</v>
      </c>
      <c r="C109" s="23"/>
      <c r="D109" s="24">
        <v>0</v>
      </c>
      <c r="E109" s="25">
        <v>0</v>
      </c>
    </row>
    <row r="110" spans="1:7" s="20" customFormat="1" ht="20.25" customHeight="1">
      <c r="A110" s="21" t="s">
        <v>212</v>
      </c>
      <c r="B110" s="22" t="s">
        <v>213</v>
      </c>
      <c r="C110" s="23"/>
      <c r="D110" s="24">
        <v>0</v>
      </c>
      <c r="E110" s="25">
        <v>0</v>
      </c>
      <c r="G110" s="50"/>
    </row>
    <row r="111" spans="1:7" s="20" customFormat="1" ht="20.25" customHeight="1">
      <c r="A111" s="21" t="s">
        <v>214</v>
      </c>
      <c r="B111" s="22" t="s">
        <v>215</v>
      </c>
      <c r="C111" s="23"/>
      <c r="D111" s="24">
        <v>0</v>
      </c>
      <c r="E111" s="25">
        <v>0</v>
      </c>
      <c r="F111" s="50">
        <f>D105-D62</f>
        <v>0</v>
      </c>
      <c r="G111" s="50">
        <f>D105-D62</f>
        <v>0</v>
      </c>
    </row>
    <row r="112" spans="1:7" s="20" customFormat="1" ht="20.25" customHeight="1" thickBot="1">
      <c r="A112" s="27" t="s">
        <v>216</v>
      </c>
      <c r="B112" s="28" t="s">
        <v>217</v>
      </c>
      <c r="C112" s="29"/>
      <c r="D112" s="30">
        <v>0</v>
      </c>
      <c r="E112" s="31">
        <v>0</v>
      </c>
      <c r="G112" s="50">
        <f>E105-E62</f>
        <v>0</v>
      </c>
    </row>
    <row r="113" spans="1:6" s="35" customFormat="1" ht="15.75" thickTop="1">
      <c r="A113" s="32"/>
      <c r="B113" s="33"/>
      <c r="C113" s="188" t="s">
        <v>611</v>
      </c>
      <c r="E113" s="34"/>
      <c r="F113" s="34"/>
    </row>
    <row r="114" spans="1:7" ht="15.75">
      <c r="A114" s="36" t="s">
        <v>218</v>
      </c>
      <c r="B114" s="3" t="s">
        <v>219</v>
      </c>
      <c r="D114" s="3"/>
      <c r="E114" s="39" t="s">
        <v>220</v>
      </c>
      <c r="F114" s="39"/>
      <c r="G114" s="39">
        <f>E105-E62</f>
        <v>0</v>
      </c>
    </row>
    <row r="115" spans="1:6" ht="15.75">
      <c r="A115" s="36"/>
      <c r="B115" s="4"/>
      <c r="C115" s="37"/>
      <c r="D115" s="40"/>
      <c r="E115" s="40"/>
      <c r="F115" s="41"/>
    </row>
    <row r="116" spans="1:6" ht="15.75">
      <c r="A116" s="36"/>
      <c r="B116" s="4"/>
      <c r="C116" s="37"/>
      <c r="D116" s="164">
        <f>D105-D62</f>
        <v>0</v>
      </c>
      <c r="E116" s="164">
        <f>E105-E62</f>
        <v>0</v>
      </c>
      <c r="F116" s="41"/>
    </row>
    <row r="117" spans="1:6" ht="15.75">
      <c r="A117" s="36"/>
      <c r="B117" s="4"/>
      <c r="C117" s="37"/>
      <c r="D117" s="40"/>
      <c r="E117" s="40"/>
      <c r="F117" s="41"/>
    </row>
    <row r="118" spans="1:6" ht="15.75">
      <c r="A118" s="161" t="s">
        <v>529</v>
      </c>
      <c r="B118" s="3" t="s">
        <v>221</v>
      </c>
      <c r="D118" s="40"/>
      <c r="E118" s="40"/>
      <c r="F118" s="41"/>
    </row>
    <row r="119" spans="2:5" ht="15.75">
      <c r="B119" s="42"/>
      <c r="D119" s="158"/>
      <c r="E119" s="158"/>
    </row>
  </sheetData>
  <sheetProtection/>
  <mergeCells count="5">
    <mergeCell ref="A5:E5"/>
    <mergeCell ref="A1:B1"/>
    <mergeCell ref="A2:C2"/>
    <mergeCell ref="A3:B3"/>
    <mergeCell ref="C4:D4"/>
  </mergeCells>
  <printOptions/>
  <pageMargins left="0.51" right="0.36" top="0.52" bottom="0.52" header="0.5" footer="0.23"/>
  <pageSetup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9">
      <selection activeCell="F23" sqref="F23"/>
    </sheetView>
  </sheetViews>
  <sheetFormatPr defaultColWidth="9.00390625" defaultRowHeight="15.75"/>
  <cols>
    <col min="1" max="1" width="42.875" style="43" customWidth="1"/>
    <col min="2" max="2" width="5.75390625" style="7" customWidth="1"/>
    <col min="3" max="3" width="7.00390625" style="43" customWidth="1"/>
    <col min="4" max="4" width="15.125" style="44" customWidth="1"/>
    <col min="5" max="5" width="15.125" style="44" hidden="1" customWidth="1"/>
    <col min="6" max="6" width="15.75390625" style="44" customWidth="1"/>
    <col min="7" max="7" width="16.625" style="44" customWidth="1"/>
    <col min="8" max="8" width="15.50390625" style="44" customWidth="1"/>
    <col min="9" max="9" width="13.125" style="43" customWidth="1"/>
    <col min="10" max="10" width="12.75390625" style="43" customWidth="1"/>
    <col min="11" max="16384" width="9.00390625" style="43" customWidth="1"/>
  </cols>
  <sheetData>
    <row r="1" spans="1:9" s="35" customFormat="1" ht="17.25">
      <c r="A1" s="247" t="s">
        <v>222</v>
      </c>
      <c r="B1" s="247"/>
      <c r="C1" s="247"/>
      <c r="F1" s="45" t="s">
        <v>8</v>
      </c>
      <c r="H1" s="45"/>
      <c r="I1" s="46"/>
    </row>
    <row r="2" spans="1:9" s="35" customFormat="1" ht="17.25">
      <c r="A2" s="248" t="s">
        <v>9</v>
      </c>
      <c r="B2" s="248"/>
      <c r="C2" s="248"/>
      <c r="F2" s="45" t="s">
        <v>608</v>
      </c>
      <c r="H2" s="45"/>
      <c r="I2" s="46"/>
    </row>
    <row r="3" spans="1:8" s="35" customFormat="1" ht="15">
      <c r="A3" s="249" t="s">
        <v>10</v>
      </c>
      <c r="B3" s="249"/>
      <c r="C3" s="47"/>
      <c r="F3" s="33"/>
      <c r="G3" s="47"/>
      <c r="H3" s="33"/>
    </row>
    <row r="4" spans="1:8" ht="15.75">
      <c r="A4" s="4"/>
      <c r="B4" s="4"/>
      <c r="C4" s="3"/>
      <c r="F4" s="3" t="s">
        <v>223</v>
      </c>
      <c r="H4" s="3"/>
    </row>
    <row r="5" spans="1:8" s="6" customFormat="1" ht="25.5" customHeight="1" thickBot="1">
      <c r="A5" s="238" t="s">
        <v>554</v>
      </c>
      <c r="B5" s="238"/>
      <c r="C5" s="238"/>
      <c r="D5" s="238"/>
      <c r="E5" s="238"/>
      <c r="F5" s="238"/>
      <c r="G5" s="238"/>
      <c r="H5" s="238"/>
    </row>
    <row r="6" spans="1:8" s="14" customFormat="1" ht="71.25" customHeight="1" thickTop="1">
      <c r="A6" s="9" t="s">
        <v>13</v>
      </c>
      <c r="B6" s="10" t="s">
        <v>14</v>
      </c>
      <c r="C6" s="11" t="s">
        <v>15</v>
      </c>
      <c r="D6" s="12" t="s">
        <v>224</v>
      </c>
      <c r="E6" s="12" t="s">
        <v>610</v>
      </c>
      <c r="F6" s="12" t="s">
        <v>225</v>
      </c>
      <c r="G6" s="12" t="s">
        <v>226</v>
      </c>
      <c r="H6" s="13" t="s">
        <v>227</v>
      </c>
    </row>
    <row r="7" spans="1:8" s="20" customFormat="1" ht="21.75" customHeight="1">
      <c r="A7" s="21" t="s">
        <v>228</v>
      </c>
      <c r="B7" s="22" t="s">
        <v>207</v>
      </c>
      <c r="C7" s="23"/>
      <c r="D7" s="24">
        <f>BCDSPS!E70-49981280388+TNHH!E43</f>
        <v>11030824684</v>
      </c>
      <c r="E7" s="24">
        <f>TNHH!F43</f>
        <v>1460908000</v>
      </c>
      <c r="F7" s="24">
        <f>23170743442</f>
        <v>23170743442</v>
      </c>
      <c r="G7" s="24">
        <f>BCDSPS!F70+E7</f>
        <v>61012105072</v>
      </c>
      <c r="H7" s="25">
        <v>63768739617</v>
      </c>
    </row>
    <row r="8" spans="1:8" s="20" customFormat="1" ht="21.75" customHeight="1">
      <c r="A8" s="21" t="s">
        <v>229</v>
      </c>
      <c r="B8" s="22" t="s">
        <v>209</v>
      </c>
      <c r="C8" s="23"/>
      <c r="D8" s="24">
        <v>0</v>
      </c>
      <c r="E8" s="24"/>
      <c r="F8" s="24"/>
      <c r="G8" s="24">
        <v>0</v>
      </c>
      <c r="H8" s="25">
        <v>0</v>
      </c>
    </row>
    <row r="9" spans="1:8" s="20" customFormat="1" ht="28.5" customHeight="1">
      <c r="A9" s="48" t="s">
        <v>230</v>
      </c>
      <c r="B9" s="16" t="s">
        <v>231</v>
      </c>
      <c r="C9" s="17"/>
      <c r="D9" s="18">
        <f>D7-D8</f>
        <v>11030824684</v>
      </c>
      <c r="E9" s="18">
        <f>E7-E8</f>
        <v>1460908000</v>
      </c>
      <c r="F9" s="18">
        <f>F7-F8</f>
        <v>23170743442</v>
      </c>
      <c r="G9" s="18">
        <f>G7-G8</f>
        <v>61012105072</v>
      </c>
      <c r="H9" s="19">
        <f>H7-H8</f>
        <v>63768739617</v>
      </c>
    </row>
    <row r="10" spans="1:8" s="20" customFormat="1" ht="21.75" customHeight="1">
      <c r="A10" s="49" t="s">
        <v>232</v>
      </c>
      <c r="B10" s="22" t="s">
        <v>233</v>
      </c>
      <c r="C10" s="23"/>
      <c r="D10" s="24">
        <f>BCDSPS!E83-44740408953+TNHH!E45</f>
        <v>9384453593</v>
      </c>
      <c r="E10" s="24">
        <f>TNHH!F45</f>
        <v>1376020000</v>
      </c>
      <c r="F10" s="24">
        <v>21600409451</v>
      </c>
      <c r="G10" s="24">
        <f>BCDSPS!F83+E10</f>
        <v>54124862546</v>
      </c>
      <c r="H10" s="25">
        <v>58601286512</v>
      </c>
    </row>
    <row r="11" spans="1:9" s="20" customFormat="1" ht="29.25" customHeight="1">
      <c r="A11" s="48" t="s">
        <v>234</v>
      </c>
      <c r="B11" s="16" t="s">
        <v>235</v>
      </c>
      <c r="C11" s="17"/>
      <c r="D11" s="18">
        <f>D9-D10</f>
        <v>1646371091</v>
      </c>
      <c r="E11" s="18">
        <f>E9-E10</f>
        <v>84888000</v>
      </c>
      <c r="F11" s="18">
        <f>F9-F10</f>
        <v>1570333991</v>
      </c>
      <c r="G11" s="18">
        <f>G9-G10</f>
        <v>6887242526</v>
      </c>
      <c r="H11" s="19">
        <f>H9-H10</f>
        <v>5167453105</v>
      </c>
      <c r="I11" s="50"/>
    </row>
    <row r="12" spans="1:8" s="20" customFormat="1" ht="21.75" customHeight="1">
      <c r="A12" s="49" t="s">
        <v>236</v>
      </c>
      <c r="B12" s="22" t="s">
        <v>237</v>
      </c>
      <c r="C12" s="23"/>
      <c r="D12" s="24">
        <f>BCDSPS!E73-7319539</f>
        <v>4196780</v>
      </c>
      <c r="E12" s="24"/>
      <c r="F12" s="24">
        <f>3002235</f>
        <v>3002235</v>
      </c>
      <c r="G12" s="24">
        <f>BCDSPS!F73</f>
        <v>11516319</v>
      </c>
      <c r="H12" s="25">
        <v>11620613</v>
      </c>
    </row>
    <row r="13" spans="1:8" s="20" customFormat="1" ht="21.75" customHeight="1">
      <c r="A13" s="49" t="s">
        <v>238</v>
      </c>
      <c r="B13" s="22" t="s">
        <v>239</v>
      </c>
      <c r="C13" s="23"/>
      <c r="D13" s="24">
        <f>D14+D15</f>
        <v>16396482</v>
      </c>
      <c r="E13" s="24"/>
      <c r="F13" s="24">
        <f>F14</f>
        <v>56248312</v>
      </c>
      <c r="G13" s="24">
        <f>G14</f>
        <v>196328442</v>
      </c>
      <c r="H13" s="25">
        <f>H14+H15</f>
        <v>619964782</v>
      </c>
    </row>
    <row r="14" spans="1:8" s="20" customFormat="1" ht="21.75" customHeight="1">
      <c r="A14" s="49" t="s">
        <v>240</v>
      </c>
      <c r="B14" s="22" t="s">
        <v>241</v>
      </c>
      <c r="C14" s="23"/>
      <c r="D14" s="24">
        <f>BCDSPS!E86-179931960</f>
        <v>16396482</v>
      </c>
      <c r="E14" s="24"/>
      <c r="F14" s="24">
        <v>56248312</v>
      </c>
      <c r="G14" s="24">
        <f>BCDSPS!F86</f>
        <v>196328442</v>
      </c>
      <c r="H14" s="25">
        <v>619964782</v>
      </c>
    </row>
    <row r="15" spans="1:8" s="20" customFormat="1" ht="21.75" customHeight="1">
      <c r="A15" s="49" t="s">
        <v>242</v>
      </c>
      <c r="B15" s="22" t="s">
        <v>243</v>
      </c>
      <c r="C15" s="23"/>
      <c r="D15" s="24"/>
      <c r="E15" s="24"/>
      <c r="F15" s="24"/>
      <c r="G15" s="24"/>
      <c r="H15" s="25"/>
    </row>
    <row r="16" spans="1:11" s="20" customFormat="1" ht="21.75" customHeight="1">
      <c r="A16" s="49" t="s">
        <v>244</v>
      </c>
      <c r="B16" s="22" t="s">
        <v>245</v>
      </c>
      <c r="C16" s="23"/>
      <c r="D16" s="24">
        <f>BCDSPS!F88-BCDSPS!E24-4482871297-13708200+TNHH!F47</f>
        <v>1584917419</v>
      </c>
      <c r="E16" s="24">
        <f>TNHH!F47</f>
        <v>73187378</v>
      </c>
      <c r="F16" s="24">
        <v>1485911019</v>
      </c>
      <c r="G16" s="24">
        <f>BCDSPS!E88-BCDSPS!E24-13708200+E16</f>
        <v>6067788716</v>
      </c>
      <c r="H16" s="25">
        <v>4336123744</v>
      </c>
      <c r="K16" s="20" t="s">
        <v>615</v>
      </c>
    </row>
    <row r="17" spans="1:9" s="20" customFormat="1" ht="39.75" customHeight="1">
      <c r="A17" s="48" t="s">
        <v>246</v>
      </c>
      <c r="B17" s="16" t="s">
        <v>247</v>
      </c>
      <c r="C17" s="17"/>
      <c r="D17" s="18">
        <f>D11+D12-D13-D16</f>
        <v>49253970</v>
      </c>
      <c r="E17" s="18">
        <f>E11+E12-E13-E16</f>
        <v>11700622</v>
      </c>
      <c r="F17" s="18">
        <f>F11+F12-F13-F16</f>
        <v>31176895</v>
      </c>
      <c r="G17" s="18">
        <f>G11+G12-G13-G16</f>
        <v>634641687</v>
      </c>
      <c r="H17" s="19">
        <f>H11+H12-H13-H16</f>
        <v>222985192</v>
      </c>
      <c r="I17" s="50"/>
    </row>
    <row r="18" spans="1:8" s="20" customFormat="1" ht="21.75" customHeight="1">
      <c r="A18" s="49" t="s">
        <v>248</v>
      </c>
      <c r="B18" s="22" t="s">
        <v>249</v>
      </c>
      <c r="C18" s="23"/>
      <c r="D18" s="24">
        <f>'hop nhat '!E88</f>
        <v>538</v>
      </c>
      <c r="E18" s="24"/>
      <c r="F18" s="24">
        <v>10250</v>
      </c>
      <c r="G18" s="24">
        <v>538</v>
      </c>
      <c r="H18" s="25">
        <v>10250</v>
      </c>
    </row>
    <row r="19" spans="1:11" s="20" customFormat="1" ht="21.75" customHeight="1">
      <c r="A19" s="49" t="s">
        <v>250</v>
      </c>
      <c r="B19" s="22" t="s">
        <v>251</v>
      </c>
      <c r="C19" s="23"/>
      <c r="D19" s="24">
        <f>'hop nhat '!E89</f>
        <v>6</v>
      </c>
      <c r="E19" s="24"/>
      <c r="F19" s="24">
        <v>121861</v>
      </c>
      <c r="G19" s="24">
        <v>6</v>
      </c>
      <c r="H19" s="25">
        <v>24542174</v>
      </c>
      <c r="I19" s="174"/>
      <c r="J19" s="173"/>
      <c r="K19" s="182"/>
    </row>
    <row r="20" spans="1:11" s="20" customFormat="1" ht="21.75" customHeight="1">
      <c r="A20" s="48" t="s">
        <v>252</v>
      </c>
      <c r="B20" s="16" t="s">
        <v>253</v>
      </c>
      <c r="C20" s="17"/>
      <c r="D20" s="18">
        <f>D18-D19</f>
        <v>532</v>
      </c>
      <c r="E20" s="18"/>
      <c r="F20" s="18">
        <f>F18-F19</f>
        <v>-111611</v>
      </c>
      <c r="G20" s="18">
        <f>G18-G19</f>
        <v>532</v>
      </c>
      <c r="H20" s="19">
        <f>H18-H19</f>
        <v>-24531924</v>
      </c>
      <c r="I20" s="174"/>
      <c r="J20" s="173"/>
      <c r="K20" s="182"/>
    </row>
    <row r="21" spans="1:9" s="20" customFormat="1" ht="21.75" customHeight="1">
      <c r="A21" s="49" t="s">
        <v>254</v>
      </c>
      <c r="B21" s="22" t="s">
        <v>255</v>
      </c>
      <c r="C21" s="23"/>
      <c r="D21" s="24">
        <v>0</v>
      </c>
      <c r="E21" s="24"/>
      <c r="F21" s="24">
        <v>0</v>
      </c>
      <c r="G21" s="24">
        <v>0</v>
      </c>
      <c r="H21" s="25">
        <v>0</v>
      </c>
      <c r="I21" s="181"/>
    </row>
    <row r="22" spans="1:9" s="20" customFormat="1" ht="34.5" customHeight="1">
      <c r="A22" s="48" t="s">
        <v>256</v>
      </c>
      <c r="B22" s="16" t="s">
        <v>257</v>
      </c>
      <c r="C22" s="17"/>
      <c r="D22" s="18">
        <f>D17+D20</f>
        <v>49254502</v>
      </c>
      <c r="E22" s="18">
        <f>E17+E20</f>
        <v>11700622</v>
      </c>
      <c r="F22" s="18">
        <f>F17+F20</f>
        <v>31065284</v>
      </c>
      <c r="G22" s="18">
        <f>G17+G20</f>
        <v>634642219</v>
      </c>
      <c r="H22" s="19">
        <f>H17+H20</f>
        <v>198453268</v>
      </c>
      <c r="I22" s="50"/>
    </row>
    <row r="23" spans="1:9" s="20" customFormat="1" ht="21.75" customHeight="1">
      <c r="A23" s="49" t="s">
        <v>258</v>
      </c>
      <c r="B23" s="22" t="s">
        <v>259</v>
      </c>
      <c r="C23" s="23"/>
      <c r="D23" s="24">
        <f>D22*22%+TNHH!E48</f>
        <v>13176114.44</v>
      </c>
      <c r="E23" s="24">
        <f>TNHH!F48</f>
        <v>2340124</v>
      </c>
      <c r="F23" s="24">
        <v>7766321</v>
      </c>
      <c r="G23" s="24">
        <f>BCDSPS!F91+E23</f>
        <v>139387275</v>
      </c>
      <c r="H23" s="25">
        <v>49613317</v>
      </c>
      <c r="I23" s="50"/>
    </row>
    <row r="24" spans="1:8" s="20" customFormat="1" ht="21.75" customHeight="1">
      <c r="A24" s="49" t="s">
        <v>260</v>
      </c>
      <c r="B24" s="22" t="s">
        <v>261</v>
      </c>
      <c r="C24" s="23"/>
      <c r="D24" s="24">
        <v>0</v>
      </c>
      <c r="E24" s="24"/>
      <c r="F24" s="24">
        <v>0</v>
      </c>
      <c r="G24" s="24">
        <v>0</v>
      </c>
      <c r="H24" s="25">
        <v>0</v>
      </c>
    </row>
    <row r="25" spans="1:9" s="20" customFormat="1" ht="37.5" customHeight="1">
      <c r="A25" s="48" t="s">
        <v>262</v>
      </c>
      <c r="B25" s="16" t="s">
        <v>263</v>
      </c>
      <c r="C25" s="17"/>
      <c r="D25" s="18">
        <f>D22-D23</f>
        <v>36078387.56</v>
      </c>
      <c r="E25" s="18">
        <f>E22-E23</f>
        <v>9360498</v>
      </c>
      <c r="F25" s="51">
        <f>F22-F23</f>
        <v>23298963</v>
      </c>
      <c r="G25" s="51">
        <f>G22-G23</f>
        <v>495254944</v>
      </c>
      <c r="H25" s="26">
        <f>H22-H23</f>
        <v>148839951</v>
      </c>
      <c r="I25" s="50"/>
    </row>
    <row r="26" spans="1:8" s="20" customFormat="1" ht="21.75" customHeight="1">
      <c r="A26" s="49" t="s">
        <v>264</v>
      </c>
      <c r="B26" s="22" t="s">
        <v>265</v>
      </c>
      <c r="C26" s="23"/>
      <c r="D26" s="24">
        <v>0</v>
      </c>
      <c r="E26" s="24"/>
      <c r="F26" s="24">
        <v>0</v>
      </c>
      <c r="G26" s="24"/>
      <c r="H26" s="25">
        <v>0</v>
      </c>
    </row>
    <row r="27" spans="1:8" s="20" customFormat="1" ht="21.75" customHeight="1">
      <c r="A27" s="49" t="s">
        <v>266</v>
      </c>
      <c r="B27" s="22" t="s">
        <v>267</v>
      </c>
      <c r="C27" s="23"/>
      <c r="D27" s="24">
        <v>0</v>
      </c>
      <c r="E27" s="24"/>
      <c r="F27" s="24">
        <v>0</v>
      </c>
      <c r="G27" s="24">
        <v>0</v>
      </c>
      <c r="H27" s="25">
        <v>0</v>
      </c>
    </row>
    <row r="28" spans="1:8" s="20" customFormat="1" ht="21.75" customHeight="1" thickBot="1">
      <c r="A28" s="52" t="s">
        <v>268</v>
      </c>
      <c r="B28" s="28" t="s">
        <v>269</v>
      </c>
      <c r="C28" s="29"/>
      <c r="D28" s="30">
        <v>0</v>
      </c>
      <c r="E28" s="30"/>
      <c r="F28" s="30">
        <v>0</v>
      </c>
      <c r="G28" s="30">
        <v>0</v>
      </c>
      <c r="H28" s="31">
        <v>0</v>
      </c>
    </row>
    <row r="29" spans="1:8" s="35" customFormat="1" ht="15.75" thickTop="1">
      <c r="A29" s="32"/>
      <c r="B29" s="33"/>
      <c r="C29" s="54"/>
      <c r="D29" s="34"/>
      <c r="E29" s="34"/>
      <c r="F29" s="246" t="s">
        <v>611</v>
      </c>
      <c r="G29" s="246"/>
      <c r="H29" s="246"/>
    </row>
    <row r="30" spans="1:9" ht="15.75">
      <c r="A30" s="36"/>
      <c r="B30" s="4"/>
      <c r="C30" s="37"/>
      <c r="D30" s="34"/>
      <c r="E30" s="34"/>
      <c r="F30" s="34"/>
      <c r="G30" s="38"/>
      <c r="H30" s="38"/>
      <c r="I30" s="38"/>
    </row>
    <row r="31" spans="1:9" ht="15.75">
      <c r="A31" s="36" t="s">
        <v>218</v>
      </c>
      <c r="B31" s="244" t="s">
        <v>219</v>
      </c>
      <c r="C31" s="245"/>
      <c r="D31" s="245"/>
      <c r="E31" s="245"/>
      <c r="F31" s="245"/>
      <c r="G31" s="245"/>
      <c r="H31" s="39" t="s">
        <v>220</v>
      </c>
      <c r="I31" s="39"/>
    </row>
    <row r="32" spans="1:7" ht="15.75">
      <c r="A32" s="36"/>
      <c r="B32" s="4"/>
      <c r="C32" s="37"/>
      <c r="D32" s="40"/>
      <c r="E32" s="40"/>
      <c r="F32" s="40"/>
      <c r="G32" s="41"/>
    </row>
    <row r="33" spans="1:7" ht="15.75">
      <c r="A33" s="36"/>
      <c r="B33" s="4"/>
      <c r="C33" s="37"/>
      <c r="D33" s="40"/>
      <c r="E33" s="40"/>
      <c r="F33" s="40"/>
      <c r="G33" s="157"/>
    </row>
    <row r="34" spans="1:7" ht="15.75">
      <c r="A34" s="36"/>
      <c r="B34" s="4"/>
      <c r="C34" s="37"/>
      <c r="D34" s="40"/>
      <c r="E34" s="40"/>
      <c r="F34" s="40"/>
      <c r="G34" s="41"/>
    </row>
    <row r="35" spans="1:7" ht="15.75">
      <c r="A35" s="222" t="s">
        <v>616</v>
      </c>
      <c r="B35" s="3" t="s">
        <v>221</v>
      </c>
      <c r="D35" s="40"/>
      <c r="E35" s="40"/>
      <c r="F35" s="40"/>
      <c r="G35" s="157"/>
    </row>
    <row r="36" spans="2:7" ht="15.75">
      <c r="B36" s="42"/>
      <c r="G36" s="158"/>
    </row>
  </sheetData>
  <sheetProtection/>
  <mergeCells count="6">
    <mergeCell ref="B31:G31"/>
    <mergeCell ref="F29:H29"/>
    <mergeCell ref="A1:C1"/>
    <mergeCell ref="A2:C2"/>
    <mergeCell ref="A3:B3"/>
    <mergeCell ref="A5:H5"/>
  </mergeCells>
  <printOptions/>
  <pageMargins left="0.54" right="0.28" top="0.42" bottom="0.39" header="0.25" footer="0.26"/>
  <pageSetup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06"/>
  <sheetViews>
    <sheetView zoomScalePageLayoutView="0" workbookViewId="0" topLeftCell="A163">
      <selection activeCell="G120" sqref="G120"/>
    </sheetView>
  </sheetViews>
  <sheetFormatPr defaultColWidth="9.00390625" defaultRowHeight="15.75"/>
  <cols>
    <col min="1" max="1" width="3.625" style="0" customWidth="1"/>
    <col min="2" max="2" width="18.625" style="0" customWidth="1"/>
    <col min="3" max="3" width="11.75390625" style="133" customWidth="1"/>
    <col min="4" max="4" width="6.25390625" style="133" customWidth="1"/>
    <col min="5" max="5" width="9.75390625" style="133" customWidth="1"/>
    <col min="6" max="6" width="13.00390625" style="133" customWidth="1"/>
    <col min="7" max="7" width="11.875" style="134" customWidth="1"/>
    <col min="8" max="8" width="12.50390625" style="134" customWidth="1"/>
    <col min="9" max="9" width="14.75390625" style="0" bestFit="1" customWidth="1"/>
    <col min="10" max="10" width="23.375" style="0" customWidth="1"/>
    <col min="11" max="11" width="7.125" style="0" customWidth="1"/>
    <col min="12" max="12" width="7.00390625" style="0" customWidth="1"/>
  </cols>
  <sheetData>
    <row r="1" spans="1:8" s="59" customFormat="1" ht="15.75">
      <c r="A1" s="55" t="s">
        <v>7</v>
      </c>
      <c r="B1" s="56"/>
      <c r="C1" s="56"/>
      <c r="D1" s="56"/>
      <c r="E1" s="57"/>
      <c r="F1" s="335" t="s">
        <v>8</v>
      </c>
      <c r="G1" s="335"/>
      <c r="H1" s="335"/>
    </row>
    <row r="2" spans="1:8" s="59" customFormat="1" ht="15.75">
      <c r="A2" s="60" t="s">
        <v>9</v>
      </c>
      <c r="B2" s="60"/>
      <c r="C2" s="56"/>
      <c r="D2" s="56"/>
      <c r="E2" s="61"/>
      <c r="F2" s="336" t="s">
        <v>608</v>
      </c>
      <c r="G2" s="335"/>
      <c r="H2" s="335"/>
    </row>
    <row r="3" spans="1:8" s="59" customFormat="1" ht="15.75">
      <c r="A3" s="60" t="s">
        <v>10</v>
      </c>
      <c r="B3" s="60"/>
      <c r="C3" s="62"/>
      <c r="D3" s="63"/>
      <c r="E3" s="61"/>
      <c r="F3" s="61"/>
      <c r="G3" s="61"/>
      <c r="H3" s="61"/>
    </row>
    <row r="4" spans="1:8" s="59" customFormat="1" ht="15.75">
      <c r="A4" s="61"/>
      <c r="B4" s="61"/>
      <c r="C4" s="337"/>
      <c r="D4" s="337"/>
      <c r="E4" s="61"/>
      <c r="F4" s="61"/>
      <c r="G4" s="337"/>
      <c r="H4" s="337"/>
    </row>
    <row r="5" spans="2:8" ht="21.75">
      <c r="B5" s="332" t="s">
        <v>270</v>
      </c>
      <c r="C5" s="332"/>
      <c r="D5" s="332"/>
      <c r="E5" s="332"/>
      <c r="F5" s="332"/>
      <c r="G5" s="332"/>
      <c r="H5" s="332"/>
    </row>
    <row r="6" spans="2:8" ht="21.75">
      <c r="B6" s="333" t="s">
        <v>612</v>
      </c>
      <c r="C6" s="333"/>
      <c r="D6" s="333"/>
      <c r="E6" s="333"/>
      <c r="F6" s="333"/>
      <c r="G6" s="333"/>
      <c r="H6" s="333"/>
    </row>
    <row r="7" spans="2:8" s="64" customFormat="1" ht="19.5" customHeight="1">
      <c r="B7" s="65" t="s">
        <v>271</v>
      </c>
      <c r="C7" s="66"/>
      <c r="D7" s="66"/>
      <c r="E7" s="66"/>
      <c r="F7" s="66"/>
      <c r="G7" s="67"/>
      <c r="H7" s="67"/>
    </row>
    <row r="8" spans="3:11" s="64" customFormat="1" ht="19.5" customHeight="1">
      <c r="C8" s="66"/>
      <c r="D8" s="66"/>
      <c r="E8" s="66"/>
      <c r="F8" s="253" t="s">
        <v>272</v>
      </c>
      <c r="G8" s="253"/>
      <c r="H8" s="253"/>
      <c r="I8" s="334"/>
      <c r="J8" s="334"/>
      <c r="K8" s="334"/>
    </row>
    <row r="9" spans="2:11" s="64" customFormat="1" ht="19.5" customHeight="1">
      <c r="B9" s="329" t="s">
        <v>273</v>
      </c>
      <c r="C9" s="329"/>
      <c r="D9" s="329"/>
      <c r="E9" s="330" t="s">
        <v>443</v>
      </c>
      <c r="F9" s="330"/>
      <c r="G9" s="331" t="s">
        <v>274</v>
      </c>
      <c r="H9" s="331"/>
      <c r="I9" s="68"/>
      <c r="J9" s="68"/>
      <c r="K9" s="68"/>
    </row>
    <row r="10" spans="2:11" s="64" customFormat="1" ht="19.5" customHeight="1">
      <c r="B10" s="289" t="s">
        <v>275</v>
      </c>
      <c r="C10" s="289"/>
      <c r="D10" s="289"/>
      <c r="E10" s="293">
        <f>BCDSPS!C6</f>
        <v>96810053</v>
      </c>
      <c r="F10" s="293"/>
      <c r="G10" s="295">
        <f>'hop nhat '!G6</f>
        <v>318353330</v>
      </c>
      <c r="H10" s="295"/>
      <c r="I10" s="70"/>
      <c r="J10" s="68"/>
      <c r="K10" s="68"/>
    </row>
    <row r="11" spans="2:11" s="64" customFormat="1" ht="19.5" customHeight="1">
      <c r="B11" s="289" t="s">
        <v>276</v>
      </c>
      <c r="C11" s="289"/>
      <c r="D11" s="289"/>
      <c r="E11" s="293">
        <f>BCDSPS!C8</f>
        <v>3173938555</v>
      </c>
      <c r="F11" s="293"/>
      <c r="G11" s="295">
        <f>'hop nhat '!G8</f>
        <v>1363858068</v>
      </c>
      <c r="H11" s="295"/>
      <c r="I11" s="68"/>
      <c r="J11" s="68"/>
      <c r="K11" s="68"/>
    </row>
    <row r="12" spans="2:11" s="64" customFormat="1" ht="19.5" customHeight="1">
      <c r="B12" s="289" t="s">
        <v>277</v>
      </c>
      <c r="C12" s="289"/>
      <c r="D12" s="289"/>
      <c r="E12" s="293"/>
      <c r="F12" s="293"/>
      <c r="G12" s="295"/>
      <c r="H12" s="295"/>
      <c r="I12" s="68"/>
      <c r="J12" s="68"/>
      <c r="K12" s="68"/>
    </row>
    <row r="13" spans="2:8" s="64" customFormat="1" ht="19.5" customHeight="1">
      <c r="B13" s="287" t="s">
        <v>278</v>
      </c>
      <c r="C13" s="287"/>
      <c r="D13" s="287"/>
      <c r="E13" s="293">
        <f>E10+E11</f>
        <v>3270748608</v>
      </c>
      <c r="F13" s="293"/>
      <c r="G13" s="295">
        <f>G10+G11</f>
        <v>1682211398</v>
      </c>
      <c r="H13" s="295"/>
    </row>
    <row r="14" spans="2:8" s="64" customFormat="1" ht="19.5" customHeight="1">
      <c r="B14" s="329" t="s">
        <v>279</v>
      </c>
      <c r="C14" s="329"/>
      <c r="D14" s="329"/>
      <c r="E14" s="330" t="s">
        <v>443</v>
      </c>
      <c r="F14" s="330"/>
      <c r="G14" s="331" t="s">
        <v>274</v>
      </c>
      <c r="H14" s="331"/>
    </row>
    <row r="15" spans="2:9" s="64" customFormat="1" ht="19.5" customHeight="1">
      <c r="B15" s="289" t="s">
        <v>280</v>
      </c>
      <c r="C15" s="289"/>
      <c r="D15" s="289"/>
      <c r="E15" s="293">
        <f>'hop nhat '!C24</f>
        <v>18101918632</v>
      </c>
      <c r="F15" s="293"/>
      <c r="G15" s="295">
        <f>'hop nhat '!G24</f>
        <v>16861442220</v>
      </c>
      <c r="H15" s="295"/>
      <c r="I15" s="71"/>
    </row>
    <row r="16" spans="2:9" s="64" customFormat="1" ht="19.5" customHeight="1">
      <c r="B16" s="289" t="s">
        <v>281</v>
      </c>
      <c r="C16" s="289"/>
      <c r="D16" s="289"/>
      <c r="E16" s="293"/>
      <c r="F16" s="293"/>
      <c r="G16" s="295">
        <f>'hop nhat '!G26</f>
        <v>31166667</v>
      </c>
      <c r="H16" s="295"/>
      <c r="I16" s="71"/>
    </row>
    <row r="17" spans="2:9" s="64" customFormat="1" ht="19.5" customHeight="1">
      <c r="B17" s="289" t="s">
        <v>282</v>
      </c>
      <c r="C17" s="289"/>
      <c r="D17" s="289"/>
      <c r="E17" s="293">
        <f>'hop nhat '!C28</f>
        <v>3626594073</v>
      </c>
      <c r="F17" s="293"/>
      <c r="G17" s="295">
        <f>'hop nhat '!G28</f>
        <v>11739529158</v>
      </c>
      <c r="H17" s="295"/>
      <c r="I17" s="71"/>
    </row>
    <row r="18" spans="2:9" s="64" customFormat="1" ht="19.5" customHeight="1">
      <c r="B18" s="289" t="s">
        <v>283</v>
      </c>
      <c r="C18" s="289"/>
      <c r="D18" s="289"/>
      <c r="E18" s="293"/>
      <c r="F18" s="293"/>
      <c r="G18" s="295"/>
      <c r="H18" s="295"/>
      <c r="I18" s="71"/>
    </row>
    <row r="19" spans="2:9" s="64" customFormat="1" ht="19.5" customHeight="1">
      <c r="B19" s="289" t="s">
        <v>284</v>
      </c>
      <c r="C19" s="289"/>
      <c r="D19" s="289"/>
      <c r="E19" s="293">
        <f>'[1]Sheet1'!C38</f>
        <v>0</v>
      </c>
      <c r="F19" s="293"/>
      <c r="G19" s="295"/>
      <c r="H19" s="295"/>
      <c r="I19" s="71"/>
    </row>
    <row r="20" spans="2:8" s="64" customFormat="1" ht="19.5" customHeight="1">
      <c r="B20" s="289" t="s">
        <v>285</v>
      </c>
      <c r="C20" s="289"/>
      <c r="D20" s="289"/>
      <c r="E20" s="293"/>
      <c r="F20" s="293"/>
      <c r="G20" s="295"/>
      <c r="H20" s="295"/>
    </row>
    <row r="21" spans="2:8" s="64" customFormat="1" ht="19.5" customHeight="1">
      <c r="B21" s="287" t="s">
        <v>278</v>
      </c>
      <c r="C21" s="287"/>
      <c r="D21" s="287"/>
      <c r="E21" s="293">
        <f>SUM(E15:F20)</f>
        <v>21728512705</v>
      </c>
      <c r="F21" s="293"/>
      <c r="G21" s="295">
        <f>SUM(G15:H20)</f>
        <v>28632138045</v>
      </c>
      <c r="H21" s="295"/>
    </row>
    <row r="22" spans="2:8" s="64" customFormat="1" ht="19.5" customHeight="1">
      <c r="B22" s="72" t="s">
        <v>286</v>
      </c>
      <c r="C22" s="66"/>
      <c r="D22" s="66"/>
      <c r="E22" s="66"/>
      <c r="F22" s="66"/>
      <c r="G22" s="67"/>
      <c r="H22" s="67"/>
    </row>
    <row r="23" spans="2:8" s="64" customFormat="1" ht="19.5" customHeight="1">
      <c r="B23" s="64" t="s">
        <v>287</v>
      </c>
      <c r="C23" s="66"/>
      <c r="D23" s="66"/>
      <c r="E23" s="66"/>
      <c r="F23" s="66"/>
      <c r="G23" s="67"/>
      <c r="H23" s="67"/>
    </row>
    <row r="24" spans="2:8" s="64" customFormat="1" ht="19.5" customHeight="1">
      <c r="B24" s="328" t="s">
        <v>288</v>
      </c>
      <c r="C24" s="326" t="s">
        <v>555</v>
      </c>
      <c r="D24" s="326" t="s">
        <v>550</v>
      </c>
      <c r="E24" s="326"/>
      <c r="F24" s="326" t="s">
        <v>549</v>
      </c>
      <c r="G24" s="327" t="s">
        <v>551</v>
      </c>
      <c r="H24" s="327" t="s">
        <v>289</v>
      </c>
    </row>
    <row r="25" spans="2:8" s="64" customFormat="1" ht="19.5" customHeight="1">
      <c r="B25" s="328"/>
      <c r="C25" s="326"/>
      <c r="D25" s="326"/>
      <c r="E25" s="326"/>
      <c r="F25" s="326"/>
      <c r="G25" s="327"/>
      <c r="H25" s="327"/>
    </row>
    <row r="26" spans="2:8" s="64" customFormat="1" ht="19.5" customHeight="1">
      <c r="B26" s="328"/>
      <c r="C26" s="326"/>
      <c r="D26" s="326"/>
      <c r="E26" s="326"/>
      <c r="F26" s="326"/>
      <c r="G26" s="327"/>
      <c r="H26" s="327"/>
    </row>
    <row r="27" spans="2:8" s="64" customFormat="1" ht="19.5" customHeight="1">
      <c r="B27" s="75" t="s">
        <v>290</v>
      </c>
      <c r="C27" s="76"/>
      <c r="D27" s="251"/>
      <c r="E27" s="251"/>
      <c r="F27" s="76"/>
      <c r="G27" s="77"/>
      <c r="H27" s="78"/>
    </row>
    <row r="28" spans="2:9" s="64" customFormat="1" ht="19.5" customHeight="1">
      <c r="B28" s="79" t="s">
        <v>444</v>
      </c>
      <c r="C28" s="178">
        <f>'hop nhat '!C32</f>
        <v>8563826118</v>
      </c>
      <c r="D28" s="288">
        <f>'hop nhat '!C35</f>
        <v>1542857142</v>
      </c>
      <c r="E28" s="288"/>
      <c r="F28" s="169">
        <f>'hop nhat '!C31+'hop nhat '!C33</f>
        <v>3283595238</v>
      </c>
      <c r="G28" s="170">
        <f>'hop nhat '!C34</f>
        <v>58076264</v>
      </c>
      <c r="H28" s="170">
        <f>SUM(C28:G28)</f>
        <v>13448354762</v>
      </c>
      <c r="I28" s="71"/>
    </row>
    <row r="29" spans="2:8" s="64" customFormat="1" ht="19.5" customHeight="1">
      <c r="B29" s="79" t="s">
        <v>449</v>
      </c>
      <c r="C29" s="169">
        <f>BCDSPS!E31</f>
        <v>0</v>
      </c>
      <c r="D29" s="293"/>
      <c r="E29" s="293"/>
      <c r="F29" s="80"/>
      <c r="G29" s="81">
        <f>'hop nhat '!E34</f>
        <v>35000000</v>
      </c>
      <c r="H29" s="170">
        <f>SUM(C29:G29)</f>
        <v>35000000</v>
      </c>
    </row>
    <row r="30" spans="2:8" s="64" customFormat="1" ht="19.5" customHeight="1">
      <c r="B30" s="82" t="s">
        <v>291</v>
      </c>
      <c r="C30" s="80"/>
      <c r="D30" s="293"/>
      <c r="E30" s="293"/>
      <c r="F30" s="80"/>
      <c r="G30" s="81"/>
      <c r="H30" s="81">
        <f>SUM(C30:G30)</f>
        <v>0</v>
      </c>
    </row>
    <row r="31" spans="2:8" s="64" customFormat="1" ht="19.5" customHeight="1">
      <c r="B31" s="82" t="s">
        <v>292</v>
      </c>
      <c r="C31" s="80"/>
      <c r="D31" s="296"/>
      <c r="E31" s="297"/>
      <c r="F31" s="80"/>
      <c r="G31" s="81"/>
      <c r="H31" s="81">
        <f>C31</f>
        <v>0</v>
      </c>
    </row>
    <row r="32" spans="2:8" s="64" customFormat="1" ht="19.5" customHeight="1">
      <c r="B32" s="82" t="s">
        <v>293</v>
      </c>
      <c r="C32" s="80">
        <f>BCDSPS!E33</f>
        <v>0</v>
      </c>
      <c r="D32" s="293"/>
      <c r="E32" s="293"/>
      <c r="F32" s="69"/>
      <c r="G32" s="81"/>
      <c r="H32" s="81">
        <f>C32</f>
        <v>0</v>
      </c>
    </row>
    <row r="33" spans="2:8" s="65" customFormat="1" ht="19.5" customHeight="1">
      <c r="B33" s="179" t="s">
        <v>450</v>
      </c>
      <c r="C33" s="169">
        <f>C36</f>
        <v>0</v>
      </c>
      <c r="D33" s="288">
        <f>D36</f>
        <v>0</v>
      </c>
      <c r="E33" s="288"/>
      <c r="F33" s="168">
        <f>F36</f>
        <v>0</v>
      </c>
      <c r="G33" s="170">
        <f>G36</f>
        <v>0</v>
      </c>
      <c r="H33" s="170">
        <f>SUM(C33:G33)</f>
        <v>0</v>
      </c>
    </row>
    <row r="34" spans="2:8" s="64" customFormat="1" ht="19.5" customHeight="1">
      <c r="B34" s="82" t="s">
        <v>294</v>
      </c>
      <c r="C34" s="80"/>
      <c r="D34" s="293"/>
      <c r="E34" s="293"/>
      <c r="F34" s="80"/>
      <c r="G34" s="81"/>
      <c r="H34" s="81"/>
    </row>
    <row r="35" spans="2:9" s="64" customFormat="1" ht="19.5" customHeight="1">
      <c r="B35" s="82" t="s">
        <v>545</v>
      </c>
      <c r="C35" s="80"/>
      <c r="D35" s="293"/>
      <c r="E35" s="293"/>
      <c r="F35" s="80"/>
      <c r="G35" s="81"/>
      <c r="H35" s="81">
        <f>F35</f>
        <v>0</v>
      </c>
      <c r="I35" s="71"/>
    </row>
    <row r="36" spans="2:8" s="64" customFormat="1" ht="19.5" customHeight="1">
      <c r="B36" s="82" t="s">
        <v>321</v>
      </c>
      <c r="C36" s="155">
        <f>BCDSPS!F31</f>
        <v>0</v>
      </c>
      <c r="D36" s="325">
        <f>BCDSPS!F34</f>
        <v>0</v>
      </c>
      <c r="E36" s="325"/>
      <c r="F36" s="155"/>
      <c r="G36" s="156"/>
      <c r="H36" s="81">
        <f>SUM(C36:G36)</f>
        <v>0</v>
      </c>
    </row>
    <row r="37" spans="2:8" s="64" customFormat="1" ht="19.5" customHeight="1">
      <c r="B37" s="82" t="s">
        <v>552</v>
      </c>
      <c r="C37" s="80"/>
      <c r="D37" s="293"/>
      <c r="E37" s="293"/>
      <c r="F37" s="80"/>
      <c r="G37" s="81"/>
      <c r="H37" s="81">
        <f>SUM(C37:G37)</f>
        <v>0</v>
      </c>
    </row>
    <row r="38" spans="2:8" s="64" customFormat="1" ht="19.5" customHeight="1">
      <c r="B38" s="79" t="s">
        <v>6</v>
      </c>
      <c r="C38" s="171">
        <f>C28+C29-C36</f>
        <v>8563826118</v>
      </c>
      <c r="D38" s="288">
        <f>D28+D29-D33</f>
        <v>1542857142</v>
      </c>
      <c r="E38" s="288"/>
      <c r="F38" s="169">
        <f>F28+F29-F33</f>
        <v>3283595238</v>
      </c>
      <c r="G38" s="169">
        <f>G28+G29-G33</f>
        <v>93076264</v>
      </c>
      <c r="H38" s="169">
        <f>H28+H29-H33</f>
        <v>13483354762</v>
      </c>
    </row>
    <row r="39" spans="2:8" s="64" customFormat="1" ht="33" customHeight="1">
      <c r="B39" s="84" t="s">
        <v>295</v>
      </c>
      <c r="C39" s="80"/>
      <c r="D39" s="293"/>
      <c r="E39" s="293"/>
      <c r="F39" s="80"/>
      <c r="G39" s="80"/>
      <c r="H39" s="81"/>
    </row>
    <row r="40" spans="2:8" s="64" customFormat="1" ht="19.5" customHeight="1">
      <c r="B40" s="79" t="s">
        <v>445</v>
      </c>
      <c r="C40" s="80">
        <v>659392734</v>
      </c>
      <c r="D40" s="293"/>
      <c r="E40" s="293"/>
      <c r="F40" s="80">
        <f>903333008+719885773</f>
        <v>1623218781</v>
      </c>
      <c r="G40" s="81">
        <v>31576282</v>
      </c>
      <c r="H40" s="81">
        <f>C40+D40+F40+G40</f>
        <v>2314187797</v>
      </c>
    </row>
    <row r="41" spans="2:9" s="64" customFormat="1" ht="19.5" customHeight="1">
      <c r="B41" s="79" t="s">
        <v>451</v>
      </c>
      <c r="C41" s="80">
        <f>70606167+99187719+84896943+56845068+TNHH!F27</f>
        <v>341399189</v>
      </c>
      <c r="D41" s="293"/>
      <c r="E41" s="293"/>
      <c r="F41" s="80">
        <f>43341015+113986875-26499982+78663945+93712817-26499982+TNHH!F28-1317204-30</f>
        <v>287822207</v>
      </c>
      <c r="G41" s="81">
        <f>26499982+1317204</f>
        <v>27817186</v>
      </c>
      <c r="H41" s="81">
        <f>C41+D41+F41+G41</f>
        <v>657038582</v>
      </c>
      <c r="I41" s="71"/>
    </row>
    <row r="42" spans="2:9" s="64" customFormat="1" ht="19.5" customHeight="1">
      <c r="B42" s="79" t="s">
        <v>452</v>
      </c>
      <c r="C42" s="80"/>
      <c r="D42" s="293"/>
      <c r="E42" s="293"/>
      <c r="F42" s="180"/>
      <c r="G42" s="81"/>
      <c r="H42" s="81">
        <f>C42+D42+F42+G42</f>
        <v>0</v>
      </c>
      <c r="I42" s="71"/>
    </row>
    <row r="43" spans="2:8" s="64" customFormat="1" ht="19.5" customHeight="1">
      <c r="B43" s="79" t="s">
        <v>6</v>
      </c>
      <c r="C43" s="80">
        <f>C40+C41</f>
        <v>1000791923</v>
      </c>
      <c r="D43" s="293">
        <f>D40+D41-D42</f>
        <v>0</v>
      </c>
      <c r="E43" s="293"/>
      <c r="F43" s="80">
        <f>F40+F41-F42</f>
        <v>1911040988</v>
      </c>
      <c r="G43" s="80">
        <f>G40+G41-G42</f>
        <v>59393468</v>
      </c>
      <c r="H43" s="81">
        <f>SUM(C43:G43)</f>
        <v>2971226379</v>
      </c>
    </row>
    <row r="44" spans="2:9" s="64" customFormat="1" ht="19.5" customHeight="1">
      <c r="B44" s="75" t="s">
        <v>296</v>
      </c>
      <c r="C44" s="80"/>
      <c r="D44" s="293"/>
      <c r="E44" s="293"/>
      <c r="F44" s="80"/>
      <c r="G44" s="81"/>
      <c r="H44" s="81"/>
      <c r="I44" s="71"/>
    </row>
    <row r="45" spans="2:8" s="64" customFormat="1" ht="19.5" customHeight="1">
      <c r="B45" s="75" t="s">
        <v>297</v>
      </c>
      <c r="C45" s="80"/>
      <c r="D45" s="293"/>
      <c r="E45" s="293"/>
      <c r="F45" s="80"/>
      <c r="G45" s="81"/>
      <c r="H45" s="81"/>
    </row>
    <row r="46" spans="2:8" s="64" customFormat="1" ht="19.5" customHeight="1">
      <c r="B46" s="79" t="s">
        <v>324</v>
      </c>
      <c r="C46" s="80">
        <f>C28-C40</f>
        <v>7904433384</v>
      </c>
      <c r="D46" s="293">
        <f>D28-D40</f>
        <v>1542857142</v>
      </c>
      <c r="E46" s="293"/>
      <c r="F46" s="80">
        <f>F28-F40</f>
        <v>1660376457</v>
      </c>
      <c r="G46" s="81">
        <f>G28-G40</f>
        <v>26499982</v>
      </c>
      <c r="H46" s="81">
        <f>C46+D46+F46+G46</f>
        <v>11134166965</v>
      </c>
    </row>
    <row r="47" spans="2:8" s="64" customFormat="1" ht="19.5" customHeight="1">
      <c r="B47" s="79" t="s">
        <v>538</v>
      </c>
      <c r="C47" s="80">
        <f>C38-C43</f>
        <v>7563034195</v>
      </c>
      <c r="D47" s="293">
        <f>D38-D43</f>
        <v>1542857142</v>
      </c>
      <c r="E47" s="293"/>
      <c r="F47" s="80">
        <f>F38-F43</f>
        <v>1372554250</v>
      </c>
      <c r="G47" s="81">
        <f>G38-G43</f>
        <v>33682796</v>
      </c>
      <c r="H47" s="81">
        <f>C47+D47+F47+G47</f>
        <v>10512128383</v>
      </c>
    </row>
    <row r="48" spans="2:8" s="64" customFormat="1" ht="19.5" customHeight="1">
      <c r="B48" s="82" t="s">
        <v>298</v>
      </c>
      <c r="C48" s="80"/>
      <c r="D48" s="293"/>
      <c r="E48" s="293"/>
      <c r="F48" s="80"/>
      <c r="G48" s="81"/>
      <c r="H48" s="81"/>
    </row>
    <row r="49" spans="2:8" s="64" customFormat="1" ht="19.5" customHeight="1">
      <c r="B49" s="82" t="s">
        <v>299</v>
      </c>
      <c r="C49" s="80"/>
      <c r="D49" s="293"/>
      <c r="E49" s="293"/>
      <c r="F49" s="80"/>
      <c r="G49" s="81"/>
      <c r="H49" s="81"/>
    </row>
    <row r="50" spans="2:8" s="64" customFormat="1" ht="19.5" customHeight="1">
      <c r="B50" s="82" t="s">
        <v>300</v>
      </c>
      <c r="C50" s="80"/>
      <c r="D50" s="293"/>
      <c r="E50" s="293"/>
      <c r="F50" s="80"/>
      <c r="G50" s="81"/>
      <c r="H50" s="81"/>
    </row>
    <row r="51" spans="2:8" s="64" customFormat="1" ht="19.5" customHeight="1">
      <c r="B51" s="82" t="s">
        <v>301</v>
      </c>
      <c r="C51" s="80"/>
      <c r="D51" s="293"/>
      <c r="E51" s="293"/>
      <c r="F51" s="80"/>
      <c r="G51" s="81"/>
      <c r="H51" s="81"/>
    </row>
    <row r="52" spans="2:8" s="64" customFormat="1" ht="19.5" customHeight="1">
      <c r="B52" s="82" t="s">
        <v>302</v>
      </c>
      <c r="C52" s="80"/>
      <c r="D52" s="293"/>
      <c r="E52" s="293"/>
      <c r="F52" s="80"/>
      <c r="G52" s="81"/>
      <c r="H52" s="81"/>
    </row>
    <row r="53" spans="2:8" s="64" customFormat="1" ht="19.5" customHeight="1">
      <c r="B53" s="72" t="s">
        <v>303</v>
      </c>
      <c r="C53" s="66"/>
      <c r="D53" s="66"/>
      <c r="E53" s="66"/>
      <c r="F53" s="66"/>
      <c r="G53" s="67"/>
      <c r="H53" s="67"/>
    </row>
    <row r="54" spans="2:8" s="64" customFormat="1" ht="19.5" customHeight="1">
      <c r="B54" s="64" t="s">
        <v>304</v>
      </c>
      <c r="C54" s="66"/>
      <c r="D54" s="66"/>
      <c r="E54" s="66"/>
      <c r="F54" s="66"/>
      <c r="G54" s="67"/>
      <c r="H54" s="67"/>
    </row>
    <row r="55" spans="2:8" s="64" customFormat="1" ht="19.5" customHeight="1">
      <c r="B55" s="64" t="s">
        <v>305</v>
      </c>
      <c r="C55" s="66"/>
      <c r="D55" s="66"/>
      <c r="E55" s="66"/>
      <c r="F55" s="66"/>
      <c r="G55" s="67"/>
      <c r="H55" s="67"/>
    </row>
    <row r="56" spans="2:8" s="64" customFormat="1" ht="19.5" customHeight="1">
      <c r="B56" s="64" t="s">
        <v>306</v>
      </c>
      <c r="C56" s="66"/>
      <c r="D56" s="66"/>
      <c r="E56" s="66"/>
      <c r="F56" s="66"/>
      <c r="G56" s="67"/>
      <c r="H56" s="67"/>
    </row>
    <row r="57" spans="2:8" s="64" customFormat="1" ht="19.5" customHeight="1">
      <c r="B57" s="323" t="s">
        <v>288</v>
      </c>
      <c r="C57" s="323" t="s">
        <v>307</v>
      </c>
      <c r="D57" s="323" t="s">
        <v>308</v>
      </c>
      <c r="E57" s="323" t="s">
        <v>309</v>
      </c>
      <c r="F57" s="323" t="s">
        <v>310</v>
      </c>
      <c r="G57" s="324" t="s">
        <v>311</v>
      </c>
      <c r="H57" s="324" t="s">
        <v>289</v>
      </c>
    </row>
    <row r="58" spans="2:8" s="64" customFormat="1" ht="19.5" customHeight="1">
      <c r="B58" s="323"/>
      <c r="C58" s="323" t="s">
        <v>312</v>
      </c>
      <c r="D58" s="323" t="s">
        <v>313</v>
      </c>
      <c r="E58" s="323" t="s">
        <v>314</v>
      </c>
      <c r="F58" s="323" t="s">
        <v>315</v>
      </c>
      <c r="G58" s="324" t="s">
        <v>316</v>
      </c>
      <c r="H58" s="324" t="s">
        <v>289</v>
      </c>
    </row>
    <row r="59" spans="2:8" s="64" customFormat="1" ht="19.5" customHeight="1">
      <c r="B59" s="323"/>
      <c r="C59" s="323"/>
      <c r="D59" s="323"/>
      <c r="E59" s="323"/>
      <c r="F59" s="323"/>
      <c r="G59" s="324" t="s">
        <v>317</v>
      </c>
      <c r="H59" s="324"/>
    </row>
    <row r="60" spans="2:8" s="64" customFormat="1" ht="28.5" customHeight="1">
      <c r="B60" s="84" t="s">
        <v>318</v>
      </c>
      <c r="C60" s="80">
        <f>C61</f>
        <v>112752000</v>
      </c>
      <c r="D60" s="80"/>
      <c r="E60" s="85">
        <f>E61</f>
        <v>0</v>
      </c>
      <c r="F60" s="86"/>
      <c r="G60" s="81"/>
      <c r="H60" s="81">
        <f aca="true" t="shared" si="0" ref="H60:H66">SUM(C60:G60)</f>
        <v>112752000</v>
      </c>
    </row>
    <row r="61" spans="2:8" s="64" customFormat="1" ht="19.5" customHeight="1">
      <c r="B61" s="79" t="s">
        <v>444</v>
      </c>
      <c r="C61" s="80">
        <v>112752000</v>
      </c>
      <c r="D61" s="80"/>
      <c r="E61" s="87"/>
      <c r="F61" s="88"/>
      <c r="G61" s="81"/>
      <c r="H61" s="81">
        <f t="shared" si="0"/>
        <v>112752000</v>
      </c>
    </row>
    <row r="62" spans="2:8" s="64" customFormat="1" ht="19.5" customHeight="1">
      <c r="B62" s="79" t="s">
        <v>449</v>
      </c>
      <c r="C62" s="80"/>
      <c r="D62" s="80"/>
      <c r="E62" s="80">
        <f>E64</f>
        <v>0</v>
      </c>
      <c r="F62" s="80"/>
      <c r="G62" s="81"/>
      <c r="H62" s="81">
        <f t="shared" si="0"/>
        <v>0</v>
      </c>
    </row>
    <row r="63" spans="2:8" s="64" customFormat="1" ht="19.5" customHeight="1">
      <c r="B63" s="82" t="s">
        <v>298</v>
      </c>
      <c r="C63" s="80"/>
      <c r="D63" s="80"/>
      <c r="E63" s="80"/>
      <c r="F63" s="80"/>
      <c r="G63" s="81"/>
      <c r="H63" s="81">
        <f t="shared" si="0"/>
        <v>0</v>
      </c>
    </row>
    <row r="64" spans="2:8" s="64" customFormat="1" ht="19.5" customHeight="1">
      <c r="B64" s="82" t="s">
        <v>453</v>
      </c>
      <c r="C64" s="80"/>
      <c r="D64" s="80"/>
      <c r="E64" s="80"/>
      <c r="F64" s="80"/>
      <c r="G64" s="81"/>
      <c r="H64" s="81">
        <f t="shared" si="0"/>
        <v>0</v>
      </c>
    </row>
    <row r="65" spans="2:8" s="64" customFormat="1" ht="19.5" customHeight="1">
      <c r="B65" s="82" t="s">
        <v>319</v>
      </c>
      <c r="C65" s="80"/>
      <c r="D65" s="80"/>
      <c r="E65" s="80"/>
      <c r="F65" s="80"/>
      <c r="G65" s="81"/>
      <c r="H65" s="81">
        <f t="shared" si="0"/>
        <v>0</v>
      </c>
    </row>
    <row r="66" spans="2:8" s="64" customFormat="1" ht="19.5" customHeight="1">
      <c r="B66" s="79" t="s">
        <v>450</v>
      </c>
      <c r="C66" s="80"/>
      <c r="D66" s="80"/>
      <c r="E66" s="80"/>
      <c r="F66" s="80"/>
      <c r="G66" s="81"/>
      <c r="H66" s="81">
        <f t="shared" si="0"/>
        <v>0</v>
      </c>
    </row>
    <row r="67" spans="2:8" s="64" customFormat="1" ht="19.5" customHeight="1">
      <c r="B67" s="82" t="s">
        <v>298</v>
      </c>
      <c r="C67" s="80"/>
      <c r="D67" s="80"/>
      <c r="E67" s="80"/>
      <c r="F67" s="80"/>
      <c r="G67" s="81"/>
      <c r="H67" s="81"/>
    </row>
    <row r="68" spans="2:8" s="64" customFormat="1" ht="19.5" customHeight="1">
      <c r="B68" s="82" t="s">
        <v>320</v>
      </c>
      <c r="C68" s="80"/>
      <c r="D68" s="80"/>
      <c r="E68" s="80"/>
      <c r="F68" s="80"/>
      <c r="G68" s="81"/>
      <c r="H68" s="81"/>
    </row>
    <row r="69" spans="2:8" s="64" customFormat="1" ht="19.5" customHeight="1">
      <c r="B69" s="82" t="s">
        <v>321</v>
      </c>
      <c r="C69" s="80"/>
      <c r="D69" s="80"/>
      <c r="E69" s="80"/>
      <c r="F69" s="80"/>
      <c r="G69" s="81"/>
      <c r="H69" s="81"/>
    </row>
    <row r="70" spans="2:8" s="64" customFormat="1" ht="19.5" customHeight="1">
      <c r="B70" s="79" t="s">
        <v>530</v>
      </c>
      <c r="C70" s="80">
        <f>C61</f>
        <v>112752000</v>
      </c>
      <c r="D70" s="80"/>
      <c r="E70" s="80">
        <f>E61-E69</f>
        <v>0</v>
      </c>
      <c r="F70" s="80"/>
      <c r="G70" s="81"/>
      <c r="H70" s="81">
        <f aca="true" t="shared" si="1" ref="H70:H75">SUM(C70:G70)</f>
        <v>112752000</v>
      </c>
    </row>
    <row r="71" spans="2:8" s="64" customFormat="1" ht="31.5" customHeight="1">
      <c r="B71" s="84" t="s">
        <v>322</v>
      </c>
      <c r="C71" s="80">
        <f>C72+C73</f>
        <v>34847707</v>
      </c>
      <c r="D71" s="80"/>
      <c r="E71" s="80">
        <f>E72+E73</f>
        <v>0</v>
      </c>
      <c r="F71" s="80"/>
      <c r="G71" s="81"/>
      <c r="H71" s="81">
        <f t="shared" si="1"/>
        <v>34847707</v>
      </c>
    </row>
    <row r="72" spans="2:8" s="64" customFormat="1" ht="19.5" customHeight="1">
      <c r="B72" s="79" t="s">
        <v>444</v>
      </c>
      <c r="C72" s="80">
        <v>26021251</v>
      </c>
      <c r="D72" s="80"/>
      <c r="E72" s="80"/>
      <c r="F72" s="80"/>
      <c r="G72" s="81"/>
      <c r="H72" s="81">
        <f t="shared" si="1"/>
        <v>26021251</v>
      </c>
    </row>
    <row r="73" spans="2:8" s="64" customFormat="1" ht="19.5" customHeight="1">
      <c r="B73" s="79" t="s">
        <v>454</v>
      </c>
      <c r="C73" s="80">
        <f>2206641+2206587+2206614+2206614</f>
        <v>8826456</v>
      </c>
      <c r="D73" s="80"/>
      <c r="E73" s="80"/>
      <c r="F73" s="80"/>
      <c r="G73" s="81"/>
      <c r="H73" s="81">
        <f t="shared" si="1"/>
        <v>8826456</v>
      </c>
    </row>
    <row r="74" spans="2:9" s="64" customFormat="1" ht="19.5" customHeight="1">
      <c r="B74" s="79" t="s">
        <v>450</v>
      </c>
      <c r="C74" s="80"/>
      <c r="D74" s="80"/>
      <c r="E74" s="80"/>
      <c r="F74" s="80"/>
      <c r="G74" s="81"/>
      <c r="H74" s="81">
        <f t="shared" si="1"/>
        <v>0</v>
      </c>
      <c r="I74" s="71">
        <f>H79+H47</f>
        <v>10590032676</v>
      </c>
    </row>
    <row r="75" spans="2:8" s="64" customFormat="1" ht="19.5" customHeight="1">
      <c r="B75" s="79" t="s">
        <v>530</v>
      </c>
      <c r="C75" s="80">
        <f>C72+C73</f>
        <v>34847707</v>
      </c>
      <c r="D75" s="80"/>
      <c r="E75" s="80"/>
      <c r="F75" s="80"/>
      <c r="G75" s="81"/>
      <c r="H75" s="81">
        <f t="shared" si="1"/>
        <v>34847707</v>
      </c>
    </row>
    <row r="76" spans="2:8" s="64" customFormat="1" ht="19.5" customHeight="1">
      <c r="B76" s="75" t="s">
        <v>323</v>
      </c>
      <c r="C76" s="80"/>
      <c r="D76" s="80"/>
      <c r="E76" s="80"/>
      <c r="F76" s="80"/>
      <c r="G76" s="81"/>
      <c r="H76" s="81"/>
    </row>
    <row r="77" spans="2:8" s="64" customFormat="1" ht="19.5" customHeight="1">
      <c r="B77" s="75" t="s">
        <v>316</v>
      </c>
      <c r="C77" s="80"/>
      <c r="D77" s="80"/>
      <c r="E77" s="80"/>
      <c r="F77" s="80"/>
      <c r="G77" s="81"/>
      <c r="H77" s="81"/>
    </row>
    <row r="78" spans="2:8" s="64" customFormat="1" ht="19.5" customHeight="1">
      <c r="B78" s="79" t="s">
        <v>324</v>
      </c>
      <c r="C78" s="80">
        <f>C61-C72</f>
        <v>86730749</v>
      </c>
      <c r="D78" s="80"/>
      <c r="E78" s="80">
        <f>E61-E72</f>
        <v>0</v>
      </c>
      <c r="F78" s="80"/>
      <c r="G78" s="81"/>
      <c r="H78" s="81">
        <f>SUM(C78:G78)</f>
        <v>86730749</v>
      </c>
    </row>
    <row r="79" spans="2:8" s="64" customFormat="1" ht="19.5" customHeight="1">
      <c r="B79" s="79" t="s">
        <v>531</v>
      </c>
      <c r="C79" s="80">
        <f>C70-C75</f>
        <v>77904293</v>
      </c>
      <c r="D79" s="80"/>
      <c r="E79" s="80">
        <v>0</v>
      </c>
      <c r="F79" s="80"/>
      <c r="G79" s="81"/>
      <c r="H79" s="81">
        <f>SUM(C79:G79)</f>
        <v>77904293</v>
      </c>
    </row>
    <row r="80" spans="2:8" s="64" customFormat="1" ht="19.5" customHeight="1">
      <c r="B80" s="72" t="s">
        <v>325</v>
      </c>
      <c r="C80" s="66"/>
      <c r="D80" s="66"/>
      <c r="E80" s="89"/>
      <c r="F80" s="66"/>
      <c r="G80" s="67"/>
      <c r="H80" s="90"/>
    </row>
    <row r="81" spans="3:8" s="64" customFormat="1" ht="19.5" customHeight="1">
      <c r="C81" s="66"/>
      <c r="D81" s="66"/>
      <c r="E81" s="89"/>
      <c r="F81" s="66"/>
      <c r="G81" s="91"/>
      <c r="H81" s="91"/>
    </row>
    <row r="82" spans="2:8" s="64" customFormat="1" ht="19.5" customHeight="1">
      <c r="B82" s="64" t="s">
        <v>326</v>
      </c>
      <c r="C82" s="66"/>
      <c r="D82" s="66"/>
      <c r="E82" s="89"/>
      <c r="F82" s="66"/>
      <c r="G82" s="91"/>
      <c r="H82" s="91"/>
    </row>
    <row r="83" spans="2:8" s="64" customFormat="1" ht="42.75" customHeight="1">
      <c r="B83" s="73" t="s">
        <v>288</v>
      </c>
      <c r="C83" s="73" t="s">
        <v>327</v>
      </c>
      <c r="D83" s="73"/>
      <c r="E83" s="92"/>
      <c r="F83" s="73" t="s">
        <v>310</v>
      </c>
      <c r="G83" s="74" t="s">
        <v>311</v>
      </c>
      <c r="H83" s="74" t="s">
        <v>328</v>
      </c>
    </row>
    <row r="84" spans="2:8" s="64" customFormat="1" ht="19.5" customHeight="1">
      <c r="B84" s="79" t="s">
        <v>446</v>
      </c>
      <c r="C84" s="80"/>
      <c r="D84" s="80"/>
      <c r="E84" s="80"/>
      <c r="F84" s="80"/>
      <c r="G84" s="81"/>
      <c r="H84" s="81">
        <f>C84</f>
        <v>0</v>
      </c>
    </row>
    <row r="85" spans="2:8" s="64" customFormat="1" ht="19.5" customHeight="1">
      <c r="B85" s="79" t="s">
        <v>455</v>
      </c>
      <c r="C85" s="80">
        <f>'[1]Sheet1'!E53</f>
        <v>0</v>
      </c>
      <c r="D85" s="80"/>
      <c r="E85" s="80"/>
      <c r="F85" s="80"/>
      <c r="G85" s="81"/>
      <c r="H85" s="81">
        <f>C85</f>
        <v>0</v>
      </c>
    </row>
    <row r="86" spans="2:8" s="64" customFormat="1" ht="19.5" customHeight="1">
      <c r="B86" s="79" t="s">
        <v>456</v>
      </c>
      <c r="C86" s="80">
        <f>C84</f>
        <v>0</v>
      </c>
      <c r="D86" s="80"/>
      <c r="E86" s="80"/>
      <c r="F86" s="80"/>
      <c r="G86" s="81"/>
      <c r="H86" s="81">
        <f>C86</f>
        <v>0</v>
      </c>
    </row>
    <row r="87" spans="2:8" s="64" customFormat="1" ht="19.5" customHeight="1">
      <c r="B87" s="79" t="s">
        <v>457</v>
      </c>
      <c r="C87" s="80">
        <f>C84+C85-C86</f>
        <v>0</v>
      </c>
      <c r="D87" s="80"/>
      <c r="E87" s="80"/>
      <c r="F87" s="80"/>
      <c r="G87" s="81"/>
      <c r="H87" s="81">
        <f>C87</f>
        <v>0</v>
      </c>
    </row>
    <row r="88" spans="2:8" s="64" customFormat="1" ht="19.5" customHeight="1">
      <c r="B88" s="79"/>
      <c r="C88" s="80"/>
      <c r="D88" s="80"/>
      <c r="E88" s="80"/>
      <c r="F88" s="80"/>
      <c r="G88" s="81"/>
      <c r="H88" s="81"/>
    </row>
    <row r="89" spans="3:8" s="64" customFormat="1" ht="19.5" customHeight="1">
      <c r="C89" s="66"/>
      <c r="D89" s="66"/>
      <c r="E89" s="66"/>
      <c r="F89" s="66"/>
      <c r="G89" s="67"/>
      <c r="H89" s="67"/>
    </row>
    <row r="90" spans="2:8" s="64" customFormat="1" ht="38.25" customHeight="1">
      <c r="B90" s="271" t="s">
        <v>329</v>
      </c>
      <c r="C90" s="272"/>
      <c r="D90" s="273"/>
      <c r="E90" s="251" t="s">
        <v>447</v>
      </c>
      <c r="F90" s="251"/>
      <c r="G90" s="281" t="s">
        <v>532</v>
      </c>
      <c r="H90" s="282"/>
    </row>
    <row r="91" spans="2:8" s="64" customFormat="1" ht="19.5" customHeight="1">
      <c r="B91" s="93" t="s">
        <v>330</v>
      </c>
      <c r="C91" s="94"/>
      <c r="D91" s="95"/>
      <c r="E91" s="321"/>
      <c r="F91" s="321"/>
      <c r="G91" s="322"/>
      <c r="H91" s="322"/>
    </row>
    <row r="92" spans="2:8" s="64" customFormat="1" ht="19.5" customHeight="1">
      <c r="B92" s="96" t="s">
        <v>331</v>
      </c>
      <c r="C92" s="97"/>
      <c r="D92" s="98"/>
      <c r="E92" s="317"/>
      <c r="F92" s="317"/>
      <c r="G92" s="318"/>
      <c r="H92" s="318"/>
    </row>
    <row r="93" spans="2:8" s="64" customFormat="1" ht="19.5" customHeight="1">
      <c r="B93" s="96" t="s">
        <v>332</v>
      </c>
      <c r="C93" s="97"/>
      <c r="D93" s="98"/>
      <c r="E93" s="317"/>
      <c r="F93" s="317"/>
      <c r="G93" s="318"/>
      <c r="H93" s="318"/>
    </row>
    <row r="94" spans="2:8" s="64" customFormat="1" ht="19.5" customHeight="1">
      <c r="B94" s="99" t="s">
        <v>333</v>
      </c>
      <c r="C94" s="97"/>
      <c r="D94" s="98"/>
      <c r="E94" s="317"/>
      <c r="F94" s="317"/>
      <c r="G94" s="318"/>
      <c r="H94" s="318"/>
    </row>
    <row r="95" spans="2:8" s="64" customFormat="1" ht="19.5" customHeight="1">
      <c r="B95" s="96" t="s">
        <v>334</v>
      </c>
      <c r="C95" s="97"/>
      <c r="D95" s="98"/>
      <c r="E95" s="317"/>
      <c r="F95" s="317"/>
      <c r="G95" s="318"/>
      <c r="H95" s="318"/>
    </row>
    <row r="96" spans="2:8" s="64" customFormat="1" ht="19.5" customHeight="1">
      <c r="B96" s="96" t="s">
        <v>335</v>
      </c>
      <c r="C96" s="97"/>
      <c r="D96" s="98"/>
      <c r="E96" s="317"/>
      <c r="F96" s="317"/>
      <c r="G96" s="318"/>
      <c r="H96" s="318"/>
    </row>
    <row r="97" spans="2:8" s="64" customFormat="1" ht="19.5" customHeight="1">
      <c r="B97" s="100" t="s">
        <v>336</v>
      </c>
      <c r="C97" s="101"/>
      <c r="D97" s="102"/>
      <c r="E97" s="319"/>
      <c r="F97" s="319"/>
      <c r="G97" s="320"/>
      <c r="H97" s="320"/>
    </row>
    <row r="98" spans="2:8" s="64" customFormat="1" ht="19.5" customHeight="1">
      <c r="B98" s="314" t="s">
        <v>278</v>
      </c>
      <c r="C98" s="315"/>
      <c r="D98" s="316"/>
      <c r="E98" s="251"/>
      <c r="F98" s="251"/>
      <c r="G98" s="252"/>
      <c r="H98" s="252"/>
    </row>
    <row r="99" spans="2:8" s="64" customFormat="1" ht="19.5" customHeight="1">
      <c r="B99" s="72" t="s">
        <v>337</v>
      </c>
      <c r="C99" s="66"/>
      <c r="D99" s="66"/>
      <c r="E99" s="66"/>
      <c r="F99" s="66"/>
      <c r="G99" s="67"/>
      <c r="H99" s="67"/>
    </row>
    <row r="100" spans="2:8" s="64" customFormat="1" ht="19.5" customHeight="1">
      <c r="B100" s="103" t="s">
        <v>338</v>
      </c>
      <c r="C100" s="104"/>
      <c r="D100" s="105"/>
      <c r="E100" s="251" t="s">
        <v>447</v>
      </c>
      <c r="F100" s="251"/>
      <c r="G100" s="252" t="s">
        <v>532</v>
      </c>
      <c r="H100" s="252"/>
    </row>
    <row r="101" spans="2:8" s="64" customFormat="1" ht="19.5" customHeight="1">
      <c r="B101" s="300" t="s">
        <v>339</v>
      </c>
      <c r="C101" s="301"/>
      <c r="D101" s="302"/>
      <c r="E101" s="293">
        <f>'hop nhat '!D48</f>
        <v>42401611</v>
      </c>
      <c r="F101" s="293"/>
      <c r="G101" s="295">
        <f>'hop nhat '!H48</f>
        <v>0</v>
      </c>
      <c r="H101" s="295"/>
    </row>
    <row r="102" spans="2:8" s="64" customFormat="1" ht="19.5" customHeight="1">
      <c r="B102" s="300" t="s">
        <v>340</v>
      </c>
      <c r="C102" s="301"/>
      <c r="D102" s="302"/>
      <c r="E102" s="293"/>
      <c r="F102" s="293"/>
      <c r="G102" s="295"/>
      <c r="H102" s="295"/>
    </row>
    <row r="103" spans="2:8" s="64" customFormat="1" ht="19.5" customHeight="1">
      <c r="B103" s="300" t="s">
        <v>341</v>
      </c>
      <c r="C103" s="301"/>
      <c r="D103" s="302"/>
      <c r="E103" s="293"/>
      <c r="F103" s="293"/>
      <c r="G103" s="295"/>
      <c r="H103" s="295"/>
    </row>
    <row r="104" spans="2:8" s="64" customFormat="1" ht="28.5" customHeight="1">
      <c r="B104" s="311" t="s">
        <v>342</v>
      </c>
      <c r="C104" s="312"/>
      <c r="D104" s="313"/>
      <c r="E104" s="293">
        <f>'hop nhat '!D50</f>
        <v>43863317</v>
      </c>
      <c r="F104" s="293"/>
      <c r="G104" s="295">
        <f>'hop nhat '!H50</f>
        <v>132857275</v>
      </c>
      <c r="H104" s="295"/>
    </row>
    <row r="105" spans="2:8" s="64" customFormat="1" ht="19.5" customHeight="1">
      <c r="B105" s="300" t="s">
        <v>343</v>
      </c>
      <c r="C105" s="301"/>
      <c r="D105" s="302"/>
      <c r="E105" s="293"/>
      <c r="F105" s="293"/>
      <c r="G105" s="295"/>
      <c r="H105" s="295"/>
    </row>
    <row r="106" spans="2:8" s="64" customFormat="1" ht="19.5" customHeight="1">
      <c r="B106" s="300" t="s">
        <v>344</v>
      </c>
      <c r="C106" s="301"/>
      <c r="D106" s="302"/>
      <c r="E106" s="293"/>
      <c r="F106" s="293"/>
      <c r="G106" s="295"/>
      <c r="H106" s="295"/>
    </row>
    <row r="107" spans="2:8" s="64" customFormat="1" ht="19.5" customHeight="1">
      <c r="B107" s="300" t="s">
        <v>345</v>
      </c>
      <c r="C107" s="301"/>
      <c r="D107" s="302"/>
      <c r="E107" s="293"/>
      <c r="F107" s="293"/>
      <c r="G107" s="295"/>
      <c r="H107" s="295"/>
    </row>
    <row r="108" spans="2:8" s="64" customFormat="1" ht="19.5" customHeight="1">
      <c r="B108" s="300" t="s">
        <v>346</v>
      </c>
      <c r="C108" s="301"/>
      <c r="D108" s="302"/>
      <c r="E108" s="293"/>
      <c r="F108" s="293"/>
      <c r="G108" s="295"/>
      <c r="H108" s="295"/>
    </row>
    <row r="109" spans="2:8" s="64" customFormat="1" ht="19.5" customHeight="1">
      <c r="B109" s="300" t="s">
        <v>347</v>
      </c>
      <c r="C109" s="301"/>
      <c r="D109" s="302"/>
      <c r="E109" s="293"/>
      <c r="F109" s="293"/>
      <c r="G109" s="295"/>
      <c r="H109" s="295"/>
    </row>
    <row r="110" spans="2:8" s="64" customFormat="1" ht="19.5" customHeight="1">
      <c r="B110" s="287" t="s">
        <v>278</v>
      </c>
      <c r="C110" s="287"/>
      <c r="D110" s="287"/>
      <c r="E110" s="288">
        <f>SUM(E101:F109)</f>
        <v>86264928</v>
      </c>
      <c r="F110" s="288"/>
      <c r="G110" s="303">
        <f>SUM(G101:H109)</f>
        <v>132857275</v>
      </c>
      <c r="H110" s="303"/>
    </row>
    <row r="111" spans="2:8" s="64" customFormat="1" ht="19.5" customHeight="1">
      <c r="B111" s="64" t="s">
        <v>348</v>
      </c>
      <c r="C111" s="66"/>
      <c r="D111" s="66"/>
      <c r="E111" s="66"/>
      <c r="F111" s="66"/>
      <c r="G111" s="67"/>
      <c r="H111" s="67"/>
    </row>
    <row r="112" spans="2:8" s="64" customFormat="1" ht="19.5" customHeight="1">
      <c r="B112" s="304" t="s">
        <v>349</v>
      </c>
      <c r="C112" s="305"/>
      <c r="D112" s="306" t="s">
        <v>350</v>
      </c>
      <c r="E112" s="307"/>
      <c r="F112" s="106" t="s">
        <v>351</v>
      </c>
      <c r="G112" s="107" t="s">
        <v>352</v>
      </c>
      <c r="H112" s="107" t="s">
        <v>458</v>
      </c>
    </row>
    <row r="113" spans="2:8" s="64" customFormat="1" ht="19.5" customHeight="1">
      <c r="B113" s="108"/>
      <c r="C113" s="109"/>
      <c r="D113" s="308" t="s">
        <v>448</v>
      </c>
      <c r="E113" s="309"/>
      <c r="F113" s="110" t="s">
        <v>533</v>
      </c>
      <c r="G113" s="111" t="s">
        <v>534</v>
      </c>
      <c r="H113" s="112" t="s">
        <v>535</v>
      </c>
    </row>
    <row r="114" spans="2:8" s="64" customFormat="1" ht="19.5" customHeight="1">
      <c r="B114" s="289" t="s">
        <v>353</v>
      </c>
      <c r="C114" s="289"/>
      <c r="D114" s="293">
        <f>'hop nhat '!D61</f>
        <v>28750000000</v>
      </c>
      <c r="E114" s="293"/>
      <c r="F114" s="83">
        <f>'hop nhat '!F61</f>
        <v>25800000000</v>
      </c>
      <c r="G114" s="113">
        <f>'hop nhat '!E61</f>
        <v>25000000000</v>
      </c>
      <c r="H114" s="81">
        <f aca="true" t="shared" si="2" ref="H114:H119">D114+F114-G114</f>
        <v>29550000000</v>
      </c>
    </row>
    <row r="115" spans="2:8" s="64" customFormat="1" ht="19.5" customHeight="1">
      <c r="B115" s="289" t="s">
        <v>354</v>
      </c>
      <c r="C115" s="289"/>
      <c r="D115" s="293"/>
      <c r="E115" s="293"/>
      <c r="F115" s="80"/>
      <c r="G115" s="81"/>
      <c r="H115" s="81">
        <f t="shared" si="2"/>
        <v>0</v>
      </c>
    </row>
    <row r="116" spans="2:8" s="64" customFormat="1" ht="19.5" customHeight="1">
      <c r="B116" s="289" t="s">
        <v>355</v>
      </c>
      <c r="C116" s="289"/>
      <c r="D116" s="293"/>
      <c r="E116" s="293"/>
      <c r="F116" s="80"/>
      <c r="G116" s="81"/>
      <c r="H116" s="81">
        <f t="shared" si="2"/>
        <v>0</v>
      </c>
    </row>
    <row r="117" spans="2:8" s="64" customFormat="1" ht="19.5" customHeight="1">
      <c r="B117" s="289" t="s">
        <v>356</v>
      </c>
      <c r="C117" s="289"/>
      <c r="D117" s="293"/>
      <c r="E117" s="293"/>
      <c r="F117" s="80"/>
      <c r="G117" s="81"/>
      <c r="H117" s="81">
        <f t="shared" si="2"/>
        <v>0</v>
      </c>
    </row>
    <row r="118" spans="2:8" s="64" customFormat="1" ht="19.5" customHeight="1">
      <c r="B118" s="289" t="s">
        <v>357</v>
      </c>
      <c r="C118" s="289"/>
      <c r="D118" s="293"/>
      <c r="E118" s="293"/>
      <c r="F118" s="80"/>
      <c r="G118" s="81"/>
      <c r="H118" s="81">
        <f t="shared" si="2"/>
        <v>0</v>
      </c>
    </row>
    <row r="119" spans="2:8" s="64" customFormat="1" ht="19.5" customHeight="1">
      <c r="B119" s="289" t="s">
        <v>358</v>
      </c>
      <c r="C119" s="289"/>
      <c r="D119" s="293"/>
      <c r="E119" s="293"/>
      <c r="F119" s="80"/>
      <c r="G119" s="81"/>
      <c r="H119" s="81">
        <f t="shared" si="2"/>
        <v>0</v>
      </c>
    </row>
    <row r="120" spans="2:8" s="64" customFormat="1" ht="19.5" customHeight="1">
      <c r="B120" s="289" t="s">
        <v>359</v>
      </c>
      <c r="C120" s="289"/>
      <c r="D120" s="293">
        <f>'hop nhat '!D64</f>
        <v>738887673</v>
      </c>
      <c r="E120" s="293"/>
      <c r="F120" s="155">
        <f>'hop nhat '!F64</f>
        <v>561967801</v>
      </c>
      <c r="G120" s="156">
        <f>'hop nhat '!E64</f>
        <v>1216552921</v>
      </c>
      <c r="H120" s="81">
        <f>D120+F120-G120</f>
        <v>84302553</v>
      </c>
    </row>
    <row r="121" spans="2:8" s="64" customFormat="1" ht="19.5" customHeight="1">
      <c r="B121" s="310" t="s">
        <v>278</v>
      </c>
      <c r="C121" s="310"/>
      <c r="D121" s="293"/>
      <c r="E121" s="293"/>
      <c r="F121" s="80"/>
      <c r="G121" s="81"/>
      <c r="H121" s="81"/>
    </row>
    <row r="122" spans="2:8" s="64" customFormat="1" ht="19.5" customHeight="1">
      <c r="B122" s="64" t="s">
        <v>360</v>
      </c>
      <c r="C122" s="66"/>
      <c r="D122" s="66"/>
      <c r="E122" s="66"/>
      <c r="F122" s="66"/>
      <c r="G122" s="67"/>
      <c r="H122" s="67"/>
    </row>
    <row r="123" spans="2:8" s="64" customFormat="1" ht="19.5" customHeight="1">
      <c r="B123" s="65" t="s">
        <v>361</v>
      </c>
      <c r="C123" s="66"/>
      <c r="D123" s="66"/>
      <c r="E123" s="66"/>
      <c r="F123" s="66"/>
      <c r="G123" s="67"/>
      <c r="H123" s="67"/>
    </row>
    <row r="124" spans="3:8" s="64" customFormat="1" ht="19.5" customHeight="1">
      <c r="C124" s="66"/>
      <c r="D124" s="66"/>
      <c r="E124" s="66"/>
      <c r="F124" s="66"/>
      <c r="G124" s="261" t="s">
        <v>272</v>
      </c>
      <c r="H124" s="261"/>
    </row>
    <row r="125" spans="2:8" s="64" customFormat="1" ht="19.5" customHeight="1">
      <c r="B125" s="115" t="s">
        <v>362</v>
      </c>
      <c r="C125" s="116"/>
      <c r="D125" s="117"/>
      <c r="E125" s="251" t="s">
        <v>539</v>
      </c>
      <c r="F125" s="251"/>
      <c r="G125" s="252" t="s">
        <v>540</v>
      </c>
      <c r="H125" s="252"/>
    </row>
    <row r="126" spans="2:8" s="64" customFormat="1" ht="19.5" customHeight="1">
      <c r="B126" s="300" t="s">
        <v>363</v>
      </c>
      <c r="C126" s="301"/>
      <c r="D126" s="302"/>
      <c r="E126" s="293">
        <f>BCKQHĐK!F7</f>
        <v>23170743442</v>
      </c>
      <c r="F126" s="293"/>
      <c r="G126" s="295">
        <f>BCKQHĐK!D7</f>
        <v>11030824684</v>
      </c>
      <c r="H126" s="295"/>
    </row>
    <row r="127" spans="2:8" s="64" customFormat="1" ht="19.5" customHeight="1">
      <c r="B127" s="300" t="s">
        <v>364</v>
      </c>
      <c r="C127" s="301"/>
      <c r="D127" s="302"/>
      <c r="E127" s="293"/>
      <c r="F127" s="293"/>
      <c r="G127" s="295"/>
      <c r="H127" s="295"/>
    </row>
    <row r="128" spans="2:8" s="64" customFormat="1" ht="19.5" customHeight="1">
      <c r="B128" s="300" t="s">
        <v>365</v>
      </c>
      <c r="C128" s="301"/>
      <c r="D128" s="302"/>
      <c r="E128" s="293"/>
      <c r="F128" s="293"/>
      <c r="G128" s="295"/>
      <c r="H128" s="295"/>
    </row>
    <row r="129" spans="2:8" s="64" customFormat="1" ht="19.5" customHeight="1">
      <c r="B129" s="300" t="s">
        <v>366</v>
      </c>
      <c r="C129" s="301"/>
      <c r="D129" s="302"/>
      <c r="E129" s="293"/>
      <c r="F129" s="293"/>
      <c r="G129" s="295"/>
      <c r="H129" s="295"/>
    </row>
    <row r="130" spans="2:8" s="64" customFormat="1" ht="19.5" customHeight="1">
      <c r="B130" s="300" t="s">
        <v>367</v>
      </c>
      <c r="C130" s="301"/>
      <c r="D130" s="302"/>
      <c r="E130" s="293">
        <f>BCKQHĐK!F12</f>
        <v>3002235</v>
      </c>
      <c r="F130" s="293"/>
      <c r="G130" s="295">
        <f>BCKQHĐK!D12</f>
        <v>4196780</v>
      </c>
      <c r="H130" s="295"/>
    </row>
    <row r="131" spans="2:8" s="64" customFormat="1" ht="19.5" customHeight="1">
      <c r="B131" s="300" t="s">
        <v>298</v>
      </c>
      <c r="C131" s="301"/>
      <c r="D131" s="302"/>
      <c r="E131" s="293"/>
      <c r="F131" s="293"/>
      <c r="G131" s="295"/>
      <c r="H131" s="295"/>
    </row>
    <row r="132" spans="2:8" s="64" customFormat="1" ht="19.5" customHeight="1">
      <c r="B132" s="300" t="s">
        <v>368</v>
      </c>
      <c r="C132" s="301"/>
      <c r="D132" s="302"/>
      <c r="E132" s="293"/>
      <c r="F132" s="293"/>
      <c r="G132" s="295"/>
      <c r="H132" s="295"/>
    </row>
    <row r="133" spans="2:8" s="64" customFormat="1" ht="19.5" customHeight="1">
      <c r="B133" s="300" t="s">
        <v>369</v>
      </c>
      <c r="C133" s="301"/>
      <c r="D133" s="302"/>
      <c r="E133" s="293"/>
      <c r="F133" s="293"/>
      <c r="G133" s="295"/>
      <c r="H133" s="295"/>
    </row>
    <row r="134" spans="2:8" s="64" customFormat="1" ht="19.5" customHeight="1">
      <c r="B134" s="300" t="s">
        <v>370</v>
      </c>
      <c r="C134" s="301"/>
      <c r="D134" s="302"/>
      <c r="E134" s="293"/>
      <c r="F134" s="293"/>
      <c r="G134" s="295"/>
      <c r="H134" s="295"/>
    </row>
    <row r="135" spans="3:8" s="64" customFormat="1" ht="19.5" customHeight="1">
      <c r="C135" s="66"/>
      <c r="D135" s="66"/>
      <c r="E135" s="66"/>
      <c r="F135" s="66"/>
      <c r="G135" s="67"/>
      <c r="H135" s="67"/>
    </row>
    <row r="136" spans="2:8" s="64" customFormat="1" ht="37.5" customHeight="1">
      <c r="B136" s="271" t="s">
        <v>371</v>
      </c>
      <c r="C136" s="272"/>
      <c r="D136" s="273"/>
      <c r="E136" s="251" t="s">
        <v>543</v>
      </c>
      <c r="F136" s="251"/>
      <c r="G136" s="252" t="s">
        <v>540</v>
      </c>
      <c r="H136" s="252"/>
    </row>
    <row r="137" spans="2:8" s="64" customFormat="1" ht="21.75" customHeight="1">
      <c r="B137" s="294" t="s">
        <v>372</v>
      </c>
      <c r="C137" s="294"/>
      <c r="D137" s="294"/>
      <c r="E137" s="296">
        <f>BCKQHĐK!F22</f>
        <v>31065284</v>
      </c>
      <c r="F137" s="297"/>
      <c r="G137" s="298">
        <f>BCKQHĐK!D22</f>
        <v>49254502</v>
      </c>
      <c r="H137" s="299"/>
    </row>
    <row r="138" spans="2:8" s="64" customFormat="1" ht="33" customHeight="1">
      <c r="B138" s="294" t="s">
        <v>373</v>
      </c>
      <c r="C138" s="294"/>
      <c r="D138" s="294"/>
      <c r="E138" s="293"/>
      <c r="F138" s="293"/>
      <c r="G138" s="295"/>
      <c r="H138" s="295"/>
    </row>
    <row r="139" spans="2:8" s="64" customFormat="1" ht="36.75" customHeight="1">
      <c r="B139" s="294" t="s">
        <v>374</v>
      </c>
      <c r="C139" s="294"/>
      <c r="D139" s="294"/>
      <c r="E139" s="293"/>
      <c r="F139" s="293"/>
      <c r="G139" s="295"/>
      <c r="H139" s="295"/>
    </row>
    <row r="140" spans="2:8" s="64" customFormat="1" ht="37.5" customHeight="1">
      <c r="B140" s="294" t="s">
        <v>375</v>
      </c>
      <c r="C140" s="294"/>
      <c r="D140" s="294"/>
      <c r="E140" s="293"/>
      <c r="F140" s="293"/>
      <c r="G140" s="295"/>
      <c r="H140" s="295"/>
    </row>
    <row r="141" spans="2:8" s="64" customFormat="1" ht="19.5" customHeight="1">
      <c r="B141" s="294" t="s">
        <v>542</v>
      </c>
      <c r="C141" s="294"/>
      <c r="D141" s="294"/>
      <c r="E141" s="293">
        <f>E137</f>
        <v>31065284</v>
      </c>
      <c r="F141" s="293"/>
      <c r="G141" s="295">
        <f>G137-G138+G139-G140</f>
        <v>49254502</v>
      </c>
      <c r="H141" s="295"/>
    </row>
    <row r="142" spans="2:8" s="64" customFormat="1" ht="19.5" customHeight="1">
      <c r="B142" s="250" t="s">
        <v>376</v>
      </c>
      <c r="C142" s="250"/>
      <c r="D142" s="250"/>
      <c r="E142" s="293"/>
      <c r="F142" s="293"/>
      <c r="G142" s="295"/>
      <c r="H142" s="295"/>
    </row>
    <row r="143" spans="3:8" s="64" customFormat="1" ht="14.25" customHeight="1" hidden="1">
      <c r="C143" s="66"/>
      <c r="D143" s="66"/>
      <c r="E143" s="66"/>
      <c r="F143" s="66"/>
      <c r="G143" s="67"/>
      <c r="H143" s="67"/>
    </row>
    <row r="144" spans="2:8" s="64" customFormat="1" ht="19.5" customHeight="1">
      <c r="B144" s="115" t="s">
        <v>377</v>
      </c>
      <c r="C144" s="116"/>
      <c r="D144" s="117"/>
      <c r="E144" s="251" t="s">
        <v>539</v>
      </c>
      <c r="F144" s="251"/>
      <c r="G144" s="252" t="s">
        <v>541</v>
      </c>
      <c r="H144" s="252"/>
    </row>
    <row r="145" spans="2:15" s="64" customFormat="1" ht="19.5" customHeight="1">
      <c r="B145" s="289" t="s">
        <v>378</v>
      </c>
      <c r="C145" s="289"/>
      <c r="D145" s="289"/>
      <c r="E145" s="290">
        <v>36231781343</v>
      </c>
      <c r="F145" s="291"/>
      <c r="G145" s="292">
        <f>'hop nhat '!F73</f>
        <v>37695005608</v>
      </c>
      <c r="H145" s="292"/>
      <c r="I145" s="167"/>
      <c r="J145" s="183">
        <v>868347815</v>
      </c>
      <c r="K145" s="184"/>
      <c r="L145" s="167"/>
      <c r="M145" s="167"/>
      <c r="N145" s="167"/>
      <c r="O145" s="167"/>
    </row>
    <row r="146" spans="2:15" s="64" customFormat="1" ht="19.5" customHeight="1">
      <c r="B146" s="289" t="s">
        <v>379</v>
      </c>
      <c r="C146" s="289"/>
      <c r="D146" s="289"/>
      <c r="E146" s="290">
        <v>15093435000</v>
      </c>
      <c r="F146" s="291"/>
      <c r="G146" s="292">
        <f>'hop nhat '!F75</f>
        <v>17752899200</v>
      </c>
      <c r="H146" s="292"/>
      <c r="I146" s="167"/>
      <c r="J146" s="183">
        <v>1842285000</v>
      </c>
      <c r="K146" s="184"/>
      <c r="L146" s="167"/>
      <c r="M146" s="167"/>
      <c r="N146" s="167"/>
      <c r="O146" s="167"/>
    </row>
    <row r="147" spans="2:15" s="64" customFormat="1" ht="19.5" customHeight="1">
      <c r="B147" s="289" t="s">
        <v>380</v>
      </c>
      <c r="C147" s="289"/>
      <c r="D147" s="289"/>
      <c r="E147" s="290">
        <v>621135708</v>
      </c>
      <c r="F147" s="291"/>
      <c r="G147" s="292">
        <f>BCDSPS!F39</f>
        <v>623566993</v>
      </c>
      <c r="H147" s="292"/>
      <c r="I147" s="167"/>
      <c r="J147" s="183">
        <v>117952803</v>
      </c>
      <c r="K147" s="184"/>
      <c r="L147" s="167"/>
      <c r="M147" s="167"/>
      <c r="N147" s="167"/>
      <c r="O147" s="167"/>
    </row>
    <row r="148" spans="2:15" s="64" customFormat="1" ht="19.5" customHeight="1">
      <c r="B148" s="289" t="s">
        <v>381</v>
      </c>
      <c r="C148" s="289"/>
      <c r="D148" s="289"/>
      <c r="E148" s="290">
        <v>2403048767</v>
      </c>
      <c r="F148" s="291"/>
      <c r="G148" s="292">
        <f>'hop nhat '!F77</f>
        <v>2179201239</v>
      </c>
      <c r="H148" s="292"/>
      <c r="I148" s="167"/>
      <c r="J148" s="183">
        <v>299891156</v>
      </c>
      <c r="K148" s="184"/>
      <c r="L148" s="167"/>
      <c r="M148" s="167"/>
      <c r="N148" s="167"/>
      <c r="O148" s="167"/>
    </row>
    <row r="149" spans="2:15" s="64" customFormat="1" ht="19.5" customHeight="1">
      <c r="B149" s="289" t="s">
        <v>382</v>
      </c>
      <c r="C149" s="289"/>
      <c r="D149" s="289"/>
      <c r="E149" s="290">
        <v>1499150126</v>
      </c>
      <c r="F149" s="291"/>
      <c r="G149" s="292">
        <f>'hop nhat '!F87+'hop nhat '!F85-'hop nhat '!F55</f>
        <v>3817350908</v>
      </c>
      <c r="H149" s="292"/>
      <c r="I149" s="167"/>
      <c r="J149" s="183">
        <v>762886445</v>
      </c>
      <c r="K149" s="184"/>
      <c r="L149" s="167"/>
      <c r="M149" s="167"/>
      <c r="N149" s="167"/>
      <c r="O149" s="167"/>
    </row>
    <row r="150" spans="2:8" s="64" customFormat="1" ht="19.5" customHeight="1">
      <c r="B150" s="287" t="s">
        <v>278</v>
      </c>
      <c r="C150" s="287"/>
      <c r="D150" s="287"/>
      <c r="E150" s="288">
        <f>SUM(E145:F149)</f>
        <v>55848550944</v>
      </c>
      <c r="F150" s="288"/>
      <c r="G150" s="288">
        <f>SUM(G145:H149)</f>
        <v>62068023948</v>
      </c>
      <c r="H150" s="288"/>
    </row>
    <row r="151" spans="3:8" s="64" customFormat="1" ht="10.5" customHeight="1">
      <c r="C151" s="280"/>
      <c r="D151" s="280"/>
      <c r="E151" s="280"/>
      <c r="F151" s="280"/>
      <c r="G151" s="67"/>
      <c r="H151" s="67"/>
    </row>
    <row r="152" spans="2:8" s="64" customFormat="1" ht="19.5" customHeight="1">
      <c r="B152" s="65" t="s">
        <v>383</v>
      </c>
      <c r="C152" s="118"/>
      <c r="D152" s="118"/>
      <c r="E152" s="118"/>
      <c r="F152" s="118"/>
      <c r="G152" s="67"/>
      <c r="H152" s="67"/>
    </row>
    <row r="153" spans="3:8" s="64" customFormat="1" ht="19.5" customHeight="1">
      <c r="C153" s="66"/>
      <c r="D153" s="66"/>
      <c r="E153" s="66"/>
      <c r="F153" s="66"/>
      <c r="G153" s="261" t="s">
        <v>272</v>
      </c>
      <c r="H153" s="261"/>
    </row>
    <row r="154" spans="2:8" s="64" customFormat="1" ht="31.5" customHeight="1">
      <c r="B154" s="271" t="s">
        <v>384</v>
      </c>
      <c r="C154" s="272"/>
      <c r="D154" s="273"/>
      <c r="E154" s="251" t="s">
        <v>539</v>
      </c>
      <c r="F154" s="251"/>
      <c r="G154" s="252" t="s">
        <v>541</v>
      </c>
      <c r="H154" s="252"/>
    </row>
    <row r="155" spans="2:8" s="64" customFormat="1" ht="29.25" customHeight="1">
      <c r="B155" s="277" t="s">
        <v>385</v>
      </c>
      <c r="C155" s="278"/>
      <c r="D155" s="278"/>
      <c r="E155" s="279"/>
      <c r="F155" s="280"/>
      <c r="G155" s="281"/>
      <c r="H155" s="282"/>
    </row>
    <row r="156" spans="2:8" s="64" customFormat="1" ht="30.75" customHeight="1">
      <c r="B156" s="283" t="s">
        <v>386</v>
      </c>
      <c r="C156" s="284"/>
      <c r="D156" s="284"/>
      <c r="E156" s="285"/>
      <c r="F156" s="286"/>
      <c r="G156" s="262"/>
      <c r="H156" s="263"/>
    </row>
    <row r="157" spans="2:8" s="64" customFormat="1" ht="19.5" customHeight="1">
      <c r="B157" s="274" t="s">
        <v>387</v>
      </c>
      <c r="C157" s="274"/>
      <c r="D157" s="274"/>
      <c r="E157" s="119"/>
      <c r="F157" s="120"/>
      <c r="G157" s="275"/>
      <c r="H157" s="276"/>
    </row>
    <row r="158" spans="2:8" s="64" customFormat="1" ht="19.5" customHeight="1">
      <c r="B158" s="264" t="s">
        <v>388</v>
      </c>
      <c r="C158" s="265"/>
      <c r="D158" s="266"/>
      <c r="E158" s="251" t="s">
        <v>539</v>
      </c>
      <c r="F158" s="251"/>
      <c r="G158" s="252" t="s">
        <v>541</v>
      </c>
      <c r="H158" s="252"/>
    </row>
    <row r="159" spans="2:8" s="64" customFormat="1" ht="19.5" customHeight="1">
      <c r="B159" s="267" t="s">
        <v>389</v>
      </c>
      <c r="C159" s="268"/>
      <c r="D159" s="269"/>
      <c r="E159" s="270"/>
      <c r="F159" s="251"/>
      <c r="G159" s="252"/>
      <c r="H159" s="252"/>
    </row>
    <row r="160" spans="2:8" s="64" customFormat="1" ht="19.5" customHeight="1">
      <c r="B160" s="254" t="s">
        <v>390</v>
      </c>
      <c r="C160" s="254"/>
      <c r="D160" s="254"/>
      <c r="E160" s="251"/>
      <c r="F160" s="251"/>
      <c r="G160" s="252"/>
      <c r="H160" s="252"/>
    </row>
    <row r="161" spans="2:8" s="64" customFormat="1" ht="19.5" customHeight="1">
      <c r="B161" s="250" t="s">
        <v>391</v>
      </c>
      <c r="C161" s="250"/>
      <c r="D161" s="250"/>
      <c r="E161" s="251"/>
      <c r="F161" s="251"/>
      <c r="G161" s="252"/>
      <c r="H161" s="252"/>
    </row>
    <row r="162" spans="3:8" s="64" customFormat="1" ht="19.5" customHeight="1">
      <c r="C162" s="66"/>
      <c r="D162" s="66"/>
      <c r="E162" s="66"/>
      <c r="F162" s="66"/>
      <c r="G162" s="67"/>
      <c r="H162" s="67"/>
    </row>
    <row r="163" spans="2:8" s="64" customFormat="1" ht="19.5" customHeight="1">
      <c r="B163" s="64" t="s">
        <v>392</v>
      </c>
      <c r="C163" s="66"/>
      <c r="D163" s="66"/>
      <c r="E163" s="66"/>
      <c r="F163" s="66"/>
      <c r="G163" s="67"/>
      <c r="H163" s="67"/>
    </row>
    <row r="164" spans="2:8" s="64" customFormat="1" ht="19.5" customHeight="1">
      <c r="B164" s="64" t="s">
        <v>393</v>
      </c>
      <c r="C164" s="66"/>
      <c r="D164" s="66"/>
      <c r="E164" s="66"/>
      <c r="F164" s="66"/>
      <c r="G164" s="67"/>
      <c r="H164" s="67"/>
    </row>
    <row r="165" spans="2:8" s="64" customFormat="1" ht="19.5" customHeight="1">
      <c r="B165" s="64" t="s">
        <v>394</v>
      </c>
      <c r="C165" s="66"/>
      <c r="D165" s="66"/>
      <c r="E165" s="66"/>
      <c r="F165" s="66"/>
      <c r="G165" s="67"/>
      <c r="H165" s="67"/>
    </row>
    <row r="166" spans="2:8" s="64" customFormat="1" ht="19.5" customHeight="1">
      <c r="B166" s="64" t="s">
        <v>395</v>
      </c>
      <c r="C166" s="66"/>
      <c r="D166" s="66"/>
      <c r="E166" s="66"/>
      <c r="F166" s="66"/>
      <c r="G166" s="67"/>
      <c r="H166" s="67"/>
    </row>
    <row r="167" spans="2:8" s="64" customFormat="1" ht="19.5" customHeight="1">
      <c r="B167" s="64" t="s">
        <v>396</v>
      </c>
      <c r="C167" s="66"/>
      <c r="D167" s="66"/>
      <c r="E167" s="66"/>
      <c r="F167" s="66"/>
      <c r="G167" s="67"/>
      <c r="H167" s="67"/>
    </row>
    <row r="168" spans="2:8" s="64" customFormat="1" ht="19.5" customHeight="1">
      <c r="B168" s="64" t="s">
        <v>397</v>
      </c>
      <c r="C168" s="66"/>
      <c r="D168" s="66"/>
      <c r="E168" s="66"/>
      <c r="F168" s="66"/>
      <c r="G168" s="67"/>
      <c r="H168" s="67"/>
    </row>
    <row r="169" spans="3:8" s="64" customFormat="1" ht="19.5" customHeight="1">
      <c r="C169" s="66"/>
      <c r="D169" s="66"/>
      <c r="E169" s="66"/>
      <c r="F169" s="66"/>
      <c r="G169" s="67"/>
      <c r="H169" s="67"/>
    </row>
    <row r="170" spans="3:11" s="64" customFormat="1" ht="15.75">
      <c r="C170" s="66"/>
      <c r="D170" s="253" t="s">
        <v>613</v>
      </c>
      <c r="E170" s="253"/>
      <c r="F170" s="253"/>
      <c r="G170" s="253"/>
      <c r="H170" s="253"/>
      <c r="I170" s="121"/>
      <c r="J170" s="121"/>
      <c r="K170" s="121"/>
    </row>
    <row r="171" spans="3:9" s="64" customFormat="1" ht="15">
      <c r="C171" s="66"/>
      <c r="D171" s="66"/>
      <c r="E171" s="66"/>
      <c r="F171" s="122"/>
      <c r="G171" s="114"/>
      <c r="H171" s="67"/>
      <c r="I171" s="66"/>
    </row>
    <row r="172" spans="2:10" s="65" customFormat="1" ht="15.75">
      <c r="B172" s="123" t="s">
        <v>398</v>
      </c>
      <c r="C172" s="258" t="s">
        <v>399</v>
      </c>
      <c r="D172" s="258"/>
      <c r="E172" s="258"/>
      <c r="F172" s="258"/>
      <c r="G172" s="259" t="s">
        <v>400</v>
      </c>
      <c r="H172" s="259"/>
      <c r="I172" s="124"/>
      <c r="J172" s="124"/>
    </row>
    <row r="173" spans="2:10" s="64" customFormat="1" ht="15">
      <c r="B173" s="125"/>
      <c r="C173" s="260"/>
      <c r="D173" s="260"/>
      <c r="E173" s="126"/>
      <c r="F173" s="126"/>
      <c r="G173" s="261"/>
      <c r="H173" s="261"/>
      <c r="I173" s="125"/>
      <c r="J173" s="125"/>
    </row>
    <row r="174" spans="2:10" s="64" customFormat="1" ht="15">
      <c r="B174" s="125"/>
      <c r="C174" s="122"/>
      <c r="D174" s="122"/>
      <c r="E174" s="126"/>
      <c r="F174" s="126"/>
      <c r="G174" s="114"/>
      <c r="H174" s="114"/>
      <c r="I174" s="125"/>
      <c r="J174" s="125"/>
    </row>
    <row r="175" spans="3:9" s="64" customFormat="1" ht="15">
      <c r="C175" s="66"/>
      <c r="D175" s="66"/>
      <c r="E175" s="66"/>
      <c r="F175" s="122"/>
      <c r="G175" s="114"/>
      <c r="H175" s="67"/>
      <c r="I175" s="66"/>
    </row>
    <row r="176" spans="3:8" s="64" customFormat="1" ht="15">
      <c r="C176" s="66"/>
      <c r="D176" s="66"/>
      <c r="E176" s="66"/>
      <c r="F176" s="66"/>
      <c r="G176" s="67"/>
      <c r="H176" s="67"/>
    </row>
    <row r="177" spans="1:6" s="20" customFormat="1" ht="15">
      <c r="A177" s="255" t="s">
        <v>529</v>
      </c>
      <c r="B177" s="255"/>
      <c r="C177" s="256" t="s">
        <v>221</v>
      </c>
      <c r="D177" s="256"/>
      <c r="E177" s="256"/>
      <c r="F177" s="256"/>
    </row>
    <row r="178" spans="3:8" s="64" customFormat="1" ht="15">
      <c r="C178" s="66"/>
      <c r="D178" s="66"/>
      <c r="E178" s="66"/>
      <c r="F178" s="66"/>
      <c r="G178" s="67"/>
      <c r="H178" s="67"/>
    </row>
    <row r="179" spans="3:8" s="64" customFormat="1" ht="15">
      <c r="C179" s="66"/>
      <c r="D179" s="66"/>
      <c r="E179" s="66"/>
      <c r="F179" s="66"/>
      <c r="G179" s="67"/>
      <c r="H179" s="67"/>
    </row>
    <row r="180" spans="2:9" s="127" customFormat="1" ht="18">
      <c r="B180" s="128"/>
      <c r="C180" s="257"/>
      <c r="D180" s="257"/>
      <c r="E180" s="257"/>
      <c r="F180" s="129"/>
      <c r="G180" s="130"/>
      <c r="H180" s="131"/>
      <c r="I180" s="132"/>
    </row>
    <row r="181" spans="3:8" s="64" customFormat="1" ht="15">
      <c r="C181" s="66"/>
      <c r="D181" s="66"/>
      <c r="E181" s="66"/>
      <c r="F181" s="66"/>
      <c r="G181" s="67"/>
      <c r="H181" s="67"/>
    </row>
    <row r="182" spans="3:8" s="64" customFormat="1" ht="15">
      <c r="C182" s="66"/>
      <c r="D182" s="66"/>
      <c r="E182" s="66"/>
      <c r="F182" s="66"/>
      <c r="G182" s="67"/>
      <c r="H182" s="67"/>
    </row>
    <row r="183" spans="3:8" s="64" customFormat="1" ht="15">
      <c r="C183" s="66"/>
      <c r="D183" s="66"/>
      <c r="E183" s="66"/>
      <c r="F183" s="66"/>
      <c r="G183" s="67"/>
      <c r="H183" s="67"/>
    </row>
    <row r="184" spans="3:8" s="64" customFormat="1" ht="15">
      <c r="C184" s="66"/>
      <c r="D184" s="66"/>
      <c r="E184" s="66"/>
      <c r="F184" s="66"/>
      <c r="G184" s="67"/>
      <c r="H184" s="67"/>
    </row>
    <row r="185" spans="3:8" s="64" customFormat="1" ht="15">
      <c r="C185" s="66"/>
      <c r="D185" s="66"/>
      <c r="E185" s="66"/>
      <c r="F185" s="66"/>
      <c r="G185" s="67"/>
      <c r="H185" s="67"/>
    </row>
    <row r="186" spans="3:8" s="64" customFormat="1" ht="15">
      <c r="C186" s="66"/>
      <c r="D186" s="66"/>
      <c r="E186" s="66"/>
      <c r="F186" s="66"/>
      <c r="G186" s="67"/>
      <c r="H186" s="67"/>
    </row>
    <row r="187" spans="3:8" s="64" customFormat="1" ht="15">
      <c r="C187" s="66"/>
      <c r="D187" s="66"/>
      <c r="E187" s="66"/>
      <c r="F187" s="66"/>
      <c r="G187" s="67"/>
      <c r="H187" s="67"/>
    </row>
    <row r="188" spans="3:8" s="64" customFormat="1" ht="15">
      <c r="C188" s="66"/>
      <c r="D188" s="66"/>
      <c r="E188" s="66"/>
      <c r="F188" s="66"/>
      <c r="G188" s="67"/>
      <c r="H188" s="67"/>
    </row>
    <row r="189" spans="3:8" s="64" customFormat="1" ht="15">
      <c r="C189" s="66"/>
      <c r="D189" s="66"/>
      <c r="E189" s="66"/>
      <c r="F189" s="66"/>
      <c r="G189" s="67"/>
      <c r="H189" s="67"/>
    </row>
    <row r="190" spans="3:8" s="64" customFormat="1" ht="15">
      <c r="C190" s="66"/>
      <c r="D190" s="66"/>
      <c r="E190" s="66"/>
      <c r="F190" s="66"/>
      <c r="G190" s="67"/>
      <c r="H190" s="67"/>
    </row>
    <row r="191" spans="3:8" s="64" customFormat="1" ht="15">
      <c r="C191" s="66"/>
      <c r="D191" s="66"/>
      <c r="E191" s="66"/>
      <c r="F191" s="66"/>
      <c r="G191" s="67"/>
      <c r="H191" s="67"/>
    </row>
    <row r="192" spans="3:8" s="64" customFormat="1" ht="15">
      <c r="C192" s="66"/>
      <c r="D192" s="66"/>
      <c r="E192" s="66"/>
      <c r="F192" s="66"/>
      <c r="G192" s="67"/>
      <c r="H192" s="67"/>
    </row>
    <row r="193" spans="3:8" s="64" customFormat="1" ht="15">
      <c r="C193" s="66"/>
      <c r="D193" s="66"/>
      <c r="E193" s="66"/>
      <c r="F193" s="66"/>
      <c r="G193" s="67"/>
      <c r="H193" s="67"/>
    </row>
    <row r="194" spans="3:8" s="64" customFormat="1" ht="15">
      <c r="C194" s="66"/>
      <c r="D194" s="66"/>
      <c r="E194" s="66"/>
      <c r="F194" s="66"/>
      <c r="G194" s="67"/>
      <c r="H194" s="67"/>
    </row>
    <row r="195" spans="3:8" s="64" customFormat="1" ht="15">
      <c r="C195" s="66"/>
      <c r="D195" s="66"/>
      <c r="E195" s="66"/>
      <c r="F195" s="66"/>
      <c r="G195" s="67"/>
      <c r="H195" s="67"/>
    </row>
    <row r="196" spans="3:8" s="64" customFormat="1" ht="15">
      <c r="C196" s="66"/>
      <c r="D196" s="66"/>
      <c r="E196" s="66"/>
      <c r="F196" s="66"/>
      <c r="G196" s="67"/>
      <c r="H196" s="67"/>
    </row>
    <row r="197" spans="3:8" s="64" customFormat="1" ht="15">
      <c r="C197" s="66"/>
      <c r="D197" s="66"/>
      <c r="E197" s="66"/>
      <c r="F197" s="66"/>
      <c r="G197" s="67"/>
      <c r="H197" s="67"/>
    </row>
    <row r="198" spans="3:8" s="64" customFormat="1" ht="15">
      <c r="C198" s="66"/>
      <c r="D198" s="66"/>
      <c r="E198" s="66"/>
      <c r="F198" s="66"/>
      <c r="G198" s="67"/>
      <c r="H198" s="67"/>
    </row>
    <row r="199" spans="3:8" s="64" customFormat="1" ht="15">
      <c r="C199" s="66"/>
      <c r="D199" s="66"/>
      <c r="E199" s="66"/>
      <c r="F199" s="66"/>
      <c r="G199" s="67"/>
      <c r="H199" s="67"/>
    </row>
    <row r="200" spans="3:8" s="64" customFormat="1" ht="15">
      <c r="C200" s="66"/>
      <c r="D200" s="66"/>
      <c r="E200" s="66"/>
      <c r="F200" s="66"/>
      <c r="G200" s="67"/>
      <c r="H200" s="67"/>
    </row>
    <row r="201" spans="3:8" s="64" customFormat="1" ht="15">
      <c r="C201" s="66"/>
      <c r="D201" s="66"/>
      <c r="E201" s="66"/>
      <c r="F201" s="66"/>
      <c r="G201" s="67"/>
      <c r="H201" s="67"/>
    </row>
    <row r="202" spans="3:8" s="64" customFormat="1" ht="15">
      <c r="C202" s="66"/>
      <c r="D202" s="66"/>
      <c r="E202" s="66"/>
      <c r="F202" s="66"/>
      <c r="G202" s="67"/>
      <c r="H202" s="67"/>
    </row>
    <row r="203" spans="3:8" s="64" customFormat="1" ht="15">
      <c r="C203" s="66"/>
      <c r="D203" s="66"/>
      <c r="E203" s="66"/>
      <c r="F203" s="66"/>
      <c r="G203" s="67"/>
      <c r="H203" s="67"/>
    </row>
    <row r="204" spans="3:8" s="64" customFormat="1" ht="15">
      <c r="C204" s="66"/>
      <c r="D204" s="66"/>
      <c r="E204" s="66"/>
      <c r="F204" s="66"/>
      <c r="G204" s="67"/>
      <c r="H204" s="67"/>
    </row>
    <row r="205" spans="3:8" s="64" customFormat="1" ht="15">
      <c r="C205" s="66"/>
      <c r="D205" s="66"/>
      <c r="E205" s="66"/>
      <c r="F205" s="66"/>
      <c r="G205" s="67"/>
      <c r="H205" s="67"/>
    </row>
    <row r="206" spans="3:8" s="64" customFormat="1" ht="15">
      <c r="C206" s="66"/>
      <c r="D206" s="66"/>
      <c r="E206" s="66"/>
      <c r="F206" s="66"/>
      <c r="G206" s="67"/>
      <c r="H206" s="67"/>
    </row>
  </sheetData>
  <sheetProtection/>
  <mergeCells count="262">
    <mergeCell ref="B5:H5"/>
    <mergeCell ref="B6:H6"/>
    <mergeCell ref="F8:H8"/>
    <mergeCell ref="I8:K8"/>
    <mergeCell ref="F1:H1"/>
    <mergeCell ref="F2:H2"/>
    <mergeCell ref="C4:D4"/>
    <mergeCell ref="G4:H4"/>
    <mergeCell ref="B9:D9"/>
    <mergeCell ref="E9:F9"/>
    <mergeCell ref="G9:H9"/>
    <mergeCell ref="B10:D10"/>
    <mergeCell ref="E10:F10"/>
    <mergeCell ref="G10:H10"/>
    <mergeCell ref="B11:D11"/>
    <mergeCell ref="E11:F11"/>
    <mergeCell ref="G11:H11"/>
    <mergeCell ref="B12:D12"/>
    <mergeCell ref="E12:F12"/>
    <mergeCell ref="G12:H12"/>
    <mergeCell ref="B13:D13"/>
    <mergeCell ref="E13:F13"/>
    <mergeCell ref="G13:H13"/>
    <mergeCell ref="B14:D14"/>
    <mergeCell ref="E14:F14"/>
    <mergeCell ref="G14:H14"/>
    <mergeCell ref="B15:D15"/>
    <mergeCell ref="E15:F15"/>
    <mergeCell ref="G15:H15"/>
    <mergeCell ref="B16:D16"/>
    <mergeCell ref="E16:F16"/>
    <mergeCell ref="G16:H16"/>
    <mergeCell ref="G24:G26"/>
    <mergeCell ref="B17:D17"/>
    <mergeCell ref="E17:F17"/>
    <mergeCell ref="G17:H17"/>
    <mergeCell ref="B18:D18"/>
    <mergeCell ref="E18:F18"/>
    <mergeCell ref="G18:H18"/>
    <mergeCell ref="B21:D21"/>
    <mergeCell ref="E21:F21"/>
    <mergeCell ref="B24:B26"/>
    <mergeCell ref="D27:E27"/>
    <mergeCell ref="D28:E28"/>
    <mergeCell ref="H24:H26"/>
    <mergeCell ref="B19:D19"/>
    <mergeCell ref="E19:F19"/>
    <mergeCell ref="G19:H19"/>
    <mergeCell ref="B20:D20"/>
    <mergeCell ref="E20:F20"/>
    <mergeCell ref="G20:H20"/>
    <mergeCell ref="G21:H21"/>
    <mergeCell ref="C24:C26"/>
    <mergeCell ref="D24:E26"/>
    <mergeCell ref="F24:F26"/>
    <mergeCell ref="D39:E39"/>
    <mergeCell ref="D40:E40"/>
    <mergeCell ref="D33:E33"/>
    <mergeCell ref="D34:E34"/>
    <mergeCell ref="D29:E29"/>
    <mergeCell ref="D30:E30"/>
    <mergeCell ref="D31:E31"/>
    <mergeCell ref="D32:E32"/>
    <mergeCell ref="D35:E35"/>
    <mergeCell ref="D36:E36"/>
    <mergeCell ref="D37:E37"/>
    <mergeCell ref="D38:E38"/>
    <mergeCell ref="D47:E47"/>
    <mergeCell ref="D48:E48"/>
    <mergeCell ref="D41:E41"/>
    <mergeCell ref="D42:E42"/>
    <mergeCell ref="D43:E43"/>
    <mergeCell ref="D44:E44"/>
    <mergeCell ref="D45:E45"/>
    <mergeCell ref="D46:E46"/>
    <mergeCell ref="G90:H90"/>
    <mergeCell ref="D51:E51"/>
    <mergeCell ref="D52:E52"/>
    <mergeCell ref="B57:B59"/>
    <mergeCell ref="C57:C59"/>
    <mergeCell ref="D57:D59"/>
    <mergeCell ref="B90:D90"/>
    <mergeCell ref="E90:F90"/>
    <mergeCell ref="D49:E49"/>
    <mergeCell ref="D50:E50"/>
    <mergeCell ref="E57:E59"/>
    <mergeCell ref="F57:F59"/>
    <mergeCell ref="G57:G59"/>
    <mergeCell ref="H57:H59"/>
    <mergeCell ref="E94:F94"/>
    <mergeCell ref="G94:H94"/>
    <mergeCell ref="E91:F91"/>
    <mergeCell ref="G91:H91"/>
    <mergeCell ref="E92:F92"/>
    <mergeCell ref="G92:H92"/>
    <mergeCell ref="E93:F93"/>
    <mergeCell ref="G93:H93"/>
    <mergeCell ref="B98:D98"/>
    <mergeCell ref="E98:F98"/>
    <mergeCell ref="G98:H98"/>
    <mergeCell ref="E95:F95"/>
    <mergeCell ref="G95:H95"/>
    <mergeCell ref="E96:F96"/>
    <mergeCell ref="G96:H96"/>
    <mergeCell ref="E97:F97"/>
    <mergeCell ref="G97:H97"/>
    <mergeCell ref="E100:F100"/>
    <mergeCell ref="G100:H100"/>
    <mergeCell ref="B102:D102"/>
    <mergeCell ref="E102:F102"/>
    <mergeCell ref="G102:H102"/>
    <mergeCell ref="B101:D101"/>
    <mergeCell ref="E101:F101"/>
    <mergeCell ref="G101:H101"/>
    <mergeCell ref="B103:D103"/>
    <mergeCell ref="E103:F103"/>
    <mergeCell ref="G103:H103"/>
    <mergeCell ref="G108:H108"/>
    <mergeCell ref="B104:D104"/>
    <mergeCell ref="E104:F104"/>
    <mergeCell ref="G104:H104"/>
    <mergeCell ref="B105:D105"/>
    <mergeCell ref="E105:F105"/>
    <mergeCell ref="G105:H105"/>
    <mergeCell ref="B106:D106"/>
    <mergeCell ref="G109:H109"/>
    <mergeCell ref="B109:D109"/>
    <mergeCell ref="E109:F109"/>
    <mergeCell ref="E106:F106"/>
    <mergeCell ref="G106:H106"/>
    <mergeCell ref="B107:D107"/>
    <mergeCell ref="E107:F107"/>
    <mergeCell ref="G107:H107"/>
    <mergeCell ref="B108:D108"/>
    <mergeCell ref="E108:F108"/>
    <mergeCell ref="D116:E116"/>
    <mergeCell ref="B110:D110"/>
    <mergeCell ref="E110:F110"/>
    <mergeCell ref="B115:C115"/>
    <mergeCell ref="D115:E115"/>
    <mergeCell ref="B116:C116"/>
    <mergeCell ref="B121:C121"/>
    <mergeCell ref="D121:E121"/>
    <mergeCell ref="B117:C117"/>
    <mergeCell ref="D117:E117"/>
    <mergeCell ref="B120:C120"/>
    <mergeCell ref="D120:E120"/>
    <mergeCell ref="B118:C118"/>
    <mergeCell ref="D118:E118"/>
    <mergeCell ref="B119:C119"/>
    <mergeCell ref="D119:E119"/>
    <mergeCell ref="G110:H110"/>
    <mergeCell ref="B112:C112"/>
    <mergeCell ref="D112:E112"/>
    <mergeCell ref="D113:E113"/>
    <mergeCell ref="B114:C114"/>
    <mergeCell ref="D114:E114"/>
    <mergeCell ref="G124:H124"/>
    <mergeCell ref="E125:F125"/>
    <mergeCell ref="G125:H125"/>
    <mergeCell ref="B126:D126"/>
    <mergeCell ref="E126:F126"/>
    <mergeCell ref="G126:H126"/>
    <mergeCell ref="G131:H131"/>
    <mergeCell ref="B127:D127"/>
    <mergeCell ref="E127:F127"/>
    <mergeCell ref="G127:H127"/>
    <mergeCell ref="B128:D128"/>
    <mergeCell ref="E128:F128"/>
    <mergeCell ref="G128:H128"/>
    <mergeCell ref="B129:D129"/>
    <mergeCell ref="E129:F129"/>
    <mergeCell ref="G129:H129"/>
    <mergeCell ref="B130:D130"/>
    <mergeCell ref="E130:F130"/>
    <mergeCell ref="G130:H130"/>
    <mergeCell ref="B132:D132"/>
    <mergeCell ref="E132:F132"/>
    <mergeCell ref="G132:H132"/>
    <mergeCell ref="B131:D131"/>
    <mergeCell ref="E131:F131"/>
    <mergeCell ref="B134:D134"/>
    <mergeCell ref="E134:F134"/>
    <mergeCell ref="G134:H134"/>
    <mergeCell ref="B133:D133"/>
    <mergeCell ref="E133:F133"/>
    <mergeCell ref="G133:H133"/>
    <mergeCell ref="B137:D137"/>
    <mergeCell ref="E137:F137"/>
    <mergeCell ref="G137:H137"/>
    <mergeCell ref="B136:D136"/>
    <mergeCell ref="E136:F136"/>
    <mergeCell ref="G136:H136"/>
    <mergeCell ref="B139:D139"/>
    <mergeCell ref="E139:F139"/>
    <mergeCell ref="G139:H139"/>
    <mergeCell ref="E138:F138"/>
    <mergeCell ref="G138:H138"/>
    <mergeCell ref="B138:D138"/>
    <mergeCell ref="B140:D140"/>
    <mergeCell ref="E140:F140"/>
    <mergeCell ref="G140:H140"/>
    <mergeCell ref="G142:H142"/>
    <mergeCell ref="B141:D141"/>
    <mergeCell ref="E141:F141"/>
    <mergeCell ref="G141:H141"/>
    <mergeCell ref="B145:D145"/>
    <mergeCell ref="E145:F145"/>
    <mergeCell ref="B142:D142"/>
    <mergeCell ref="E142:F142"/>
    <mergeCell ref="E144:F144"/>
    <mergeCell ref="G145:H145"/>
    <mergeCell ref="G144:H144"/>
    <mergeCell ref="B146:D146"/>
    <mergeCell ref="E146:F146"/>
    <mergeCell ref="G146:H146"/>
    <mergeCell ref="B147:D147"/>
    <mergeCell ref="E147:F147"/>
    <mergeCell ref="G147:H147"/>
    <mergeCell ref="B148:D148"/>
    <mergeCell ref="E148:F148"/>
    <mergeCell ref="G148:H148"/>
    <mergeCell ref="B149:D149"/>
    <mergeCell ref="E149:F149"/>
    <mergeCell ref="G149:H149"/>
    <mergeCell ref="B150:D150"/>
    <mergeCell ref="E150:F150"/>
    <mergeCell ref="G150:H150"/>
    <mergeCell ref="C151:D151"/>
    <mergeCell ref="E151:F151"/>
    <mergeCell ref="G153:H153"/>
    <mergeCell ref="B154:D154"/>
    <mergeCell ref="E154:F154"/>
    <mergeCell ref="G154:H154"/>
    <mergeCell ref="B157:D157"/>
    <mergeCell ref="G157:H157"/>
    <mergeCell ref="B155:D155"/>
    <mergeCell ref="E155:F155"/>
    <mergeCell ref="G155:H155"/>
    <mergeCell ref="B156:D156"/>
    <mergeCell ref="E156:F156"/>
    <mergeCell ref="G156:H156"/>
    <mergeCell ref="B158:D158"/>
    <mergeCell ref="E158:F158"/>
    <mergeCell ref="G158:H158"/>
    <mergeCell ref="G159:H159"/>
    <mergeCell ref="B159:D159"/>
    <mergeCell ref="E159:F159"/>
    <mergeCell ref="A177:B177"/>
    <mergeCell ref="C177:F177"/>
    <mergeCell ref="C180:E180"/>
    <mergeCell ref="C172:F172"/>
    <mergeCell ref="G172:H172"/>
    <mergeCell ref="C173:D173"/>
    <mergeCell ref="G173:H173"/>
    <mergeCell ref="B161:D161"/>
    <mergeCell ref="E161:F161"/>
    <mergeCell ref="G161:H161"/>
    <mergeCell ref="D170:H170"/>
    <mergeCell ref="B160:D160"/>
    <mergeCell ref="E160:F160"/>
    <mergeCell ref="G160:H160"/>
  </mergeCells>
  <printOptions/>
  <pageMargins left="0.22" right="0.67" top="0.52" bottom="0.59" header="0.5" footer="0.31"/>
  <pageSetup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E10" sqref="E10"/>
    </sheetView>
  </sheetViews>
  <sheetFormatPr defaultColWidth="9.00390625" defaultRowHeight="15.75"/>
  <cols>
    <col min="1" max="1" width="38.125" style="153" customWidth="1"/>
    <col min="2" max="2" width="7.125" style="7" customWidth="1"/>
    <col min="3" max="3" width="8.00390625" style="43" customWidth="1"/>
    <col min="4" max="4" width="16.75390625" style="44" customWidth="1"/>
    <col min="5" max="5" width="17.625" style="44" customWidth="1"/>
    <col min="6" max="6" width="16.50390625" style="43" customWidth="1"/>
    <col min="7" max="7" width="12.25390625" style="43" customWidth="1"/>
    <col min="8" max="8" width="18.375" style="44" customWidth="1"/>
    <col min="9" max="9" width="13.50390625" style="43" customWidth="1"/>
    <col min="10" max="16384" width="9.00390625" style="43" customWidth="1"/>
  </cols>
  <sheetData>
    <row r="1" spans="1:8" s="59" customFormat="1" ht="15.75">
      <c r="A1" s="343" t="s">
        <v>7</v>
      </c>
      <c r="B1" s="344"/>
      <c r="C1" s="61"/>
      <c r="D1" s="335" t="s">
        <v>8</v>
      </c>
      <c r="E1" s="335"/>
      <c r="F1" s="61"/>
      <c r="H1" s="176"/>
    </row>
    <row r="2" spans="1:8" s="59" customFormat="1" ht="15.75">
      <c r="A2" s="345" t="s">
        <v>9</v>
      </c>
      <c r="B2" s="345"/>
      <c r="C2" s="61"/>
      <c r="D2" s="335" t="s">
        <v>614</v>
      </c>
      <c r="E2" s="335"/>
      <c r="F2" s="61"/>
      <c r="H2" s="176"/>
    </row>
    <row r="3" spans="1:8" s="59" customFormat="1" ht="15.75">
      <c r="A3" s="339" t="s">
        <v>10</v>
      </c>
      <c r="B3" s="339"/>
      <c r="C3" s="58"/>
      <c r="D3" s="61"/>
      <c r="E3" s="61"/>
      <c r="F3" s="61"/>
      <c r="H3" s="176"/>
    </row>
    <row r="4" spans="1:8" s="59" customFormat="1" ht="15.75">
      <c r="A4" s="61"/>
      <c r="B4" s="61"/>
      <c r="C4" s="337" t="s">
        <v>401</v>
      </c>
      <c r="D4" s="337"/>
      <c r="E4" s="61"/>
      <c r="F4" s="61"/>
      <c r="H4" s="176"/>
    </row>
    <row r="5" spans="1:8" s="136" customFormat="1" ht="24" customHeight="1">
      <c r="A5" s="340" t="s">
        <v>402</v>
      </c>
      <c r="B5" s="337"/>
      <c r="C5" s="337"/>
      <c r="D5" s="337"/>
      <c r="E5" s="135"/>
      <c r="H5" s="177"/>
    </row>
    <row r="6" spans="1:8" s="136" customFormat="1" ht="12" customHeight="1">
      <c r="A6" s="137"/>
      <c r="B6" s="7"/>
      <c r="C6" s="7"/>
      <c r="D6" s="7"/>
      <c r="E6" s="135"/>
      <c r="H6" s="177"/>
    </row>
    <row r="7" spans="1:8" s="136" customFormat="1" ht="12">
      <c r="A7" s="138"/>
      <c r="B7" s="7"/>
      <c r="C7" s="7"/>
      <c r="D7" s="135"/>
      <c r="E7" s="135"/>
      <c r="H7" s="177"/>
    </row>
    <row r="8" spans="1:8" s="136" customFormat="1" ht="54.75" customHeight="1">
      <c r="A8" s="139" t="s">
        <v>13</v>
      </c>
      <c r="B8" s="139" t="s">
        <v>14</v>
      </c>
      <c r="C8" s="140" t="s">
        <v>15</v>
      </c>
      <c r="D8" s="141" t="s">
        <v>403</v>
      </c>
      <c r="E8" s="141" t="s">
        <v>404</v>
      </c>
      <c r="H8" s="177"/>
    </row>
    <row r="9" spans="1:5" ht="31.5">
      <c r="A9" s="142" t="s">
        <v>405</v>
      </c>
      <c r="B9" s="143"/>
      <c r="C9" s="144"/>
      <c r="D9" s="145"/>
      <c r="E9" s="145"/>
    </row>
    <row r="10" spans="1:9" ht="30">
      <c r="A10" s="146" t="s">
        <v>406</v>
      </c>
      <c r="B10" s="147" t="s">
        <v>207</v>
      </c>
      <c r="C10" s="148"/>
      <c r="D10" s="149">
        <v>65241822539</v>
      </c>
      <c r="E10" s="185">
        <v>63164045699</v>
      </c>
      <c r="F10" s="44"/>
      <c r="G10" s="175"/>
      <c r="I10" s="175"/>
    </row>
    <row r="11" spans="1:9" ht="30">
      <c r="A11" s="146" t="s">
        <v>407</v>
      </c>
      <c r="B11" s="147" t="s">
        <v>209</v>
      </c>
      <c r="C11" s="148"/>
      <c r="D11" s="149">
        <f>-(54610176318+921366460+1065237162+80806395+2307746383+174450339+2400000+313275000+191476674)</f>
        <v>-59666934731</v>
      </c>
      <c r="E11" s="185">
        <v>-48618058057</v>
      </c>
      <c r="F11" s="44"/>
      <c r="G11" s="175"/>
      <c r="I11" s="175"/>
    </row>
    <row r="12" spans="1:9" ht="15">
      <c r="A12" s="146" t="s">
        <v>408</v>
      </c>
      <c r="B12" s="147" t="s">
        <v>211</v>
      </c>
      <c r="C12" s="148"/>
      <c r="D12" s="149">
        <f>-(2678490000+2098350000+7500000)</f>
        <v>-4784340000</v>
      </c>
      <c r="E12" s="185">
        <v>-11144876500</v>
      </c>
      <c r="F12" s="44"/>
      <c r="G12" s="175"/>
      <c r="I12" s="175"/>
    </row>
    <row r="13" spans="1:9" ht="15">
      <c r="A13" s="146" t="s">
        <v>409</v>
      </c>
      <c r="B13" s="147" t="s">
        <v>213</v>
      </c>
      <c r="C13" s="148"/>
      <c r="D13" s="149">
        <f>-(165196979+31131463)</f>
        <v>-196328442</v>
      </c>
      <c r="E13" s="185">
        <v>-619964782</v>
      </c>
      <c r="F13" s="44"/>
      <c r="G13" s="175"/>
      <c r="I13" s="175"/>
    </row>
    <row r="14" spans="1:9" ht="30">
      <c r="A14" s="146" t="s">
        <v>410</v>
      </c>
      <c r="B14" s="147" t="s">
        <v>215</v>
      </c>
      <c r="C14" s="148"/>
      <c r="D14" s="149">
        <f>-(50393317)</f>
        <v>-50393317</v>
      </c>
      <c r="E14" s="185">
        <v>-1360910964</v>
      </c>
      <c r="F14" s="44"/>
      <c r="G14" s="175"/>
      <c r="I14" s="175"/>
    </row>
    <row r="15" spans="1:9" ht="15">
      <c r="A15" s="146" t="s">
        <v>411</v>
      </c>
      <c r="B15" s="147" t="s">
        <v>217</v>
      </c>
      <c r="C15" s="148"/>
      <c r="D15" s="149">
        <f>(59339420+368619250+82893825+11516319+200000000)</f>
        <v>722368814</v>
      </c>
      <c r="E15" s="185">
        <v>2139688498</v>
      </c>
      <c r="F15" s="44"/>
      <c r="G15" s="175"/>
      <c r="I15" s="175"/>
    </row>
    <row r="16" spans="1:9" ht="15">
      <c r="A16" s="146" t="s">
        <v>412</v>
      </c>
      <c r="B16" s="147" t="s">
        <v>413</v>
      </c>
      <c r="C16" s="148"/>
      <c r="D16" s="149">
        <f>-(171173543+16286400+4302000+250000000+21205790+478481453+135587+59338620+7828680+1887000+1500000+19056000)</f>
        <v>-1031195073</v>
      </c>
      <c r="E16" s="185">
        <v>-2206706729</v>
      </c>
      <c r="F16" s="44"/>
      <c r="G16" s="175"/>
      <c r="I16" s="175"/>
    </row>
    <row r="17" spans="1:9" ht="31.5">
      <c r="A17" s="142" t="s">
        <v>414</v>
      </c>
      <c r="B17" s="143" t="s">
        <v>235</v>
      </c>
      <c r="C17" s="144"/>
      <c r="D17" s="150">
        <f>SUM(D10:D16)</f>
        <v>234999790</v>
      </c>
      <c r="E17" s="150">
        <f>SUM(E10:E16)</f>
        <v>1353217165</v>
      </c>
      <c r="F17" s="44"/>
      <c r="G17" s="175"/>
      <c r="I17" s="175"/>
    </row>
    <row r="18" spans="1:9" ht="31.5">
      <c r="A18" s="142" t="s">
        <v>415</v>
      </c>
      <c r="B18" s="143"/>
      <c r="C18" s="144"/>
      <c r="D18" s="150"/>
      <c r="E18" s="150"/>
      <c r="F18" s="44"/>
      <c r="G18" s="175"/>
      <c r="I18" s="175"/>
    </row>
    <row r="19" spans="1:9" ht="30">
      <c r="A19" s="146" t="s">
        <v>416</v>
      </c>
      <c r="B19" s="147" t="s">
        <v>237</v>
      </c>
      <c r="C19" s="148"/>
      <c r="D19" s="149"/>
      <c r="E19" s="149"/>
      <c r="F19" s="44"/>
      <c r="G19" s="175"/>
      <c r="I19" s="175"/>
    </row>
    <row r="20" spans="1:9" ht="30">
      <c r="A20" s="146" t="s">
        <v>417</v>
      </c>
      <c r="B20" s="147" t="s">
        <v>239</v>
      </c>
      <c r="C20" s="148"/>
      <c r="D20" s="149"/>
      <c r="E20" s="149"/>
      <c r="F20" s="44"/>
      <c r="G20" s="175"/>
      <c r="I20" s="175"/>
    </row>
    <row r="21" spans="1:9" ht="30">
      <c r="A21" s="146" t="s">
        <v>418</v>
      </c>
      <c r="B21" s="147" t="s">
        <v>241</v>
      </c>
      <c r="C21" s="148"/>
      <c r="D21" s="149"/>
      <c r="E21" s="149"/>
      <c r="F21" s="44"/>
      <c r="G21" s="175"/>
      <c r="I21" s="175"/>
    </row>
    <row r="22" spans="1:9" ht="30">
      <c r="A22" s="146" t="s">
        <v>419</v>
      </c>
      <c r="B22" s="147" t="s">
        <v>243</v>
      </c>
      <c r="C22" s="148"/>
      <c r="D22" s="149"/>
      <c r="E22" s="149"/>
      <c r="F22" s="44"/>
      <c r="G22" s="175"/>
      <c r="I22" s="175"/>
    </row>
    <row r="23" spans="1:9" ht="15">
      <c r="A23" s="146" t="s">
        <v>420</v>
      </c>
      <c r="B23" s="147" t="s">
        <v>245</v>
      </c>
      <c r="C23" s="148"/>
      <c r="D23" s="149"/>
      <c r="E23" s="149"/>
      <c r="F23" s="44"/>
      <c r="G23" s="175"/>
      <c r="I23" s="175"/>
    </row>
    <row r="24" spans="1:9" ht="30">
      <c r="A24" s="146" t="s">
        <v>421</v>
      </c>
      <c r="B24" s="147" t="s">
        <v>422</v>
      </c>
      <c r="C24" s="148"/>
      <c r="D24" s="149"/>
      <c r="E24" s="149"/>
      <c r="F24" s="44"/>
      <c r="G24" s="175"/>
      <c r="I24" s="175"/>
    </row>
    <row r="25" spans="1:9" ht="30">
      <c r="A25" s="146" t="s">
        <v>423</v>
      </c>
      <c r="B25" s="147" t="s">
        <v>424</v>
      </c>
      <c r="C25" s="148"/>
      <c r="D25" s="149"/>
      <c r="E25" s="149"/>
      <c r="F25" s="44"/>
      <c r="G25" s="175"/>
      <c r="I25" s="175"/>
    </row>
    <row r="26" spans="1:9" ht="31.5">
      <c r="A26" s="142" t="s">
        <v>425</v>
      </c>
      <c r="B26" s="143" t="s">
        <v>247</v>
      </c>
      <c r="C26" s="144"/>
      <c r="D26" s="150"/>
      <c r="E26" s="150">
        <f>E19</f>
        <v>0</v>
      </c>
      <c r="F26" s="44"/>
      <c r="G26" s="175"/>
      <c r="I26" s="175"/>
    </row>
    <row r="27" spans="1:9" ht="31.5">
      <c r="A27" s="142" t="s">
        <v>426</v>
      </c>
      <c r="B27" s="143"/>
      <c r="C27" s="144"/>
      <c r="D27" s="150"/>
      <c r="E27" s="150"/>
      <c r="F27" s="44"/>
      <c r="G27" s="175"/>
      <c r="I27" s="175"/>
    </row>
    <row r="28" spans="1:9" ht="30">
      <c r="A28" s="146" t="s">
        <v>427</v>
      </c>
      <c r="B28" s="147" t="s">
        <v>249</v>
      </c>
      <c r="C28" s="148"/>
      <c r="D28" s="149"/>
      <c r="E28" s="149"/>
      <c r="F28" s="44"/>
      <c r="G28" s="175"/>
      <c r="I28" s="175"/>
    </row>
    <row r="29" spans="1:9" ht="45">
      <c r="A29" s="146" t="s">
        <v>428</v>
      </c>
      <c r="B29" s="147" t="s">
        <v>251</v>
      </c>
      <c r="C29" s="148"/>
      <c r="D29" s="149"/>
      <c r="E29" s="149"/>
      <c r="F29" s="44"/>
      <c r="G29" s="175"/>
      <c r="I29" s="175"/>
    </row>
    <row r="30" spans="1:9" ht="15">
      <c r="A30" s="146" t="s">
        <v>429</v>
      </c>
      <c r="B30" s="147" t="s">
        <v>430</v>
      </c>
      <c r="C30" s="148"/>
      <c r="D30" s="149">
        <f>9370000000+4400000000</f>
        <v>13770000000</v>
      </c>
      <c r="E30" s="186">
        <v>9350000000</v>
      </c>
      <c r="F30" s="44"/>
      <c r="G30" s="175"/>
      <c r="I30" s="175"/>
    </row>
    <row r="31" spans="1:9" ht="15">
      <c r="A31" s="146" t="s">
        <v>431</v>
      </c>
      <c r="B31" s="147" t="s">
        <v>432</v>
      </c>
      <c r="C31" s="148"/>
      <c r="D31" s="149">
        <f>-(11746222000+1300000000+2547315000)</f>
        <v>-15593537000</v>
      </c>
      <c r="E31" s="186">
        <v>-8577603099</v>
      </c>
      <c r="F31" s="44"/>
      <c r="G31" s="175"/>
      <c r="I31" s="175"/>
    </row>
    <row r="32" spans="1:9" ht="15">
      <c r="A32" s="146" t="s">
        <v>433</v>
      </c>
      <c r="B32" s="147" t="s">
        <v>434</v>
      </c>
      <c r="C32" s="148"/>
      <c r="D32" s="149"/>
      <c r="E32" s="186"/>
      <c r="F32" s="44"/>
      <c r="G32" s="175"/>
      <c r="I32" s="175"/>
    </row>
    <row r="33" spans="1:9" ht="30">
      <c r="A33" s="146" t="s">
        <v>435</v>
      </c>
      <c r="B33" s="147" t="s">
        <v>436</v>
      </c>
      <c r="C33" s="148"/>
      <c r="D33" s="149"/>
      <c r="E33" s="149"/>
      <c r="F33" s="44"/>
      <c r="G33" s="175"/>
      <c r="I33" s="175"/>
    </row>
    <row r="34" spans="1:9" ht="31.5">
      <c r="A34" s="142" t="s">
        <v>437</v>
      </c>
      <c r="B34" s="143" t="s">
        <v>253</v>
      </c>
      <c r="C34" s="144"/>
      <c r="D34" s="150">
        <f>SUM(D28:D33)</f>
        <v>-1823537000</v>
      </c>
      <c r="E34" s="150">
        <f>SUM(E28:E33)</f>
        <v>772396901</v>
      </c>
      <c r="F34" s="44"/>
      <c r="G34" s="175"/>
      <c r="I34" s="175"/>
    </row>
    <row r="35" spans="1:9" ht="31.5">
      <c r="A35" s="142" t="s">
        <v>438</v>
      </c>
      <c r="B35" s="143" t="s">
        <v>257</v>
      </c>
      <c r="C35" s="144"/>
      <c r="D35" s="150">
        <f>D34+D26+D17</f>
        <v>-1588537210</v>
      </c>
      <c r="E35" s="150">
        <f>E17+E26+E34</f>
        <v>2125614066</v>
      </c>
      <c r="F35" s="44"/>
      <c r="G35" s="175"/>
      <c r="I35" s="175"/>
    </row>
    <row r="36" spans="1:9" ht="18" customHeight="1">
      <c r="A36" s="146" t="s">
        <v>439</v>
      </c>
      <c r="B36" s="147" t="s">
        <v>263</v>
      </c>
      <c r="C36" s="148"/>
      <c r="D36" s="149">
        <f>3173938555+96810053</f>
        <v>3270748608</v>
      </c>
      <c r="E36" s="187">
        <v>1145134542</v>
      </c>
      <c r="F36" s="44"/>
      <c r="G36" s="175"/>
      <c r="I36" s="175"/>
    </row>
    <row r="37" spans="1:9" ht="30">
      <c r="A37" s="146" t="s">
        <v>440</v>
      </c>
      <c r="B37" s="147" t="s">
        <v>265</v>
      </c>
      <c r="C37" s="148"/>
      <c r="D37" s="149"/>
      <c r="E37" s="149"/>
      <c r="F37" s="44">
        <v>438019633</v>
      </c>
      <c r="G37" s="175"/>
      <c r="I37" s="175"/>
    </row>
    <row r="38" spans="1:9" ht="31.5">
      <c r="A38" s="142" t="s">
        <v>441</v>
      </c>
      <c r="B38" s="143" t="s">
        <v>269</v>
      </c>
      <c r="C38" s="144"/>
      <c r="D38" s="150">
        <f>D35+D36</f>
        <v>1682211398</v>
      </c>
      <c r="E38" s="150">
        <f>E35+E36</f>
        <v>3270748608</v>
      </c>
      <c r="F38" s="44">
        <f>F37-D38</f>
        <v>-1244191765</v>
      </c>
      <c r="G38" s="175"/>
      <c r="I38" s="175"/>
    </row>
    <row r="39" spans="1:5" ht="15.75">
      <c r="A39" s="151"/>
      <c r="B39" s="61"/>
      <c r="C39" s="152"/>
      <c r="D39" s="40"/>
      <c r="E39" s="40"/>
    </row>
    <row r="40" spans="1:6" ht="15.75">
      <c r="A40" s="151"/>
      <c r="B40" s="61"/>
      <c r="C40" s="152"/>
      <c r="D40" s="40"/>
      <c r="E40" s="40"/>
      <c r="F40" s="43">
        <v>1682211398</v>
      </c>
    </row>
    <row r="41" spans="1:6" ht="15.75">
      <c r="A41" s="151"/>
      <c r="B41" s="61"/>
      <c r="C41" s="152"/>
      <c r="D41" s="341" t="s">
        <v>611</v>
      </c>
      <c r="E41" s="342"/>
      <c r="F41" s="175">
        <f>F40-D38</f>
        <v>0</v>
      </c>
    </row>
    <row r="43" spans="1:8" s="152" customFormat="1" ht="21" customHeight="1">
      <c r="A43" s="152" t="s">
        <v>218</v>
      </c>
      <c r="B43" s="338" t="s">
        <v>219</v>
      </c>
      <c r="C43" s="338"/>
      <c r="D43" s="338"/>
      <c r="E43" s="40" t="s">
        <v>220</v>
      </c>
      <c r="H43" s="40"/>
    </row>
    <row r="44" spans="2:8" s="152" customFormat="1" ht="15.75">
      <c r="B44" s="61"/>
      <c r="C44" s="154"/>
      <c r="D44" s="40"/>
      <c r="E44" s="40"/>
      <c r="H44" s="40"/>
    </row>
    <row r="45" spans="2:8" s="152" customFormat="1" ht="15.75">
      <c r="B45" s="61"/>
      <c r="C45" s="154"/>
      <c r="D45" s="40"/>
      <c r="E45" s="40"/>
      <c r="H45" s="40"/>
    </row>
    <row r="46" spans="2:8" s="152" customFormat="1" ht="15.75">
      <c r="B46" s="61"/>
      <c r="C46" s="154"/>
      <c r="D46" s="40"/>
      <c r="E46" s="40"/>
      <c r="H46" s="40"/>
    </row>
    <row r="47" spans="2:8" s="152" customFormat="1" ht="15.75">
      <c r="B47" s="61"/>
      <c r="C47" s="154"/>
      <c r="D47" s="40"/>
      <c r="E47" s="40"/>
      <c r="H47" s="40"/>
    </row>
    <row r="48" spans="1:8" s="152" customFormat="1" ht="15.75">
      <c r="A48" s="165" t="s">
        <v>536</v>
      </c>
      <c r="B48" s="162"/>
      <c r="C48" s="163" t="s">
        <v>221</v>
      </c>
      <c r="D48" s="163"/>
      <c r="E48" s="166"/>
      <c r="F48" s="166"/>
      <c r="H48" s="40"/>
    </row>
  </sheetData>
  <sheetProtection/>
  <mergeCells count="9">
    <mergeCell ref="B43:D43"/>
    <mergeCell ref="A3:B3"/>
    <mergeCell ref="C4:D4"/>
    <mergeCell ref="A5:D5"/>
    <mergeCell ref="D41:E41"/>
    <mergeCell ref="D1:E1"/>
    <mergeCell ref="D2:E2"/>
    <mergeCell ref="A1:B1"/>
    <mergeCell ref="A2:B2"/>
  </mergeCells>
  <printOptions/>
  <pageMargins left="0.47" right="0.43" top="0.54" bottom="0.63" header="0.5" footer="0.5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116 - Hung Yen - Nam Dinh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PDC</dc:creator>
  <cp:keywords/>
  <dc:description/>
  <cp:lastModifiedBy>PHIDUNG COMPUTER</cp:lastModifiedBy>
  <cp:lastPrinted>2015-02-13T02:06:02Z</cp:lastPrinted>
  <dcterms:created xsi:type="dcterms:W3CDTF">2011-10-22T09:11:38Z</dcterms:created>
  <dcterms:modified xsi:type="dcterms:W3CDTF">2015-02-13T02:53:04Z</dcterms:modified>
  <cp:category/>
  <cp:version/>
  <cp:contentType/>
  <cp:contentStatus/>
</cp:coreProperties>
</file>