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750" windowWidth="7485" windowHeight="3420" firstSheet="1" activeTab="3"/>
  </bookViews>
  <sheets>
    <sheet name="StartUp" sheetId="7" state="veryHidden" r:id="rId1"/>
    <sheet name="CDKT" sheetId="1" r:id="rId2"/>
    <sheet name="KQKD" sheetId="5" r:id="rId3"/>
    <sheet name="LCTTGT" sheetId="6" r:id="rId4"/>
    <sheet name="Thuyet minh" sheetId="12" r:id="rId5"/>
  </sheets>
  <externalReferences>
    <externalReference r:id="rId6"/>
    <externalReference r:id="rId7"/>
    <externalReference r:id="rId8"/>
  </externalReferences>
  <definedNames>
    <definedName name="_xlnm.Print_Area" localSheetId="1">CDKT!$A$1:$F$145</definedName>
    <definedName name="_xlnm.Print_Area" localSheetId="2">KQKD!$A$1:$H$42</definedName>
    <definedName name="_xlnm.Print_Area" localSheetId="3">LCTTGT!$B$1:$E$63</definedName>
    <definedName name="_xlnm.Print_Area" localSheetId="4">'Thuyet minh'!$A$1:$I$409</definedName>
    <definedName name="_xlnm.Print_Titles" localSheetId="1">CDKT!$10:$10</definedName>
    <definedName name="_xlnm.Print_Titles" localSheetId="4">'Thuyet minh'!$1:$7</definedName>
  </definedNames>
  <calcPr calcId="144525"/>
</workbook>
</file>

<file path=xl/calcChain.xml><?xml version="1.0" encoding="utf-8"?>
<calcChain xmlns="http://schemas.openxmlformats.org/spreadsheetml/2006/main">
  <c r="K155" i="12" l="1"/>
  <c r="G14" i="1"/>
  <c r="H49" i="1" l="1"/>
  <c r="I25" i="6"/>
  <c r="J25" i="6"/>
  <c r="G25" i="6"/>
  <c r="L25" i="6"/>
  <c r="K25" i="6"/>
  <c r="H25" i="6"/>
  <c r="F25" i="6"/>
  <c r="F24" i="6"/>
  <c r="I382" i="12" l="1"/>
  <c r="I374" i="12"/>
  <c r="L376" i="12"/>
  <c r="L368" i="12"/>
  <c r="K376" i="12"/>
  <c r="K368" i="12"/>
  <c r="J376" i="12" l="1"/>
  <c r="J368" i="12"/>
  <c r="G376" i="12"/>
  <c r="G368" i="12"/>
  <c r="I375" i="12" l="1"/>
  <c r="I367" i="12"/>
  <c r="J350" i="12"/>
  <c r="G298" i="12"/>
  <c r="J287" i="12"/>
  <c r="J288" i="12"/>
  <c r="J286" i="12"/>
  <c r="J285" i="12"/>
  <c r="G265" i="12"/>
  <c r="G264" i="12"/>
  <c r="G196" i="12"/>
  <c r="F196" i="12"/>
  <c r="G181" i="12"/>
  <c r="G180" i="12"/>
  <c r="G179" i="12"/>
  <c r="G162" i="12"/>
  <c r="J30" i="5"/>
  <c r="H21" i="1"/>
  <c r="K30" i="5"/>
  <c r="J27" i="5"/>
  <c r="J26" i="5"/>
  <c r="J17" i="5"/>
  <c r="I28" i="5"/>
  <c r="I23" i="5"/>
  <c r="I22" i="5"/>
  <c r="I21" i="5"/>
  <c r="I20" i="5"/>
  <c r="I19" i="5"/>
  <c r="I18" i="5"/>
  <c r="I17" i="5"/>
  <c r="I16" i="5"/>
  <c r="I15" i="5"/>
  <c r="I14" i="5"/>
  <c r="I13" i="5"/>
  <c r="I324" i="12" l="1"/>
  <c r="G324" i="12"/>
  <c r="I312" i="12"/>
  <c r="G312" i="12"/>
  <c r="G307" i="12"/>
  <c r="G304" i="12"/>
  <c r="G306" i="12"/>
  <c r="G305" i="12"/>
  <c r="G283" i="12"/>
  <c r="G289" i="12"/>
  <c r="G288" i="12"/>
  <c r="G286" i="12"/>
  <c r="G285" i="12"/>
  <c r="G284" i="12"/>
  <c r="G26" i="1" l="1"/>
  <c r="H27" i="1" s="1"/>
  <c r="G268" i="12" l="1"/>
  <c r="G267" i="12"/>
  <c r="G266" i="12"/>
  <c r="G258" i="12"/>
  <c r="G253" i="12"/>
  <c r="K239" i="12"/>
  <c r="G222" i="12"/>
  <c r="F200" i="12"/>
  <c r="E200" i="12"/>
  <c r="F193" i="12"/>
  <c r="E193" i="12"/>
  <c r="E192" i="12"/>
  <c r="G182" i="12"/>
  <c r="I174" i="12"/>
  <c r="I172" i="12"/>
  <c r="G172" i="12"/>
  <c r="G173" i="12" s="1"/>
  <c r="G174" i="12" s="1"/>
  <c r="G167" i="12"/>
  <c r="G161" i="12"/>
  <c r="G152" i="12"/>
  <c r="G120" i="1" l="1"/>
  <c r="G117" i="1"/>
  <c r="G111" i="1"/>
  <c r="G109" i="1"/>
  <c r="G105" i="1"/>
  <c r="G100" i="1"/>
  <c r="G89" i="1"/>
  <c r="G88" i="1"/>
  <c r="G87" i="1"/>
  <c r="G86" i="1"/>
  <c r="G82" i="1"/>
  <c r="G81" i="1"/>
  <c r="G80" i="1"/>
  <c r="G79" i="1"/>
  <c r="G78" i="1"/>
  <c r="G70" i="1"/>
  <c r="G67" i="1"/>
  <c r="G66" i="1"/>
  <c r="G62" i="1"/>
  <c r="G56" i="1"/>
  <c r="G55" i="1"/>
  <c r="G50" i="1"/>
  <c r="G49" i="1"/>
  <c r="G45" i="1"/>
  <c r="G33" i="1"/>
  <c r="G30" i="1"/>
  <c r="G27" i="1"/>
  <c r="G22" i="1"/>
  <c r="G21" i="1"/>
  <c r="G19" i="1"/>
  <c r="G130" i="1"/>
  <c r="G127" i="1" l="1"/>
  <c r="G128" i="1" s="1"/>
  <c r="G74" i="1"/>
  <c r="I25" i="5" l="1"/>
  <c r="I24" i="5"/>
  <c r="I253" i="12" l="1"/>
  <c r="I252" i="12" s="1"/>
  <c r="I254" i="12" s="1"/>
  <c r="K254" i="12" s="1"/>
  <c r="G254" i="12"/>
  <c r="J254" i="12" s="1"/>
  <c r="D344" i="12" l="1"/>
  <c r="I383" i="12"/>
  <c r="F339" i="12" l="1"/>
  <c r="F334" i="12"/>
  <c r="I343" i="12"/>
  <c r="F348" i="12" s="1"/>
  <c r="I342" i="12"/>
  <c r="F349" i="12" s="1"/>
  <c r="F341" i="12"/>
  <c r="F347" i="12" s="1"/>
  <c r="F336" i="12"/>
  <c r="I258" i="12"/>
  <c r="I239" i="12"/>
  <c r="L239" i="12" s="1"/>
  <c r="G215" i="12"/>
  <c r="F350" i="12" l="1"/>
  <c r="I182" i="12"/>
  <c r="I181" i="12"/>
  <c r="I180" i="12"/>
  <c r="I179" i="12"/>
  <c r="K174" i="12"/>
  <c r="J174" i="12"/>
  <c r="G166" i="12"/>
  <c r="I166" i="12"/>
  <c r="I163" i="12" s="1"/>
  <c r="I162" i="12"/>
  <c r="I161" i="12"/>
  <c r="I153" i="12"/>
  <c r="I152" i="12"/>
  <c r="I191" i="12" l="1"/>
  <c r="I193" i="12"/>
  <c r="G163" i="12"/>
  <c r="H155" i="12"/>
  <c r="G169" i="12" l="1"/>
  <c r="K169" i="12" s="1"/>
  <c r="G155" i="12"/>
  <c r="I155" i="12" l="1"/>
  <c r="E54" i="6" l="1"/>
  <c r="I26" i="5" l="1"/>
  <c r="I336" i="12" l="1"/>
  <c r="I339" i="12" s="1"/>
  <c r="I369" i="12" l="1"/>
  <c r="J369" i="12" s="1"/>
  <c r="G313" i="12" l="1"/>
  <c r="I27" i="5" l="1"/>
  <c r="F202" i="12"/>
  <c r="D202" i="12"/>
  <c r="I200" i="12"/>
  <c r="I198" i="12"/>
  <c r="I217" i="12"/>
  <c r="I216" i="12"/>
  <c r="I215" i="12"/>
  <c r="G218" i="12"/>
  <c r="F218" i="12"/>
  <c r="G369" i="12" l="1"/>
  <c r="K369" i="12" s="1"/>
  <c r="I341" i="12"/>
  <c r="I308" i="12"/>
  <c r="G308" i="12"/>
  <c r="G202" i="12"/>
  <c r="I199" i="12" l="1"/>
  <c r="E202" i="12"/>
  <c r="I246" i="12"/>
  <c r="J246" i="12" s="1"/>
  <c r="I224" i="12"/>
  <c r="I223" i="12"/>
  <c r="I222" i="12"/>
  <c r="I221" i="12"/>
  <c r="I214" i="12"/>
  <c r="I218" i="12" s="1"/>
  <c r="F225" i="12"/>
  <c r="G225" i="12"/>
  <c r="J199" i="12" l="1"/>
  <c r="I202" i="12"/>
  <c r="E128" i="1"/>
  <c r="G230" i="12"/>
  <c r="F230" i="12"/>
  <c r="E230" i="12"/>
  <c r="G131" i="1" l="1"/>
  <c r="G129" i="1"/>
  <c r="F128" i="1"/>
  <c r="E225" i="12"/>
  <c r="J221" i="12"/>
  <c r="E218" i="12"/>
  <c r="G228" i="12" l="1"/>
  <c r="E228" i="12"/>
  <c r="F228" i="12"/>
  <c r="J214" i="12"/>
  <c r="I230" i="12"/>
  <c r="J230" i="12" s="1"/>
  <c r="I225" i="12"/>
  <c r="J225" i="12" s="1"/>
  <c r="J218" i="12" l="1"/>
  <c r="I228" i="12"/>
  <c r="J228" i="12" s="1"/>
  <c r="G377" i="12"/>
  <c r="K377" i="12" s="1"/>
  <c r="I377" i="12"/>
  <c r="J377" i="12" s="1"/>
  <c r="I361" i="12"/>
  <c r="J361" i="12" s="1"/>
  <c r="G361" i="12"/>
  <c r="K361" i="12" s="1"/>
  <c r="F361" i="12"/>
  <c r="E361" i="12"/>
  <c r="G344" i="12"/>
  <c r="F344" i="12"/>
  <c r="E344" i="12"/>
  <c r="K339" i="12"/>
  <c r="I322" i="12"/>
  <c r="I325" i="12" s="1"/>
  <c r="J325" i="12" s="1"/>
  <c r="G322" i="12"/>
  <c r="G325" i="12" s="1"/>
  <c r="K325" i="12" s="1"/>
  <c r="I313" i="12"/>
  <c r="I291" i="12"/>
  <c r="I277" i="12"/>
  <c r="J277" i="12" s="1"/>
  <c r="G277" i="12"/>
  <c r="K277" i="12" s="1"/>
  <c r="I269" i="12"/>
  <c r="J269" i="12" s="1"/>
  <c r="G269" i="12"/>
  <c r="K269" i="12" s="1"/>
  <c r="J308" i="12"/>
  <c r="K308" i="12"/>
  <c r="I299" i="12"/>
  <c r="J299" i="12" s="1"/>
  <c r="G299" i="12"/>
  <c r="K299" i="12" s="1"/>
  <c r="I259" i="12"/>
  <c r="J259" i="12" s="1"/>
  <c r="G259" i="12"/>
  <c r="K259" i="12" s="1"/>
  <c r="G246" i="12"/>
  <c r="K246" i="12" s="1"/>
  <c r="G239" i="12"/>
  <c r="J239" i="12" s="1"/>
  <c r="G207" i="12"/>
  <c r="F207" i="12"/>
  <c r="E207" i="12"/>
  <c r="D207" i="12"/>
  <c r="H200" i="12"/>
  <c r="J198" i="12"/>
  <c r="G195" i="12"/>
  <c r="F195" i="12"/>
  <c r="E195" i="12"/>
  <c r="D195" i="12"/>
  <c r="H193" i="12"/>
  <c r="I192" i="12"/>
  <c r="J191" i="12"/>
  <c r="I183" i="12"/>
  <c r="K183" i="12" s="1"/>
  <c r="G183" i="12"/>
  <c r="J183" i="12" s="1"/>
  <c r="J291" i="12" l="1"/>
  <c r="H202" i="12"/>
  <c r="J339" i="12"/>
  <c r="H195" i="12"/>
  <c r="D205" i="12"/>
  <c r="J202" i="12"/>
  <c r="G205" i="12"/>
  <c r="E205" i="12"/>
  <c r="I195" i="12"/>
  <c r="J195" i="12" s="1"/>
  <c r="F205" i="12"/>
  <c r="H388" i="12"/>
  <c r="I207" i="12"/>
  <c r="J207" i="12" s="1"/>
  <c r="I205" i="12" l="1"/>
  <c r="J205" i="12" s="1"/>
  <c r="J155" i="12" l="1"/>
  <c r="G382" i="12" l="1"/>
  <c r="I386" i="12" l="1"/>
  <c r="I388" i="12" l="1"/>
  <c r="J388" i="12" s="1"/>
  <c r="D54" i="6"/>
  <c r="F53" i="6"/>
  <c r="I396" i="12" l="1"/>
  <c r="J396" i="12" s="1"/>
  <c r="I399" i="12"/>
  <c r="J399" i="12" s="1"/>
  <c r="I169" i="12"/>
  <c r="J169" i="12" s="1"/>
  <c r="I340" i="12" l="1"/>
  <c r="I30" i="5"/>
  <c r="I344" i="12" l="1"/>
  <c r="J344" i="12" s="1"/>
  <c r="G291" i="12"/>
  <c r="K291" i="12" s="1"/>
  <c r="J33" i="5" l="1"/>
  <c r="G383" i="12" l="1"/>
  <c r="G386" i="12" s="1"/>
  <c r="G388" i="12" s="1"/>
  <c r="G396" i="12" l="1"/>
  <c r="K388" i="12"/>
  <c r="L388" i="12" s="1"/>
  <c r="K396" i="12" l="1"/>
  <c r="G399" i="12"/>
  <c r="K399" i="12" s="1"/>
</calcChain>
</file>

<file path=xl/sharedStrings.xml><?xml version="1.0" encoding="utf-8"?>
<sst xmlns="http://schemas.openxmlformats.org/spreadsheetml/2006/main" count="764" uniqueCount="554">
  <si>
    <t>Chi phí lãi vay</t>
  </si>
  <si>
    <t>Ghi nhận doanh thu</t>
  </si>
  <si>
    <t>Các loại thuế khác được áp dụng theo các luật thuế hiện hành tại Việt Nam.</t>
  </si>
  <si>
    <t>BẢNG CÂN ĐỐI KẾ TOÁN</t>
  </si>
  <si>
    <t>Mã số</t>
  </si>
  <si>
    <t>Thuyết minh</t>
  </si>
  <si>
    <t xml:space="preserve">   1. Tiền</t>
  </si>
  <si>
    <t xml:space="preserve">   1. Hàng tồn kho</t>
  </si>
  <si>
    <t xml:space="preserve">   2. Dự phòng giảm giá hàng tồn kho</t>
  </si>
  <si>
    <t xml:space="preserve">   1. Chi phi trả trước ngắn hạn</t>
  </si>
  <si>
    <t xml:space="preserve">   1. TSCĐ hữu hình</t>
  </si>
  <si>
    <t xml:space="preserve">    - Nguyên giá</t>
  </si>
  <si>
    <t xml:space="preserve">    - Giá trị hao mòn lũy kế</t>
  </si>
  <si>
    <t xml:space="preserve">   1. Đầu tư vào công ty con</t>
  </si>
  <si>
    <t xml:space="preserve">   1. Chi phí trả trước dài hạn</t>
  </si>
  <si>
    <t xml:space="preserve">  I. Nợ ngắn hạn</t>
  </si>
  <si>
    <t xml:space="preserve"> II. Nợ dài hạn</t>
  </si>
  <si>
    <t xml:space="preserve"> I. Vốn chủ sở hữu</t>
  </si>
  <si>
    <t xml:space="preserve">   1. Vốn đầu tư của chủ sở hữu</t>
  </si>
  <si>
    <t xml:space="preserve">   2. Thặng dư vốn cổ phần</t>
  </si>
  <si>
    <t xml:space="preserve">  1. Doanh thu bán hàng và cung cấp dịch vụ</t>
  </si>
  <si>
    <t xml:space="preserve">  2. Các khoản giảm trừ</t>
  </si>
  <si>
    <t xml:space="preserve">  4. Giá vốn hàng bán</t>
  </si>
  <si>
    <t xml:space="preserve">  6. Doanh thu hoạt động tài chính</t>
  </si>
  <si>
    <t xml:space="preserve">  7. Chi phí tài chính</t>
  </si>
  <si>
    <t xml:space="preserve">      - Trong đó: Lãi vay phải trả</t>
  </si>
  <si>
    <t xml:space="preserve">  8. Chi phí bán hàng</t>
  </si>
  <si>
    <t xml:space="preserve">  9. Chi phí quản lý doanh nghiệp</t>
  </si>
  <si>
    <t>11. Thu nhập khác</t>
  </si>
  <si>
    <t>12. Chi phí khác</t>
  </si>
  <si>
    <t>15. Chi phí thuế TNDN hiện hành</t>
  </si>
  <si>
    <t>THUYẾT MINH BÁO CÁO TÀI CHÍNH</t>
  </si>
  <si>
    <t xml:space="preserve"> VND </t>
  </si>
  <si>
    <t>Phải thu khác</t>
  </si>
  <si>
    <t xml:space="preserve">Nguyên liệu, vật liệu </t>
  </si>
  <si>
    <t xml:space="preserve">Công cụ, dụng cụ </t>
  </si>
  <si>
    <t>Chi phí sản xuất kinh doanh dở dang</t>
  </si>
  <si>
    <t xml:space="preserve">Thành phẩm </t>
  </si>
  <si>
    <t xml:space="preserve"> Nhà cửa, </t>
  </si>
  <si>
    <t>Máy móc</t>
  </si>
  <si>
    <t xml:space="preserve"> Phương tiện </t>
  </si>
  <si>
    <t xml:space="preserve">Dụng cụ </t>
  </si>
  <si>
    <t xml:space="preserve">Tổng  </t>
  </si>
  <si>
    <t xml:space="preserve"> thiết bị</t>
  </si>
  <si>
    <t xml:space="preserve"> vận tải </t>
  </si>
  <si>
    <t>quản lý</t>
  </si>
  <si>
    <t>cộng </t>
  </si>
  <si>
    <t>VND</t>
  </si>
  <si>
    <t xml:space="preserve"> VND  </t>
  </si>
  <si>
    <t>Khấu hao trong kỳ</t>
  </si>
  <si>
    <t>Giảm trong kỳ</t>
  </si>
  <si>
    <t xml:space="preserve">Cộng </t>
  </si>
  <si>
    <t>Vay ngắn hạn</t>
  </si>
  <si>
    <t>Thuế Giá trị gia tăng</t>
  </si>
  <si>
    <t>Thuế Thu nhập doanh nghiệp</t>
  </si>
  <si>
    <t>Thuế Tài nguyên</t>
  </si>
  <si>
    <t>Kinh phí công đoàn</t>
  </si>
  <si>
    <t>Bảo hiểm y tế</t>
  </si>
  <si>
    <t>cổ phần</t>
  </si>
  <si>
    <t>phát triển</t>
  </si>
  <si>
    <t>Doanh thu hoạt động xây lắp</t>
  </si>
  <si>
    <t>Giá vốn các hoạt động xây lắp</t>
  </si>
  <si>
    <t>Lãi cơ bản trên cổ phiếu</t>
  </si>
  <si>
    <t>Kế toán trưởng</t>
  </si>
  <si>
    <t>CÔNG TY CỔ PHẦN VINACONEX 25</t>
  </si>
  <si>
    <t>BÁO CÁO LƯU CHUYỂN TIỀN TỆ</t>
  </si>
  <si>
    <t>CHỈ TIÊU</t>
  </si>
  <si>
    <t>Lưu chuyển tiền thuần từ hoạt động kinh doanh</t>
  </si>
  <si>
    <t>Lưu chuyển tiền thuần từ hoạt động đầu tư</t>
  </si>
  <si>
    <t>Lưu chuyển tiền thuần từ hoạt động tài chính</t>
  </si>
  <si>
    <t>Tiền và tương đương tiền đầu kỳ</t>
  </si>
  <si>
    <t>Trịnh Văn Thật</t>
  </si>
  <si>
    <t>Nguyễn Thanh Hải</t>
  </si>
  <si>
    <t>Bảo hiểm thất nghiệp</t>
  </si>
  <si>
    <t>Hàng tồn kho</t>
  </si>
  <si>
    <t>Giảm khác</t>
  </si>
  <si>
    <t>Thuế thu nhập cá nhân</t>
  </si>
  <si>
    <t>Doanh thu bất động sản</t>
  </si>
  <si>
    <t>Giá vốn bất động sản</t>
  </si>
  <si>
    <t>1. Lợi nhuận trước thuế</t>
  </si>
  <si>
    <t>01</t>
  </si>
  <si>
    <t>02</t>
  </si>
  <si>
    <t>03</t>
  </si>
  <si>
    <t>05</t>
  </si>
  <si>
    <t>06</t>
  </si>
  <si>
    <t>3. Lợi nhuận từ hoạt động kinh doanh trước thay đổi vốn  lưu động</t>
  </si>
  <si>
    <t>08</t>
  </si>
  <si>
    <t>09</t>
  </si>
  <si>
    <t>10</t>
  </si>
  <si>
    <t>11</t>
  </si>
  <si>
    <t>12</t>
  </si>
  <si>
    <t>13</t>
  </si>
  <si>
    <t>14</t>
  </si>
  <si>
    <t>16</t>
  </si>
  <si>
    <t>20</t>
  </si>
  <si>
    <t>1.Tiền chi để mua sắm, xây dựng TSCĐ và các tài sản dài hạn khác</t>
  </si>
  <si>
    <t>21</t>
  </si>
  <si>
    <t>2.Tiền thu từ thanh lý, nhượng bán TSCĐ và các tài sản dài hạn khác</t>
  </si>
  <si>
    <t>22</t>
  </si>
  <si>
    <t>25</t>
  </si>
  <si>
    <t>27</t>
  </si>
  <si>
    <t>30</t>
  </si>
  <si>
    <t>1.Tiền thu từ phát hành cổ phiếu, nhận vốn góp của chủ sở hữu</t>
  </si>
  <si>
    <t>31</t>
  </si>
  <si>
    <t>33</t>
  </si>
  <si>
    <t>34</t>
  </si>
  <si>
    <t>36</t>
  </si>
  <si>
    <t>40</t>
  </si>
  <si>
    <t>Lưu chuyển tiền thuần trong kỳ (50 = 20+30+40)</t>
  </si>
  <si>
    <t>50</t>
  </si>
  <si>
    <t>60</t>
  </si>
  <si>
    <t>Tiền và tương đương tiền cuối kỳ (70 = 50+60+61)</t>
  </si>
  <si>
    <t>70</t>
  </si>
  <si>
    <t xml:space="preserve">Công ty Cổ phần Vinaconex 25 (sau đây gọi tắt là “Công ty”) được cổ phần hóa từ doanh nghiệp Nhà nước - Công ty Xây lắp Vinaconex 25, thuộc Tổng Công ty Xuất nhập khẩu Xây dựng Việt Nam (nay là Tổng Công ty Cổ phần Xuất nhập khẩu và Xây dựng Việt Nam) theo Quyết định số 1786/QĐ-BXD ngày 17 tháng 11 năm 2004 của Bộ trưởng Bộ Xây dựng. </t>
  </si>
  <si>
    <t>Công ty niêm yết và giao dịch cổ phiếu tại Sở Giao dịch Chứng khoán Hà Nội với mã chứng khoán là VCC.</t>
  </si>
  <si>
    <t>Công ty mẹ của Công ty là Tổng Công ty Cổ phần Xuất nhập khẩu và Xây dựng Việt Nam.</t>
  </si>
  <si>
    <t>Báo cáo tài chính kèm theo được trình bày bằng đồng Việt Nam (VND), theo nguyên tắc giá gốc và phù hợp với các Chuẩn mực kế toán Việt Nam, Hệ thống kế toán Việt Nam và các quy định hiện hành có liên quan tại Việt Nam.</t>
  </si>
  <si>
    <t>Kỳ kế toán</t>
  </si>
  <si>
    <t xml:space="preserve">Năm tài chính của Công ty bắt đầu từ ngày 01 tháng 01 và kết thúc vào ngày 31 tháng 12. </t>
  </si>
  <si>
    <t>ÁP DỤNG HƯỚNG DẪN KẾ TOÁN MỚI</t>
  </si>
  <si>
    <t>Sau đây là các chính sách kế toán chủ yếu được Công ty áp dụng trong việc lập báo cáo tài chính:</t>
  </si>
  <si>
    <t>Ước tình kế toán</t>
  </si>
  <si>
    <t>Việc lập báo cáo tài chính tuân thủ theo các Chuẩn mực kế toán Việt Nam, Hệ thống kế toán Việt Nam và các quy định hiện hành có liên quan tại Việt Nam yêu cầu Ban Giám đốc phải có những ước tính và giả định ảnh hưởng đến số liệu báo cáo về công nợ, tài sản và việc trình bày các khoản công nợ và tài sản tiềm tàng tại ngày lập báo cáo tài chính cũng như các số liệu báo cáo về doanh thu và chi phí trong suốt năm tài chính. Kết quả hoạt động kinh doanh thực tế có thể khác với các ước tính, giả định đặt ra.</t>
  </si>
  <si>
    <t>Công cụ tài chính</t>
  </si>
  <si>
    <t>Ghi nhận ban đầu</t>
  </si>
  <si>
    <t>Tài sản tài chính</t>
  </si>
  <si>
    <t>Tại ngày ghi nhận ban đầu, tài sản tài chính được ghi nhận theo giá gốc cộng các chi phí giao dịch có liên quan trực tiếp đến việc mua sắm tài sản tài chính đó.</t>
  </si>
  <si>
    <t>Tài sản tài chính của Công ty bao gồm tiền mặt, tiền gửi ngắn hạn, các khoản phải thu khách hàng và các khoản phải thu khác và các khoản ký cược, ký quỹ.</t>
  </si>
  <si>
    <t>Công nợ tài chính</t>
  </si>
  <si>
    <t>Tại ngày ghi nhận ban đầu, công nợ tài chính được ghi nhận theo giá gốc trừ đi các chi phí giao dịch có liên quan trực tiếp đến việc phát hành công nợ tài chính đó.</t>
  </si>
  <si>
    <t>Công nợ tài chính của Công ty bao gồm các khoản phải trả người bán và phải trả khác, các khoản nợ, các khoản vay và các khoản chi phí phải trả.</t>
  </si>
  <si>
    <t>Đánh giá lại sau lần ghi nhận ban đầu</t>
  </si>
  <si>
    <t>Hiện tại, chưa có quy định về đánh giá lại công cụ tài chính sau ghi nhận ban đầu.</t>
  </si>
  <si>
    <t xml:space="preserve">Tiền bao gồm tiền mặt tại quỹ và các khoản tiền gửi ngân hàng. </t>
  </si>
  <si>
    <t>Dự phòng phải thu khó đòi</t>
  </si>
  <si>
    <t>Dự phòng phải thu khó đòi được trích lập cho những khoản phải thu đã quá hạn thanh toán từ sáu tháng trở lên, hoặc các khoản phải thu mà người nợ khó có khả năng thanh toán do bị thanh lý, phá sản hay các khó khăn tương tự.</t>
  </si>
  <si>
    <t xml:space="preserve">Hàng tồn kho được xác định trên cơ sở giá thấp hơn giữa giá gốc và giá trị thuần có thể thực hiện được. Giá gốc hàng tồn kho bao gồm chi phí nguyên vật liệu trực tiếp, chi phí lao động trực tiếp và chi phí sản xuất chung, nếu có, để có được hàng tồn kho ở địa điểm và trạng thái hiện tại. Giá gốc của hàng tồn kho được xác định theo phương pháp bình quân gia quyền theo tháng cho đá vật liệu và phương pháp nhập trước, xuất trước đối với các nguyên vật liệu và công cụ dụng cụ khác. Giá trị thuần có thể thực hiện được được xác định bằng giá bán ước tính trừ các chi phí ước tính để hoàn thành sản phẩm cùng chi phí tiếp thị, bán hàng và phân phối phát sinh. </t>
  </si>
  <si>
    <t>Dự phòng giảm giá hàng tồn kho của Công ty được trích lập theo các quy định kế toán hiện hành. Theo đó, Công ty được phép trích lập dự phòng giảm giá hàng tồn kho lỗi thời, hỏng, kém phẩm chất và trong trường hợp giá gốc của hàng tồn kho cao hơn giá trị thuần có thể thực hiện được tại ngày kết thúc niên độ kế toán.</t>
  </si>
  <si>
    <t>Tài sản cố định hữu hình và khấu hao</t>
  </si>
  <si>
    <t>Tài sản cố định hữu hình được trình bày theo nguyên giá trừ giá trị hao mòn lũy kế.</t>
  </si>
  <si>
    <t>Nguyên giá tài sản cố định hữu hình bao gồm giá mua và toàn bộ các chi phí khác liên quan trực tiếp đến việc đưa tài sản vào trạng thái sẵn sàng sử dụng. Nguyên giá tài sản cố định hữu hình do tự làm, tự xây dựng bao gồm chi phí xây dựng, chi phí sản xuất thực tế phát sinh cộng chi phí lắp đặt và chạy thử.</t>
  </si>
  <si>
    <t>Tài sản cố định hữu hình được khấu hao theo phương pháp đường thẳng dựa trên thời gian hữu dụng ước tính, cụ thể như sau:</t>
  </si>
  <si>
    <t>Nhà cửa, vật kiến trúc</t>
  </si>
  <si>
    <t>Máy móc thiết bị</t>
  </si>
  <si>
    <t xml:space="preserve">Phương tiện vận tải, truyền dẫn </t>
  </si>
  <si>
    <t>(số năm)</t>
  </si>
  <si>
    <t>Tài sản vô hình và khấu hao</t>
  </si>
  <si>
    <t>Tài sản cố định vô hình thể hiện giá trị quyền sử dụng đất không thời hạn và phần mềm máy tính được trình bày theo nguyên giá trừ giá trị hao mòn lũy kế. Quyền sử dụng đất không thời hạn không phải trích khấu hao, phần mềm máy tính được khấu hao theo phương pháp đường thẳng dựa trên thời gian hữu dụng ước tính.</t>
  </si>
  <si>
    <t>Các khoản trả trước dài hạn</t>
  </si>
  <si>
    <t>Doanh thu bán hàng được ghi nhận khi đồng thời thỏa mãn tất cả năm (5) điều kiện sau:</t>
  </si>
  <si>
    <t>(a) Công ty đã chuyển giao phần lớn rủi ro và lợi ích gắn liền với quyền sở hữu sản phẩm hoặc hàng hóa cho người mua;</t>
  </si>
  <si>
    <t>(b) Công ty không còn nắm giữ quyền quản lý hàng hóa như người sở hữu hàng hóa hoặc quyền kiểm soát hàng hóa;</t>
  </si>
  <si>
    <t>(c) Doanh thu được xác định tương đối chắc chắn;</t>
  </si>
  <si>
    <t>(d) Công ty sẽ thu được lợi ích kinh tế từ giao dịch bán hàng; và</t>
  </si>
  <si>
    <t>(e) Xác định được chi phí liên quan đến giao dịch bán hàng.</t>
  </si>
  <si>
    <t>Doanh thu của giao dịch về cung cấp dịch vụ được ghi nhận khi kết quả của giao dịch đó được xác định một cách đáng tin cậy. Trường hợp giao dịch về cung cấp dịch vụ liên quan đến nhiều kỳ thì doanh thu được ghi nhận trong kỳ theo kết quả phần công việc đã hoàn thành tại ngày của Bảng cân đối kế toán của kỳ đó. Kết quả của giao dịch cung cấp dịch vụ được xác định khi thỏa mãn tất cả bốn (4) điều kiện sau:</t>
  </si>
  <si>
    <t>(a) Doanh thu được xác định tương đối chắc chắn;</t>
  </si>
  <si>
    <t>(b) Có khả năng thu được lợi ích kinh tế từ giao dịch cung cấp dịch vụ đó;</t>
  </si>
  <si>
    <t>(c) Xác định được phần công việc đã hoàn thành tại ngày của Bảng cân đối kế toán; và</t>
  </si>
  <si>
    <t>(d) Xác định được chi phí phát sinh cho giao dịch và chi phí để hoàn thành giao dịch cung cấp dịch vụ đó.</t>
  </si>
  <si>
    <t>Đối với bất động sản mà Công ty bán sau khi đã xây dựng hoàn tất, doanh thu và giá vốn được ghi nhận khi phần lớn rủi ro và lợi ích liên quan đến bất động sản đã được chuyển giao sang người mua. Đối với bất động sản được bán trước khi xây dựng hoàn tất mà theo đó Công ty có nghĩa vụ xây dựng và hoàn tất dự án bất động sản và người mua thanh toán tiền theo tiến độ xây dựng và chấp nhận các lợi ích và rủi ro từ những biến động trên trị trường, doanh thu và giá vốn được ghi nhận theo tỷ lệ hoàn thành của công việc xây dựng vào ngày kết thúc niên độ kế toán.</t>
  </si>
  <si>
    <t>Doanh thu từ hợp đồng xây dựng của Công ty được ghi nhận theo chính sách kế toán của Công ty về hợp đồng xây dựng (xem chi tiết dưới đây).</t>
  </si>
  <si>
    <t>Lãi tiền gửi được ghi nhận trên cơ sở dồn tích, được xác định trên số dư các tài khoản tiền gửi và lãi suất áp dụng.</t>
  </si>
  <si>
    <t>Lãi từ các khoản đầu tư được ghi nhận khi Công ty có quyền nhận lãi</t>
  </si>
  <si>
    <t>Hợp đồng xây dựng</t>
  </si>
  <si>
    <t>Khi kết quả thực hiện hợp đồng xây dựng không thể được ước tính một cách đáng tin cậy, doanh thu chỉ được ghi nhận tương đương với chi phí của hợp đồng đã phát sinh mà việc được hoàn trả là tương đối chắc chắn.</t>
  </si>
  <si>
    <t>Tất cả các chi phí lãi vay khác được ghi nhận vào báo cáo kết quả hoạt động kinh doanh khi phát sinh.</t>
  </si>
  <si>
    <t>Thuế</t>
  </si>
  <si>
    <t>Thuế thu nhập doanh nghiệp thể hiện tổng giá trị của số thuế phải trả hiện tại và số thuế hoãn lại.</t>
  </si>
  <si>
    <t>Số thuế phải trả hiện tại được tính dựa trên thu nhập chịu thuế trong năm. Thu nhập chịu thuế khác với lợi nhuận thuần được trình bày trên báo cáo kết quả hoạt động kinh doanh vì thu nhập chịu thuế không bao gồm các khoản thu nhập hay chi phí tính thuế hoặc được khấu trừ trong các năm khác (bao gồm cả lỗ mang sang, nếu có) và ngoài ra không bao gồm các chỉ tiêu không chịu thuế hoặc không được khấu trừ.</t>
  </si>
  <si>
    <t>Thuế thu nhập hoãn lại được tính trên các khoản chênh lệch giữa giá trị ghi sổ và cơ sở tính thuế thu nhập của các khoản mục tài sản hoặc công nợ trên báo cáo tài chính và được ghi nhận theo phương pháp bảng cân đối kế toán. Thuế thu nhập hoãn lại phải trả phải được ghi nhận cho tất cả các khoản chênh lệch tạm thời còn tài sản thuế thu nhập hoãn lại chỉ được ghi nhận khi chắc chắn có đủ lợi nhuận tính thuế trong tương lai để khấu trừ các khoản chênh lệch tạm thời.</t>
  </si>
  <si>
    <t>Thuế thu nhập hoãn lại được xác định theo thuế suất dự tính sẽ áp dụng cho năm tài sản được thu hồi hay nợ phải trả được thanh toán. Thuế thu nhập hoãn lại được ghi nhận vào báo cáo kết quả hoạt động kinh doanh và chỉ ghi vào vốn chủ sở hữu khi khoản thuế đó có liên quan đến các khoản mục được ghi thẳng vào vốn chủ sở hữu.</t>
  </si>
  <si>
    <t>Tài sản thuế thu nhập hoãn lại và nợ thuế thu nhập hoãn lại phải trả được bù trừ khi Công ty có quyền hợp pháp để bù trừ giữa tài sản thuế thu nhập hiện hành với thuế thu nhập hiện hành phải nộp và khi các tài sản thuế thu nhập hoãn lại và nợ thuế thu nhập hoãn lại phải trả liên quan tới thuế thu nhập doanh nghiệp được quản lý bởi cùng một cơ quan thuế và Công ty có dự định thanh toán thuế thu nhập hiện hành trên cơ sở thuần.</t>
  </si>
  <si>
    <t>Việc xác định thuế thu nhập của Công ty căn cứ vào các quy định hiện hành về thuế. Tuy nhiên, những quy định này thay đổi theo từng thời kỳ và việc xác định sau cùng về thuế thu nhập doanh nghiệp tùy thuộc vào kết quả kiểm tra của cơ quan thuế có thẩm quyền.</t>
  </si>
  <si>
    <t>Tiền</t>
  </si>
  <si>
    <t>TIỀN</t>
  </si>
  <si>
    <t xml:space="preserve">Tiền mặt </t>
  </si>
  <si>
    <t>HÀNG TỒN KHO</t>
  </si>
  <si>
    <t>Tăng do đầu tư, mua sắm</t>
  </si>
  <si>
    <t>Thanh lý nhượng bán</t>
  </si>
  <si>
    <t>NGUYÊN GIÁ</t>
  </si>
  <si>
    <t>KHẤU HAO</t>
  </si>
  <si>
    <t>GIÁ TRỊ CÒN LẠI</t>
  </si>
  <si>
    <t>ĐẦU TƯ VÀO CÔNG TY CON</t>
  </si>
  <si>
    <t>Nơi thành lập
và hoạt động</t>
  </si>
  <si>
    <t>Tỷ lệ
 sở hữu</t>
  </si>
  <si>
    <t>Tỷ lệ quyền 
biểu quyết</t>
  </si>
  <si>
    <t>VNĐ</t>
  </si>
  <si>
    <t>Đà Nẵng</t>
  </si>
  <si>
    <t>Công ty CP Vinaconex Dung Quất</t>
  </si>
  <si>
    <t>Tỷ lệ 
góp vốn (%)</t>
  </si>
  <si>
    <t>10.</t>
  </si>
  <si>
    <t>-</t>
  </si>
  <si>
    <t>Công cụ, dụng cụ xuất dùng có giá trị lớn</t>
  </si>
  <si>
    <t>Các khoản chi phí trả trước dài hạn khác</t>
  </si>
  <si>
    <t>Chi tiết các khoản vay ngắn hạn theo ngân hàng như sau</t>
  </si>
  <si>
    <t>Ngân hàng ĐT &amp; PT Việt Nam - CN Quảng Nam</t>
  </si>
  <si>
    <t>Ngân hàng Ngoại Thương VN - CN Quảng Nam</t>
  </si>
  <si>
    <t>Ngân hàng Công thương Việt Nam - CN Quảng Nam</t>
  </si>
  <si>
    <t>THUẾ VÀ CÁC KHOẢN PHẢI NỘP NHÀ NƯỚC</t>
  </si>
  <si>
    <t>Thuế, phí, lệ phí khác</t>
  </si>
  <si>
    <t>Trích trước chi phí thực hiện công trình</t>
  </si>
  <si>
    <t>Thu tiền góp vốn vào dự án Điện Nam Điện Ngọc</t>
  </si>
  <si>
    <t>Chi phí chưa thanh toán cho các đội thi công</t>
  </si>
  <si>
    <t>Chi trả cổ tức</t>
  </si>
  <si>
    <t>Các khoản phải trả, phải nộp ngắn hạn khác</t>
  </si>
  <si>
    <t>Vay dài hạn</t>
  </si>
  <si>
    <t>Các khoản vảy dài hạn được hoàn trả theo lịch biểu sau:</t>
  </si>
  <si>
    <t>Trong vòng một năm</t>
  </si>
  <si>
    <t>Trong năm thứ hai</t>
  </si>
  <si>
    <t>Từ năm thứ ba đến năm thứ năm</t>
  </si>
  <si>
    <t>Trừ số phải trả trong vòng 12 tháng</t>
  </si>
  <si>
    <t>(được trình bày ở phần nợ ngắn hạn)</t>
  </si>
  <si>
    <t>Số phải trả sau 12 tháng</t>
  </si>
  <si>
    <t>Thay đổi trong vốn chủ sở hữu</t>
  </si>
  <si>
    <t>Thặng dư vốn</t>
  </si>
  <si>
    <t>Quỹ đầu tư</t>
  </si>
  <si>
    <t>Lợi nhuận sau</t>
  </si>
  <si>
    <t>thuế</t>
  </si>
  <si>
    <t>chưa phân phối</t>
  </si>
  <si>
    <t>Lợi nhuận trong năm</t>
  </si>
  <si>
    <t>Phân phối quỹ</t>
  </si>
  <si>
    <t xml:space="preserve">     Trích quỹ đầu tư phát triển: </t>
  </si>
  <si>
    <t>     Trích quỹ khen thưởng. phúc lợi:</t>
  </si>
  <si>
    <t>đồng</t>
  </si>
  <si>
    <t>Vốn điều lệ và vốn đầu tư</t>
  </si>
  <si>
    <t>Theo giấy chứng nhận 
đăng ký kinh doanh</t>
  </si>
  <si>
    <t>%</t>
  </si>
  <si>
    <t>Vốn đã góp tại ngày</t>
  </si>
  <si>
    <t>Các cổ đông khác</t>
  </si>
  <si>
    <t>Tổng Công ty cổ phần Xuất nhập khẩu</t>
  </si>
  <si>
    <t>và xây dựng Việt Nam</t>
  </si>
  <si>
    <t>VỐN CHỦ SỞ HỮU</t>
  </si>
  <si>
    <t>DOANH THU BÁN HÀNG VÀ CUNG CẤP DỊCH VỤ</t>
  </si>
  <si>
    <t>GIÁ VỐN BÁN HÀNG VÀ DỊCH VỤ CUNG CẤP</t>
  </si>
  <si>
    <t>Doanh thu bán thành phẩm và hàng hoá</t>
  </si>
  <si>
    <t>Giá vốn bán thành phẩm và hàng hoá</t>
  </si>
  <si>
    <t>CHI PHÍ THUẾ THU NHẬP DOANH NGHIỆP HIỆN HÀNH</t>
  </si>
  <si>
    <t>Lợi nhuận trước thuế</t>
  </si>
  <si>
    <t>Điều chỉnh cho thu nhập chịu thuế</t>
  </si>
  <si>
    <t>Trừ: Thu nhập không chịu thuế</t>
  </si>
  <si>
    <t>Cộng: Các khoản chi phí không được khấu trừ</t>
  </si>
  <si>
    <t>Thuế suất thông thường</t>
  </si>
  <si>
    <t>Chi phí thuế thu nhập doanh nghiệp hiện hành</t>
  </si>
  <si>
    <t>LÃI CƠ BẢN TRÊN CỔ PHIẾU</t>
  </si>
  <si>
    <t>Lợi nhuận thuần để tính lãi cơ bản trên cổ phiếu</t>
  </si>
  <si>
    <t>thông để tính lãi cơ bản trên cổ phiếu</t>
  </si>
  <si>
    <t xml:space="preserve">Số lượng bình quân gia quyền cử số cổ phiếu phổ </t>
  </si>
  <si>
    <t>Các thuyết minh này là một bộ phận hợp thành và cần được đọ đồng thời với báo cáo tài chính kèm theo</t>
  </si>
  <si>
    <t>MẪU SỐ B09-DN</t>
  </si>
  <si>
    <t>Báo cáo tài chính</t>
  </si>
  <si>
    <t>Ngành nghề kinh doanh của Công ty là:</t>
  </si>
  <si>
    <t xml:space="preserve"> vật kiến trúc  </t>
  </si>
  <si>
    <t>I. LƯU CHUYỂN TIỀN TỪ HOẠT ĐỘNG KINH DOANH</t>
  </si>
  <si>
    <t>2. Điều chỉnh cho các khoản:</t>
  </si>
  <si>
    <t>Các khoản dự phòng</t>
  </si>
  <si>
    <t>Lãi, lỗ từ hoạt động đầu tư</t>
  </si>
  <si>
    <t xml:space="preserve">Chi phí lãi vay </t>
  </si>
  <si>
    <t>Tăng, giảm các khoản phải thu</t>
  </si>
  <si>
    <t>Tăng, giảm hàng tồn kho</t>
  </si>
  <si>
    <t xml:space="preserve">Tăng, giảm các khoản phải trả (Không kể lãi vay phải trả, thuế thu nhập doanh nghiệp phải nộp) </t>
  </si>
  <si>
    <t xml:space="preserve">Tăng, giảm chi phí trả trước </t>
  </si>
  <si>
    <t>Tiền lãi vay đã trả</t>
  </si>
  <si>
    <t>Thuế thu nhập doanh nghiệp đã nộp</t>
  </si>
  <si>
    <t>Tiền chi khác cho hoạt động kinh doanh</t>
  </si>
  <si>
    <t>II. LƯU CHUYỂN TIỀN TỪ HOẠT ĐỘNG ĐẦU TƯ</t>
  </si>
  <si>
    <t>III. LƯU CHUYỂN TIỀN TỪ HOẠT ĐỘNG TÀI CHÍNH</t>
  </si>
  <si>
    <t>MẪU SỐ B03-DN</t>
  </si>
  <si>
    <t>Đơn vị: VNĐ</t>
  </si>
  <si>
    <t>BÁO CÁO KẾT QUẢ HOẠT ĐỘNG KINH DOANH</t>
  </si>
  <si>
    <t>NGUỒN VỐN</t>
  </si>
  <si>
    <t>Mã
số</t>
  </si>
  <si>
    <t>MẪU SỐ B01-DN</t>
  </si>
  <si>
    <t>MẪU SỐ B02-DN</t>
  </si>
  <si>
    <t>5 - 35</t>
  </si>
  <si>
    <t>3 - 8</t>
  </si>
  <si>
    <t>4 - 8</t>
  </si>
  <si>
    <t>2 - 3</t>
  </si>
  <si>
    <t>Các khoản dự phòng được ghi nhận khi Công ty có nghĩa vụ nợ hiện tại do kết quả từ một sự kiện đã xảy ra, và Công ty có khả năng phải thanh toán nghĩa vụ này. Các khoản dự phòng được xác định trên cơ sở ước tính của Ban Giám đốc về các khoản chi phí cần thiết để thanh toán nghĩa vụ nợ này tại ngày kết thúc niên độ kế toán.</t>
  </si>
  <si>
    <t>Thiết bị văn phòng</t>
  </si>
  <si>
    <t>Công ty CP VTTB và ĐTXD M.E.I</t>
  </si>
  <si>
    <t>Công ty cổ phần Vinaconex Xuân Mai Đà Nẵng</t>
  </si>
  <si>
    <t>Việc tính toán lãi cơ bản trên cổ phiếu và lãi trên cổ phiếu suy giảm phân bổ cho các cổ đông sở hữu cổ phiếu phổ thông của Công ty được thực hiện trên cơ sở các số liệu sau:</t>
  </si>
  <si>
    <t xml:space="preserve">Quyền  </t>
  </si>
  <si>
    <t>Phần mềm</t>
  </si>
  <si>
    <t xml:space="preserve">sử dụng đất </t>
  </si>
  <si>
    <t>Máy tính</t>
  </si>
  <si>
    <t>TÀI SẢN CỐ ĐỊNH VÔ HÌNH</t>
  </si>
  <si>
    <t xml:space="preserve">   2. Các khoản tương đương tiền</t>
  </si>
  <si>
    <t xml:space="preserve">   3. Phải thu nội bộ ngắn hạn</t>
  </si>
  <si>
    <t xml:space="preserve">   4. Phải thu theo tiến độ kế hoạch hợp đồng xây dựng</t>
  </si>
  <si>
    <t xml:space="preserve"> IV. Hàng tồn kho</t>
  </si>
  <si>
    <t xml:space="preserve"> V. Tài sản ngắn hạn khác</t>
  </si>
  <si>
    <t xml:space="preserve">   2. Thuế giá trị gia tăng được khấu trừ</t>
  </si>
  <si>
    <t xml:space="preserve">   3. Thuế và các khoản khác phải thu Nhà nước</t>
  </si>
  <si>
    <t xml:space="preserve">  I. Các khoản phải thu dài hạn</t>
  </si>
  <si>
    <t xml:space="preserve">   1. Phải thu dài hạn của khách hàng</t>
  </si>
  <si>
    <t xml:space="preserve">  II. Tài sản cố định</t>
  </si>
  <si>
    <t xml:space="preserve">   2. TSCĐ thuê tài chính</t>
  </si>
  <si>
    <t xml:space="preserve">   3. TSCĐ vô hình</t>
  </si>
  <si>
    <t xml:space="preserve"> III. Bất động sản đầu tư</t>
  </si>
  <si>
    <t xml:space="preserve">   2. Tài sản thuế thu nhập hoãn lại</t>
  </si>
  <si>
    <t xml:space="preserve"> II. Nguồn kinh phí, quỹ khác</t>
  </si>
  <si>
    <t xml:space="preserve">   1. Nguồn kinh phí</t>
  </si>
  <si>
    <t xml:space="preserve">   2. Nguồn kinh phí đã hình thành TSCĐ</t>
  </si>
  <si>
    <t>I. Tiền và các khoản tương đương tiền</t>
  </si>
  <si>
    <t>TỔNG TÀI SẢN (270=100+200)</t>
  </si>
  <si>
    <t>A. TÀI SẢN NGẮN HẠN (100=110+120+130+140+150)</t>
  </si>
  <si>
    <t>TỔNG NGUỒN VỐN (440=300+400)</t>
  </si>
  <si>
    <t>07</t>
  </si>
  <si>
    <r>
      <t xml:space="preserve">14. Tổng lợi nhuận kế toán trước thuế 
      </t>
    </r>
    <r>
      <rPr>
        <sz val="10"/>
        <rFont val="Arial"/>
        <family val="2"/>
      </rPr>
      <t>(50=30+40)</t>
    </r>
  </si>
  <si>
    <t>16. Chi phí thuế thu nhập hoãn lại</t>
  </si>
  <si>
    <r>
      <t xml:space="preserve">17. Lợi nhuận sau thuế thu nhập doanh nghiệp 
     </t>
    </r>
    <r>
      <rPr>
        <sz val="10"/>
        <rFont val="Arial"/>
        <family val="2"/>
      </rPr>
      <t>(60=50-51-52)</t>
    </r>
  </si>
  <si>
    <t>18. Lãi cơ bản trên cổ phiếu</t>
  </si>
  <si>
    <t>04</t>
  </si>
  <si>
    <t>15</t>
  </si>
  <si>
    <t>Tiền thu khác từ hoạt động kinh doanh</t>
  </si>
  <si>
    <t>3.Tiền chi cho vay, mua các công cụ nợ của đơn vị khác</t>
  </si>
  <si>
    <t>23</t>
  </si>
  <si>
    <t>4.Tiền thu hồi cho vay, bán lại các công cụ nợ của đơn vị khác</t>
  </si>
  <si>
    <t>24</t>
  </si>
  <si>
    <t>6.Tiền thu hồi đầu tư góp vốn vào đơn vị khác</t>
  </si>
  <si>
    <t>5.Tiền chi đầu tư góp vốn vào đơn vị khác</t>
  </si>
  <si>
    <t>7.Tiền thu lãi cho vay, cổ tức và lợi nhuận được chia</t>
  </si>
  <si>
    <t>26</t>
  </si>
  <si>
    <t>32</t>
  </si>
  <si>
    <t>Ảnh hưởng của thay đổi tỷ giá hối đoái quy đổi ngoại tệ</t>
  </si>
  <si>
    <t>61</t>
  </si>
  <si>
    <t>35</t>
  </si>
  <si>
    <t>6. Cổ tức, lợi nhuận đã trả cho chủ sở hữu</t>
  </si>
  <si>
    <t>Các khoản chi phí trả trước dài hạn bao gồm giá trị công cụ, dụng cụ, linh kiện loại nhỏ đã xuất dùng và được coi là có khả năng đem lại lợi ích kinh tế trong tương lai cho Công ty với thời hạn từ một năm trở lên và chi phí sửa chữa lớn tài sản cố định chờ phân bổ. Các chi phí này được vốn hóa dưới hình thức các khoản trả trước dài hạn và được phân bổ vào báo cáo kết quả hoạt động kinh doanh, sử dụng phương pháp đường thẳng trong vòng ba năm theo các quy định kế toán hiện hành.</t>
  </si>
  <si>
    <t xml:space="preserve">Khi kết quả thực hiện hợp đồng xây dựng có thể được ước tính một cách đáng tin cậy, doanh thu và chi phí liên quan đến hợp đồng được ghi nhận tương ứng với phần công việc đã hoàn thành tại ngày kết thúc niên độ kế toán được tính bằng tỷ lệ phần trăm giữa chi phí phát sinh của phần công việc đã hoàn thành tại ngày kết thúc niên độ kế toán so với tổng chi phí dự toán của hợp đồng, ngoại trừ trường hợp chi phí này không tương đương với phần khối lượng xây lắp đã hoàn thành. Khoản chi phí này có thể bao gồm các chi phí phụ thêm, các khoản bồi thường và chi thưởng thực hiện hợp đồng theo thỏa thuận với khách hàng.  </t>
  </si>
  <si>
    <t>Trích quỹ KTPL</t>
  </si>
  <si>
    <t>Lũy kế từ đầu năm</t>
  </si>
  <si>
    <t>Năm nay</t>
  </si>
  <si>
    <t>Năm trước</t>
  </si>
  <si>
    <t>Ngân hàng SHB - CN Quảng Nam</t>
  </si>
  <si>
    <t>Thu nhập chịu thuế</t>
  </si>
  <si>
    <r>
      <t xml:space="preserve">  5. Lợi nhuận gộp bán hàng và cung cấp dịch
      vụ </t>
    </r>
    <r>
      <rPr>
        <sz val="10"/>
        <rFont val="Arial"/>
        <family val="2"/>
      </rPr>
      <t>(20=10-11)</t>
    </r>
  </si>
  <si>
    <r>
      <t xml:space="preserve">  3. Doanh thu thuần về bán hàng và cung cấp
     dịch vụ </t>
    </r>
    <r>
      <rPr>
        <sz val="10"/>
        <rFont val="Arial"/>
        <family val="2"/>
      </rPr>
      <t>(10=01-02)</t>
    </r>
  </si>
  <si>
    <t>Lũy kế từ đầu năm đến cuối quý này</t>
  </si>
  <si>
    <t xml:space="preserve">     Người lập</t>
  </si>
  <si>
    <t xml:space="preserve">   Kế toán trưởng</t>
  </si>
  <si>
    <t>Tổng Giám đốc</t>
  </si>
  <si>
    <t>Số 89A Phan Đăng Lưu, quận Hải Châu</t>
  </si>
  <si>
    <t xml:space="preserve">Thành phố Đà Nẵng, CHXHCN Việt Nam                                    </t>
  </si>
  <si>
    <t>Thành phố Đà Nẵng, CHXHCN Việt Nam</t>
  </si>
  <si>
    <t>Nguyễn Đình Huấn</t>
  </si>
  <si>
    <t xml:space="preserve">      Người lập</t>
  </si>
  <si>
    <t xml:space="preserve">    Nguyễn Đình Huấn                           Nguyễn Thanh Hải</t>
  </si>
  <si>
    <t xml:space="preserve">          Người lập                                       Kế toán trưởng</t>
  </si>
  <si>
    <t>B. TÀI SẢN DÀI HẠN (200=210+220+240+250+260)</t>
  </si>
  <si>
    <t>Ngày 25 tháng 04 năm 2003, Bộ Tài chính đã ban hành Thông tư số 45/2013/TT-BTC (“Thông tư 45”) hướng dẫn chế độ quản lý, sử dụng và trích khấu hao tài sản cố định. Thông tư này thay thế Thông tư số 203/2009/TT-BTC  (“Thông tư 203”) ngày 20 tháng 10 năm 2009 của Bộ Tài chính hướng dẫn chế độ quản lý, sử dụng và trích khấu hao tài sản cố định. Thông tư 45 có hiệu lực thi hành kể từ ngày 10 tháng 06 năm 2013 và áp dụng cho năm tài chính 2013 trở đi.</t>
  </si>
  <si>
    <t>Hướng dẫn mới về trích lập dự phòng giảm gia đầu tư dài hạn vào doanh nghiệp</t>
  </si>
  <si>
    <t>Ngày 26 tháng 06 năm 2013, Bộ Tài chính đã ban hành Thông tư số 89/2013/TT-BTC (“Thông tư 89”) sửa đổi, bổ sung Thông tư số 228/2009/TT-BTC ngày 07 tháng 12 năm 2009 của Bộ Tài chính hướng dẫn chế độ trích lập và sử dụng các khoản dự phòng giảm giá hàng tốn kho, tổn thất các khoản đầu tư tài chính, nợ phải thu khó đòi và bảo hành sản phẩm, hàng hóa, công trình xây lắp tại doanh nghiệp. Thông tư 89 có hiệu lực thi hành kể từ ngày 26 tháng 07 năm 2013.</t>
  </si>
  <si>
    <t>Tại ngày 01/01/2014</t>
  </si>
  <si>
    <t>Chi trả cổ tức năm 2013</t>
  </si>
  <si>
    <t>Chi trả cổ tức năm 2014</t>
  </si>
  <si>
    <t>I.  </t>
  </si>
  <si>
    <t>ĐẶC ĐIỂM HOẠT ĐỘNG CỦA DOANH NGHIỆP</t>
  </si>
  <si>
    <t>1. Hình thức sở hữu vốn</t>
  </si>
  <si>
    <t>Công ty hoạt động theo Giấy chứng nhận đăng ký kinh doanh số 3303070094 do Sở Kế hoạch và Đầu tư tỉnh Quảng Nam cấp ngày 27 tháng 12 năm 2004, các Giấy chứng nhận đăng ký kinh doanh điều chỉnh và Giấy chứng nhận đăng ký kinh doanh sửa đổi lần 11 số 4000378261 do Sở Kế hoạch và Đầu tư Đà Nẵng cấp ngày 10 tháng 07 năm 2014.</t>
  </si>
  <si>
    <t>2. Lĩnh vực kinh doanh</t>
  </si>
  <si>
    <t>- Xây lắp</t>
  </si>
  <si>
    <t>- Kinh doanh vật liệu</t>
  </si>
  <si>
    <t>- Kinh doanh bất động sản</t>
  </si>
  <si>
    <t xml:space="preserve">3. Ngành nghề kinh doanh và hoạt động chính </t>
  </si>
  <si>
    <t>4. Chu kỳ sản xuất, kinh doanh thông thường</t>
  </si>
  <si>
    <t>II.</t>
  </si>
  <si>
    <t>KỲ KẾ TOÁN, ĐƠN VỊ TIỀN TỆ SỬ DỤNG TRONG KẾ TOÁN</t>
  </si>
  <si>
    <t>III.</t>
  </si>
  <si>
    <t>CHUẨN MỰC VÀ CHẾ ĐỘ KẾ TOÁN ÁP DỤNG</t>
  </si>
  <si>
    <t>Công ty lập và trình bày báo cáo tài chính theo Chế độ kế toán Doanh nghiệp ban hành theo Thông tư số 200/2014/TT-BTC ngày 22/12/2014 của Bộ Tài chính.</t>
  </si>
  <si>
    <t>Ban Tổng Giám đốc Công ty chịu trách nhiệm về việc lập báo cáo tài chính một cách trung thực và hợp lý tình hình tài chính cũng như kết quả hoạt động kinh doanh và tình hình lưu chuyển tiền tệ của Công ty trong kỳ, phù hợp với Chuẩn mực kế toán, Chế độ kế toán doanh nghiệp Việt Nam và các quy định pháp lý có liên quan đến việc lập và trình bày báo cáo tài chính.</t>
  </si>
  <si>
    <t>IV.</t>
  </si>
  <si>
    <t>- Xây dựng các công trình dân dụng, công nghiệp, giao thông, thủy lợi, sân bay, bến cảng, thủy điện, đường dây và trạm biến thế điện đến 500 KV, cấp thoát nước, các công trình kỹ thuật đô thị, khu công nghiệp, khu dân cư, thi công các công trình ở ngoài nước;</t>
  </si>
  <si>
    <t>- Hoàn thiện công trình xây dựng; lắp đặt hệ thống điện; lắp đặt hệ thống cấp, thoát nước, lò sưởi và điều hòa không khí; lắp đặt hệ thống báo cháy, phòng cháy, chữa cháy, thang máy; cắt tạo dáng và hoàn thiện đá; hoạt động xây dựng chuyên dụng khác.</t>
  </si>
  <si>
    <t>- Dịch vụ lưu trú ngắn ngày; vận tải hàng hóa bằng đường bộ; dịch vụ phá dỡ, chuẩn bị mặt bằng, bốc xếp hàng hóa, kho bãi và lưu giữ hàng hóa; dịch vụ phòng chống mối mọt;</t>
  </si>
  <si>
    <t>- Sản xuất đồ gỗ xây dựng; sản xuất, truyền tải và phân phối điện; sản xuất bê tông và các sản phẩm từ xi măng và thạch cao; sản xuất vật liệu xây dựng từ đất sét; sản xuất các cấu kiện kim loại;</t>
  </si>
  <si>
    <t>- Khai thác, kinh doanh nước sạch; thoát nước và xử lý nước thải; khai thác đá, cát, sỏi, đất sét;</t>
  </si>
  <si>
    <t>- Cho thuê máy móc, thiết bị xây dựng; bán buôn máy móc, thiết bị xây dựng; bán buôn vật liệu, thiết bị lắp đặt khác trong xây dựng;</t>
  </si>
  <si>
    <t>- Kinh doanh bất động sản, quyền sử dụng đất thuộc chủ sở hữu, chủ sử dụng hoặc đi thuê; tư vấn, môi giới bất động sản;</t>
  </si>
  <si>
    <t>- Tư vấn đầu tư xây dựng, lập thẩm định dự án thiết kế kỹ thuật và tổng dự toán, tư vấn đấu thầu, khảo sát địa hình, địa chất, thí nghiệm, tư vấn giám sát, quản lý dự án; hoạt động kiến trúc &amp; tư vẫn kỹ thuật có liên quan.</t>
  </si>
  <si>
    <t>- Hoạt động xây dựng khác : Trùng tu di tích; thi công, lắp đặt đường ống cho khai khoáng.</t>
  </si>
  <si>
    <t>- Gia công cơ khí; xử lý và tráng phủ kim loại; sửa chữa máy móc, thiết bị.</t>
  </si>
  <si>
    <t>- Nhà hàng và các dịch vụ ăn uống phục vụ lưu động; dịch vụ đôg uống; đại lý du lịch; cho thuê xe có động cơ; dịch vụ vệ sinh; sản xuất giường, tủ, bàn, ghế; bảo dưỡng xe ô tô và xe có động cơ khác; bán buôn đồ điện gia dụng, đèn và bộ đèn điện; bán buôn giường, tủ, bàn ghế và đồ dùng nội thất tương tự; bán buôn máy móc, thiết bị điện, vật liệu điện; bán lẻ đồ ngũ kim, sơn, kính và thiết bị lắp đặt khác trong xây dựng trong các cửa hàng chuyên doanh; hoạt động cho thuê tài chính.</t>
  </si>
  <si>
    <t>Dưới 12 tháng</t>
  </si>
  <si>
    <t>Năm 2015</t>
  </si>
  <si>
    <t>Đơn vị tiền tệ sử dụng trong kế toán</t>
  </si>
  <si>
    <t>Chế độ kế toán áp dụng</t>
  </si>
  <si>
    <t>Tuyên bố về việc tuân thủ Chuẩn mực kế toán và Chế độ kế toán</t>
  </si>
  <si>
    <t>V.</t>
  </si>
  <si>
    <t>VI.</t>
  </si>
  <si>
    <t>THÔNG TIN BỔ SUNG CHO CÁC KHOẢN MỤC TRÌNH BÀY TRONG BẢNG CÂN ĐỐI KẾ TOÁN</t>
  </si>
  <si>
    <t xml:space="preserve">1.       Tiền </t>
  </si>
  <si>
    <t>Tiền gửi ngân hàng không kỳ hạn</t>
  </si>
  <si>
    <t>Tiền đang chuyển</t>
  </si>
  <si>
    <t>II. Đầu tư tài chính ngắn hạn</t>
  </si>
  <si>
    <t xml:space="preserve">   1. Chứng khoán kinh doanh</t>
  </si>
  <si>
    <t xml:space="preserve">   3. Đầu tư nắm giữ đến ngày đáo hạn</t>
  </si>
  <si>
    <t>III. Các khoản phải thu ngắn hạn</t>
  </si>
  <si>
    <t xml:space="preserve">   1. Phải thu ngắn hạn của khách hàng</t>
  </si>
  <si>
    <t xml:space="preserve">   2. Trả trước cho người bán ngắn hạn</t>
  </si>
  <si>
    <t xml:space="preserve">   5. Phải thu về cho vay ngắn hạn</t>
  </si>
  <si>
    <t xml:space="preserve">   6. Phải thu ngắn hạn khác</t>
  </si>
  <si>
    <t xml:space="preserve">   2. Dự phòng giảm giá chứng khoán kinh doanh </t>
  </si>
  <si>
    <t xml:space="preserve">   7. Dự phòng phải thu ngắn hạn khó đòi</t>
  </si>
  <si>
    <t xml:space="preserve">   8. Tài sản thiếu chờ xử lý</t>
  </si>
  <si>
    <t xml:space="preserve">   4. Giao dịch mua bán trái phiếu Chính phủ</t>
  </si>
  <si>
    <t xml:space="preserve">   5. Tài sản ngắn hạn khác</t>
  </si>
  <si>
    <t xml:space="preserve">   2. Trả trước cho người bán dài hạn</t>
  </si>
  <si>
    <t xml:space="preserve">   3. Vốn kinh doanh ở đơn vị trực thuộc</t>
  </si>
  <si>
    <t xml:space="preserve">   4. Phải thu nội bộ dài hạn</t>
  </si>
  <si>
    <t xml:space="preserve">   5. Phải thu về cho vay dài hạn</t>
  </si>
  <si>
    <t xml:space="preserve">   6. Phải thu dài hạn khác</t>
  </si>
  <si>
    <t xml:space="preserve"> IV. Tài sản dở dang dài hạn</t>
  </si>
  <si>
    <t xml:space="preserve">   1. Chi phí sản xuất, kinh doanh dở dang dài hạn</t>
  </si>
  <si>
    <t xml:space="preserve">   2. Chi phí xây dựng cơ bản dở dang</t>
  </si>
  <si>
    <t xml:space="preserve"> V. Đầu tư tài chính dài hạn</t>
  </si>
  <si>
    <t xml:space="preserve">   2. Đầu tư vào công ty liên doanh, liên kết</t>
  </si>
  <si>
    <t xml:space="preserve">   3. Đầu tư góp vốn vào đơn vị khác</t>
  </si>
  <si>
    <t xml:space="preserve">   4. Dự phòng giảm giá đầu tư tài chính dài hạn</t>
  </si>
  <si>
    <t xml:space="preserve">   5. Đầu tư nắm giữ đến ngày đáo hạn</t>
  </si>
  <si>
    <t xml:space="preserve"> VI. Tài sản dài hạn khác</t>
  </si>
  <si>
    <t xml:space="preserve">   3. Thiết bị, vật tư, phụ tùng thay thế dài hạn</t>
  </si>
  <si>
    <t xml:space="preserve">   4. Tài sản dài hạn khác</t>
  </si>
  <si>
    <t>C. NỢ PHẢI TRẢ (300=310+330)</t>
  </si>
  <si>
    <t xml:space="preserve">   1. Phải trả người bán ngắn hạn</t>
  </si>
  <si>
    <t xml:space="preserve">   2. Người mua trả tiền trước ngắn hạn</t>
  </si>
  <si>
    <t xml:space="preserve">   3. Thuế và các khoản phải nộp nhà nước</t>
  </si>
  <si>
    <t xml:space="preserve">   4. Phải trả người lao động</t>
  </si>
  <si>
    <t xml:space="preserve">   5. Chi phí phải trả ngắn hạn</t>
  </si>
  <si>
    <t xml:space="preserve">   6. Phải trả nội bộ ngắn hạn</t>
  </si>
  <si>
    <t xml:space="preserve">   7. Phải trả theo tiến độ kế hoạch hợp đồng xây dựng</t>
  </si>
  <si>
    <t xml:space="preserve">   8. Doanh thu chưa thực hiện ngắn hạn</t>
  </si>
  <si>
    <t xml:space="preserve">   9. Phải trả ngắn hạn khác</t>
  </si>
  <si>
    <t xml:space="preserve">   10. Vay và nợ thuê tài chính ngắn hạn</t>
  </si>
  <si>
    <t xml:space="preserve">   11. Dự phòng phải trả ngắn hạn</t>
  </si>
  <si>
    <t xml:space="preserve">   12. Quỹ khen thưởng, phúc lợi</t>
  </si>
  <si>
    <t xml:space="preserve">   13. Quỹ bình ổn giá</t>
  </si>
  <si>
    <t xml:space="preserve">   14. Giao dịch mua bán lại trái phiếu Chính phủ</t>
  </si>
  <si>
    <t xml:space="preserve">   1. Phải trả người bán dài hạn </t>
  </si>
  <si>
    <t xml:space="preserve">   2. Người mua trả tiền trước dài hạn</t>
  </si>
  <si>
    <t xml:space="preserve">   3. Chi phí phải trả dài hạn</t>
  </si>
  <si>
    <t xml:space="preserve">   4. Phải trả nội bộ về vốn kinh doanh</t>
  </si>
  <si>
    <t xml:space="preserve">   5. Phải trả nội bộ dài hạn</t>
  </si>
  <si>
    <t xml:space="preserve">   6. Doanh thu chưa thực hiện dài hạn</t>
  </si>
  <si>
    <t xml:space="preserve">   7. Phải trả dài hạn khác</t>
  </si>
  <si>
    <t xml:space="preserve">   8. Vay và nợ thuê tài chính dài hạn</t>
  </si>
  <si>
    <t xml:space="preserve">   9. Trái phiếu chuyển đổi</t>
  </si>
  <si>
    <t xml:space="preserve">   10. Cổ phiếu ưu đãi</t>
  </si>
  <si>
    <t xml:space="preserve">   11. Thuế thu nhập doanh nghiệp hoãn lại phải trả</t>
  </si>
  <si>
    <t xml:space="preserve">   12. Dự phòng phải trả dài hạn</t>
  </si>
  <si>
    <t>D. VỐN CHỦ SỞ HỮU (400=410+430)</t>
  </si>
  <si>
    <t>411a</t>
  </si>
  <si>
    <t xml:space="preserve">       - Cổ phiếu phổ thông có quyền biểu quyết</t>
  </si>
  <si>
    <t xml:space="preserve">       - Cổ phiếu ưu đãi</t>
  </si>
  <si>
    <t>411b</t>
  </si>
  <si>
    <t xml:space="preserve">   3. Quyền chọn chuyển đổi trái phiếu</t>
  </si>
  <si>
    <t xml:space="preserve">   4. Vốn khác của chủ sở hữu</t>
  </si>
  <si>
    <t xml:space="preserve">   5. Cổ phiếu quỹ</t>
  </si>
  <si>
    <t xml:space="preserve">   6. Chênh lệch đánh giá lại tài sản</t>
  </si>
  <si>
    <t xml:space="preserve">   7. Chênh lệch tỷ giá hối đoái</t>
  </si>
  <si>
    <t xml:space="preserve">   8. Quỹ đầu tư phát triển</t>
  </si>
  <si>
    <t xml:space="preserve">   9. Quỹ hỗ trợ sắp xếp doanh nghiệp</t>
  </si>
  <si>
    <t xml:space="preserve">   10. Quỹ khác thuộc vốn chủ sở hữu</t>
  </si>
  <si>
    <t xml:space="preserve">   11. Lợi nhuận sau thuế chưa phân phối</t>
  </si>
  <si>
    <t xml:space="preserve">       - LNST chưa phân phối lũy kế đến cuối kỳ trước</t>
  </si>
  <si>
    <t xml:space="preserve">       - LNST chưa phân phối kỳ này</t>
  </si>
  <si>
    <t>421a</t>
  </si>
  <si>
    <t>421b</t>
  </si>
  <si>
    <t xml:space="preserve">   12. Nguồn vốn đầu tư XDCB</t>
  </si>
  <si>
    <t>Khấu hao TSCĐ và bất động sản đầu tư</t>
  </si>
  <si>
    <t>Lãi, lỗ chênh lệch tỷ giá hối đoái do đánh giá lại các khoản mục tiền tệ có gốc ngoại tệ</t>
  </si>
  <si>
    <t>Tăng, giảm chứng khoán kinh doanh</t>
  </si>
  <si>
    <t>2.Tiền trả lại vốn góp cho các chủ sở hữu, mua lại cổ phiếu của doanh nghiệp đã phát hành</t>
  </si>
  <si>
    <t>3.Tiền thu từ đi vay</t>
  </si>
  <si>
    <t>4.Tiền trả nợ gốc vay</t>
  </si>
  <si>
    <t>5.Tiền trả nợ gốc thuê tài chính</t>
  </si>
  <si>
    <t>5. Tuyên bố về khả năng so sánh thông tin trên Báo cáo tài chính</t>
  </si>
  <si>
    <t>Số liệu so sánh báo cáo tài chính giữa quý I năm nay và năm trước có một số chỉ tiêu khác biệt, do Công ty điều chỉnh phân loại lại một số chỉ tiêu theo thông tư số 200/2014/TT-BTC ngày 22/12/2014 của Bộ Tài chính hướng dẫn Chế độ kế toán doanh nghiệp mới.</t>
  </si>
  <si>
    <t>TÓM TẮT CÁC CHÍNH SÁCH KẾ TOÁN CHỦ YẾU</t>
  </si>
  <si>
    <t>Thay đổi theo thông tư 200: 1388, 141, 334, 338, 2441 (ngắn hạn)</t>
  </si>
  <si>
    <t>Thay đổi theo thông tư 200: 1388, 141, 334, 338, 2442 (ngắn hạn)</t>
  </si>
  <si>
    <t>Thay đổi theo thông tư 200: TK 288 đầu tư khác (dài hạn)</t>
  </si>
  <si>
    <r>
      <t>10. Lợi nhuận thuần từ hoạt động kinh doanh 
     (</t>
    </r>
    <r>
      <rPr>
        <sz val="10"/>
        <rFont val="Arial"/>
        <family val="2"/>
      </rPr>
      <t>30=20+(21-22)-(25+26))</t>
    </r>
  </si>
  <si>
    <t>13. Lợi nhuận khác (40 = 31 - 32)
     (40=31-32)</t>
  </si>
  <si>
    <t>19. Lãi suy giảm trên cổ phiếu</t>
  </si>
  <si>
    <t>Các khoản điều chính khác</t>
  </si>
  <si>
    <t>17</t>
  </si>
  <si>
    <t>Ngắn hạn</t>
  </si>
  <si>
    <t>Phải thu người lao động</t>
  </si>
  <si>
    <t>Ký cược ký quỹ</t>
  </si>
  <si>
    <t>Các khoản chi hộ</t>
  </si>
  <si>
    <t>- Ứng tiền đền bù dự án Điện Nam Điện Ngọc</t>
  </si>
  <si>
    <t>- Ứng tiền đền bù cho dự án trường CĐYT Quảng Nam</t>
  </si>
  <si>
    <t>- Ứng tiền đền bù cho dự án cải thiện môi trường đô thị Tam Kỳ</t>
  </si>
  <si>
    <t>- Ứng tiền đền bù cho dự án Bộ Văn hóa Thể thao</t>
  </si>
  <si>
    <t>Dài hạn</t>
  </si>
  <si>
    <t>2.</t>
  </si>
  <si>
    <t>Cộng</t>
  </si>
  <si>
    <t>3.</t>
  </si>
  <si>
    <t>4.</t>
  </si>
  <si>
    <t>Đặt cọc tiền dự án Chung cư Trần Thị Lý</t>
  </si>
  <si>
    <t>TĂNG, GIẢM TÀI SẢN CỐ ĐỊNH HỮU HÌNH</t>
  </si>
  <si>
    <t>Tại ngày 01/01/2015</t>
  </si>
  <si>
    <t>5.</t>
  </si>
  <si>
    <t>Giá trị đầu tư 
tại 01/01/2015</t>
  </si>
  <si>
    <t>6.</t>
  </si>
  <si>
    <t>ĐẦU TƯ GÓP VỐN VÀO ĐƠN VỊ KHÁC</t>
  </si>
  <si>
    <t>7.</t>
  </si>
  <si>
    <t>8.</t>
  </si>
  <si>
    <t>9.</t>
  </si>
  <si>
    <t>Phải trả ngắn hạn</t>
  </si>
  <si>
    <t>PHẢI TRẢ KHÁC</t>
  </si>
  <si>
    <t>Vốn góp của chủ sở hữu</t>
  </si>
  <si>
    <t>Vốn khác</t>
  </si>
  <si>
    <t>của chủ</t>
  </si>
  <si>
    <t>sở hữu</t>
  </si>
  <si>
    <t xml:space="preserve">     Chi trả cổ tức thực hiện:</t>
  </si>
  <si>
    <t xml:space="preserve">CHI PHÍ TRẢ TRƯỚC </t>
  </si>
  <si>
    <t>Công cụ, dụng cụ xuất dùng</t>
  </si>
  <si>
    <t>Các khoản chi phí trả trước ngắn hạn khác</t>
  </si>
  <si>
    <t>PHẢI THU NGẮN HẠN KHÁC</t>
  </si>
  <si>
    <t xml:space="preserve">CHI PHÍ PHẢI TRẢ </t>
  </si>
  <si>
    <t>Chi phí phải trả ngắn hạn</t>
  </si>
  <si>
    <t>11.</t>
  </si>
  <si>
    <t>12.</t>
  </si>
  <si>
    <t>13.</t>
  </si>
  <si>
    <t xml:space="preserve">VAY VÀ NỢ THUÊ TÀI CHÍNH </t>
  </si>
  <si>
    <t>14.</t>
  </si>
  <si>
    <t>15.</t>
  </si>
  <si>
    <t>16.</t>
  </si>
  <si>
    <t>17.</t>
  </si>
  <si>
    <t xml:space="preserve">   7. Dự phòng phải thu dài hạn khó đòi</t>
  </si>
  <si>
    <t>hướng dẫn chế độ quản lý, sử dụng và trích khấu hao tài sản cố định</t>
  </si>
  <si>
    <t>Ngày 22 tháng 12 năm 2014, Bộ Tài chính đã ban hành Thông tư số 200/2014/TT-BTC hướng dẫn Chế độ kế toán doanh nghiệp. Thông tư này thay thế cho Chế độ kế toán doanh nghiệp ban hành theo Quyết định số 15/2006/QĐ-BTC ngày 20/3/2006 của Bộ trưởng Bộ Tài chính và Thông tư số 244/2009/TT-BTC ngày 31/12/2009 của Bộ Tài chính.</t>
  </si>
  <si>
    <t xml:space="preserve">Nợ dài hạn đến hạn trả </t>
  </si>
  <si>
    <t xml:space="preserve">   13. Quỹ phát triển khoa học và công nghệ</t>
  </si>
  <si>
    <t>Quý II năm 2015</t>
  </si>
  <si>
    <t>Quý II</t>
  </si>
  <si>
    <t>Tại ngày 30/06/2015</t>
  </si>
  <si>
    <t>Giá trị đầu tư 
tại 30/06/2015</t>
  </si>
  <si>
    <t>Ký cược dài hạn khác</t>
  </si>
  <si>
    <t>Bảo hiểm xã hội</t>
  </si>
  <si>
    <t>Tại ngày 30 tháng 06 năm 2015, vốn điều lệ đã được cổ đông góp đủ như sau:</t>
  </si>
  <si>
    <t>Quý II/2015</t>
  </si>
  <si>
    <t>Quý II/2014</t>
  </si>
  <si>
    <t>Đà Nẵng, ngày 20 tháng 07 năm 2015</t>
  </si>
  <si>
    <t>=</t>
  </si>
  <si>
    <t>Theo Nghị quyết số 01/2015/NQ-ĐHĐCĐ ngày 31 tháng 03 năm 2015, Đại hội đồng cổ đông đã thông qua phương án phân phối lợi nhuận năm 2014 như sau:</t>
  </si>
  <si>
    <t>Quý I/2014</t>
  </si>
  <si>
    <t>6 tháng đầu 2014</t>
  </si>
  <si>
    <t>3334/112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</si>
</sst>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4" formatCode="_(&quot;$&quot;* #,##0.00_);_(&quot;$&quot;* \(#,##0.00\);_(&quot;$&quot;* &quot;-&quot;??_);_(@_)"/>
    <numFmt numFmtId="43" formatCode="_(* #,##0.00_);_(* \(#,##0.00\);_(* &quot;-&quot;??_);_(@_)"/>
    <numFmt numFmtId="164" formatCode="#\ ###\ ###\ ###"/>
    <numFmt numFmtId="165" formatCode="#,###"/>
    <numFmt numFmtId="166" formatCode="0.0%"/>
    <numFmt numFmtId="167" formatCode="_(* #,###_);_(* \(#,##0\);_(* &quot;-&quot;_);_(@_)"/>
    <numFmt numFmtId="168" formatCode="_(* #,##0_);_(* \(#,##0\);_(* &quot;-&quot;??_);_(@_)"/>
    <numFmt numFmtId="169" formatCode="_(* #,##0.0000_);_(* \(#,##0.0000\);_(* &quot;-&quot;??_);_(@_)"/>
  </numFmts>
  <fonts count="31" x14ac:knownFonts="1">
    <font>
      <sz val="10"/>
      <name val="Arial"/>
    </font>
    <font>
      <sz val="8"/>
      <name val="Arial"/>
      <family val="2"/>
    </font>
    <font>
      <sz val="10"/>
      <name val=".VnTime"/>
      <family val="2"/>
    </font>
    <font>
      <sz val="12"/>
      <name val=".VnTime"/>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i/>
      <sz val="10"/>
      <name val="Arial"/>
      <family val="2"/>
    </font>
    <font>
      <b/>
      <sz val="10"/>
      <name val="Arial"/>
      <family val="2"/>
    </font>
    <font>
      <b/>
      <sz val="12"/>
      <name val="Arial"/>
      <family val="2"/>
    </font>
    <font>
      <b/>
      <i/>
      <sz val="10"/>
      <name val="Arial"/>
      <family val="2"/>
    </font>
    <font>
      <u/>
      <sz val="10"/>
      <name val="Arial"/>
      <family val="2"/>
    </font>
    <font>
      <b/>
      <sz val="9"/>
      <name val="Arial"/>
      <family val="2"/>
    </font>
    <font>
      <sz val="9"/>
      <name val="Arial"/>
      <family val="2"/>
    </font>
    <font>
      <sz val="1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52">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4" fontId="2"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3" fillId="0" borderId="0"/>
    <xf numFmtId="0" fontId="2" fillId="0" borderId="0"/>
    <xf numFmtId="0" fontId="9"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9" fontId="22" fillId="0" borderId="0" applyFont="0" applyFill="0" applyBorder="0" applyAlignment="0" applyProtection="0"/>
    <xf numFmtId="0" fontId="9" fillId="0" borderId="0"/>
    <xf numFmtId="0" fontId="9" fillId="0" borderId="0"/>
    <xf numFmtId="41" fontId="9" fillId="0" borderId="0" applyFont="0" applyFill="0" applyBorder="0" applyAlignment="0" applyProtection="0"/>
    <xf numFmtId="43" fontId="9" fillId="0" borderId="0" applyFont="0" applyFill="0" applyBorder="0" applyAlignment="0" applyProtection="0"/>
    <xf numFmtId="0" fontId="2" fillId="0" borderId="0"/>
    <xf numFmtId="43" fontId="30" fillId="0" borderId="0" applyFont="0" applyFill="0" applyBorder="0" applyAlignment="0" applyProtection="0"/>
  </cellStyleXfs>
  <cellXfs count="340">
    <xf numFmtId="0" fontId="0" fillId="0" borderId="0" xfId="0"/>
    <xf numFmtId="0" fontId="9" fillId="0" borderId="0" xfId="0" applyFont="1"/>
    <xf numFmtId="0" fontId="23" fillId="0" borderId="0" xfId="0" applyFont="1" applyAlignment="1">
      <alignment horizontal="center" vertical="center"/>
    </xf>
    <xf numFmtId="165" fontId="24" fillId="0" borderId="0" xfId="39" applyNumberFormat="1" applyFont="1" applyAlignment="1">
      <alignment horizontal="right"/>
    </xf>
    <xf numFmtId="165" fontId="9" fillId="0" borderId="0" xfId="0" applyNumberFormat="1" applyFont="1"/>
    <xf numFmtId="164" fontId="9" fillId="0" borderId="0" xfId="0" applyNumberFormat="1" applyFont="1"/>
    <xf numFmtId="165" fontId="24" fillId="0" borderId="0" xfId="39" applyNumberFormat="1" applyFont="1" applyBorder="1" applyAlignment="1">
      <alignment vertical="top"/>
    </xf>
    <xf numFmtId="165" fontId="9" fillId="0" borderId="0" xfId="39" applyNumberFormat="1" applyFont="1" applyBorder="1"/>
    <xf numFmtId="165" fontId="9" fillId="0" borderId="0" xfId="39" applyNumberFormat="1" applyFont="1" applyBorder="1" applyAlignment="1">
      <alignment vertical="top"/>
    </xf>
    <xf numFmtId="165" fontId="24" fillId="0" borderId="0" xfId="39" applyNumberFormat="1" applyFont="1" applyBorder="1" applyAlignment="1">
      <alignment horizontal="right"/>
    </xf>
    <xf numFmtId="165" fontId="9" fillId="0" borderId="11" xfId="39" applyNumberFormat="1" applyFont="1" applyBorder="1" applyAlignment="1">
      <alignment vertical="top"/>
    </xf>
    <xf numFmtId="165" fontId="9" fillId="0" borderId="11" xfId="39" applyNumberFormat="1" applyFont="1" applyBorder="1"/>
    <xf numFmtId="0" fontId="9" fillId="0" borderId="0" xfId="0" applyFont="1" applyAlignment="1">
      <alignment horizontal="right" vertical="center"/>
    </xf>
    <xf numFmtId="0" fontId="24" fillId="0" borderId="0" xfId="0" applyFont="1" applyBorder="1" applyAlignment="1">
      <alignment horizontal="left" vertical="center" wrapText="1"/>
    </xf>
    <xf numFmtId="0" fontId="24" fillId="0" borderId="0" xfId="0" applyFont="1" applyBorder="1" applyAlignment="1">
      <alignment horizontal="center" vertical="center" wrapText="1"/>
    </xf>
    <xf numFmtId="164" fontId="23" fillId="0" borderId="0" xfId="0" applyNumberFormat="1" applyFont="1" applyAlignment="1">
      <alignment horizontal="center"/>
    </xf>
    <xf numFmtId="164" fontId="24" fillId="0" borderId="0" xfId="0" applyNumberFormat="1" applyFont="1" applyAlignment="1">
      <alignment horizontal="left"/>
    </xf>
    <xf numFmtId="164" fontId="24" fillId="0" borderId="0" xfId="0" applyNumberFormat="1" applyFont="1" applyAlignment="1">
      <alignment horizontal="center"/>
    </xf>
    <xf numFmtId="165" fontId="24" fillId="0" borderId="0" xfId="39" applyNumberFormat="1" applyFont="1" applyAlignment="1">
      <alignment horizontal="left" indent="4"/>
    </xf>
    <xf numFmtId="165" fontId="23" fillId="0" borderId="0" xfId="39" applyNumberFormat="1" applyFont="1" applyAlignment="1">
      <alignment horizontal="left" vertical="top" wrapText="1" indent="2"/>
    </xf>
    <xf numFmtId="0" fontId="24" fillId="0" borderId="0" xfId="0" applyFont="1" applyBorder="1" applyAlignment="1">
      <alignment horizontal="center" vertical="top"/>
    </xf>
    <xf numFmtId="165" fontId="24" fillId="0" borderId="0" xfId="0" applyNumberFormat="1" applyFont="1" applyBorder="1" applyAlignment="1">
      <alignment vertical="top"/>
    </xf>
    <xf numFmtId="0" fontId="9" fillId="0" borderId="0" xfId="0" applyFont="1" applyBorder="1" applyAlignment="1">
      <alignment horizontal="center" vertical="top"/>
    </xf>
    <xf numFmtId="0" fontId="9" fillId="0" borderId="0" xfId="0" quotePrefix="1" applyFont="1" applyBorder="1" applyAlignment="1">
      <alignment horizontal="center" vertical="top"/>
    </xf>
    <xf numFmtId="0" fontId="24" fillId="0" borderId="0" xfId="0" quotePrefix="1" applyFont="1" applyBorder="1" applyAlignment="1">
      <alignment horizontal="center" vertical="top"/>
    </xf>
    <xf numFmtId="0" fontId="24" fillId="0" borderId="0" xfId="0" applyFont="1" applyBorder="1" applyAlignment="1">
      <alignment vertical="top" wrapText="1"/>
    </xf>
    <xf numFmtId="165" fontId="24" fillId="0" borderId="0" xfId="0" applyNumberFormat="1" applyFont="1" applyBorder="1" applyAlignment="1">
      <alignment horizontal="right" vertical="top"/>
    </xf>
    <xf numFmtId="0" fontId="9" fillId="0" borderId="0" xfId="0" applyFont="1" applyBorder="1" applyAlignment="1">
      <alignment vertical="top" wrapText="1"/>
    </xf>
    <xf numFmtId="0" fontId="24" fillId="0" borderId="0" xfId="0" applyFont="1" applyBorder="1" applyAlignment="1">
      <alignment horizontal="left" vertical="top" wrapText="1"/>
    </xf>
    <xf numFmtId="165" fontId="9" fillId="0" borderId="0" xfId="0" applyNumberFormat="1" applyFont="1" applyBorder="1" applyAlignment="1">
      <alignment horizontal="right" vertical="top"/>
    </xf>
    <xf numFmtId="0" fontId="24" fillId="0" borderId="0" xfId="0" applyFont="1" applyFill="1"/>
    <xf numFmtId="0" fontId="26" fillId="0" borderId="0" xfId="0" applyFont="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center" vertical="top" wrapText="1"/>
    </xf>
    <xf numFmtId="37" fontId="24" fillId="0" borderId="0" xfId="0" applyNumberFormat="1" applyFont="1" applyBorder="1" applyAlignment="1">
      <alignment vertical="top" wrapText="1"/>
    </xf>
    <xf numFmtId="0" fontId="24" fillId="0" borderId="0" xfId="0" applyFont="1"/>
    <xf numFmtId="0" fontId="9" fillId="0" borderId="0" xfId="0" applyFont="1" applyBorder="1" applyAlignment="1">
      <alignment horizontal="center" vertical="top" wrapText="1"/>
    </xf>
    <xf numFmtId="165" fontId="9" fillId="0" borderId="0" xfId="39" applyNumberFormat="1" applyFont="1" applyAlignment="1">
      <alignment horizontal="left" vertical="top" wrapText="1"/>
    </xf>
    <xf numFmtId="165" fontId="24" fillId="0" borderId="0" xfId="39" applyNumberFormat="1" applyFont="1" applyAlignment="1"/>
    <xf numFmtId="0" fontId="9" fillId="0" borderId="0" xfId="0" quotePrefix="1" applyFont="1" applyBorder="1" applyAlignment="1">
      <alignment horizontal="center" vertical="top" wrapText="1"/>
    </xf>
    <xf numFmtId="165" fontId="25" fillId="0" borderId="0" xfId="39" applyNumberFormat="1" applyFont="1" applyAlignment="1">
      <alignment vertical="top"/>
    </xf>
    <xf numFmtId="165" fontId="9" fillId="24" borderId="0" xfId="39" applyNumberFormat="1" applyFont="1" applyFill="1" applyAlignment="1">
      <alignment horizontal="right" vertical="top"/>
    </xf>
    <xf numFmtId="165" fontId="9" fillId="24" borderId="0" xfId="39" applyNumberFormat="1" applyFont="1" applyFill="1" applyAlignment="1">
      <alignment horizontal="right" vertical="top" wrapText="1"/>
    </xf>
    <xf numFmtId="165" fontId="24" fillId="24" borderId="0" xfId="39" applyNumberFormat="1" applyFont="1" applyFill="1" applyBorder="1" applyAlignment="1">
      <alignment horizontal="right" vertical="top"/>
    </xf>
    <xf numFmtId="165" fontId="24" fillId="24" borderId="0" xfId="39" applyNumberFormat="1" applyFont="1" applyFill="1" applyBorder="1" applyAlignment="1">
      <alignment vertical="top"/>
    </xf>
    <xf numFmtId="165" fontId="24" fillId="24" borderId="12" xfId="39" applyNumberFormat="1" applyFont="1" applyFill="1" applyBorder="1" applyAlignment="1">
      <alignment horizontal="right" vertical="top"/>
    </xf>
    <xf numFmtId="165" fontId="24" fillId="0" borderId="0" xfId="39" applyNumberFormat="1" applyFont="1" applyAlignment="1">
      <alignment vertical="top"/>
    </xf>
    <xf numFmtId="165" fontId="9" fillId="0" borderId="0" xfId="39" applyNumberFormat="1" applyFont="1" applyAlignment="1">
      <alignment vertical="top"/>
    </xf>
    <xf numFmtId="165" fontId="24" fillId="0" borderId="0" xfId="39" applyNumberFormat="1" applyFont="1" applyAlignment="1">
      <alignment horizontal="justify" vertical="top"/>
    </xf>
    <xf numFmtId="165" fontId="9" fillId="0" borderId="0" xfId="39" applyNumberFormat="1" applyFont="1" applyAlignment="1">
      <alignment horizontal="justify" vertical="top" wrapText="1"/>
    </xf>
    <xf numFmtId="165" fontId="26" fillId="0" borderId="0" xfId="39" applyNumberFormat="1" applyFont="1" applyAlignment="1">
      <alignment horizontal="justify" vertical="top" wrapText="1"/>
    </xf>
    <xf numFmtId="165" fontId="9" fillId="0" borderId="0" xfId="39" applyNumberFormat="1" applyFont="1" applyFill="1" applyAlignment="1">
      <alignment horizontal="justify" vertical="top" wrapText="1"/>
    </xf>
    <xf numFmtId="165" fontId="24" fillId="0" borderId="0" xfId="39" applyNumberFormat="1" applyFont="1" applyAlignment="1">
      <alignment horizontal="justify" vertical="top" wrapText="1"/>
    </xf>
    <xf numFmtId="165" fontId="24" fillId="0" borderId="0" xfId="39" applyNumberFormat="1" applyFont="1" applyAlignment="1">
      <alignment vertical="top" wrapText="1"/>
    </xf>
    <xf numFmtId="165" fontId="26" fillId="0" borderId="0" xfId="39" applyNumberFormat="1" applyFont="1" applyAlignment="1">
      <alignment vertical="top" wrapText="1"/>
    </xf>
    <xf numFmtId="165" fontId="27" fillId="0" borderId="0" xfId="39" applyNumberFormat="1" applyFont="1" applyAlignment="1">
      <alignment horizontal="center" vertical="top" wrapText="1"/>
    </xf>
    <xf numFmtId="165" fontId="27" fillId="0" borderId="0" xfId="39" applyNumberFormat="1" applyFont="1" applyAlignment="1">
      <alignment horizontal="right" vertical="top" wrapText="1"/>
    </xf>
    <xf numFmtId="165" fontId="27" fillId="0" borderId="0" xfId="39" applyNumberFormat="1" applyFont="1" applyAlignment="1">
      <alignment vertical="top" wrapText="1"/>
    </xf>
    <xf numFmtId="165" fontId="9" fillId="0" borderId="0" xfId="39" applyNumberFormat="1" applyFont="1" applyAlignment="1">
      <alignment horizontal="center" vertical="top" wrapText="1"/>
    </xf>
    <xf numFmtId="165" fontId="9" fillId="0" borderId="0" xfId="39" applyNumberFormat="1" applyFont="1" applyAlignment="1">
      <alignment horizontal="right" vertical="top" wrapText="1"/>
    </xf>
    <xf numFmtId="0" fontId="9" fillId="0" borderId="0" xfId="0" quotePrefix="1" applyFont="1" applyFill="1" applyAlignment="1">
      <alignment horizontal="right" vertical="top"/>
    </xf>
    <xf numFmtId="0" fontId="9" fillId="0" borderId="0" xfId="38" applyNumberFormat="1" applyFont="1" applyFill="1" applyBorder="1" applyAlignment="1">
      <alignment horizontal="right" vertical="top"/>
    </xf>
    <xf numFmtId="0" fontId="9" fillId="0" borderId="0" xfId="38" applyNumberFormat="1" applyFont="1" applyFill="1" applyBorder="1" applyAlignment="1">
      <alignment vertical="top"/>
    </xf>
    <xf numFmtId="165" fontId="9" fillId="0" borderId="0" xfId="39" applyNumberFormat="1" applyFont="1" applyAlignment="1">
      <alignment horizontal="right" vertical="top"/>
    </xf>
    <xf numFmtId="165" fontId="9" fillId="0" borderId="0" xfId="39" applyNumberFormat="1" applyFont="1" applyAlignment="1">
      <alignment vertical="top" wrapText="1"/>
    </xf>
    <xf numFmtId="165" fontId="24" fillId="24" borderId="0" xfId="39" applyNumberFormat="1" applyFont="1" applyFill="1" applyAlignment="1">
      <alignment vertical="top"/>
    </xf>
    <xf numFmtId="165" fontId="9" fillId="24" borderId="0" xfId="39" applyNumberFormat="1" applyFont="1" applyFill="1" applyAlignment="1">
      <alignment horizontal="justify" vertical="top"/>
    </xf>
    <xf numFmtId="165" fontId="9" fillId="24" borderId="0" xfId="39" applyNumberFormat="1" applyFont="1" applyFill="1" applyBorder="1" applyAlignment="1">
      <alignment horizontal="justify" vertical="top"/>
    </xf>
    <xf numFmtId="165" fontId="9" fillId="0" borderId="0" xfId="39" applyNumberFormat="1" applyFont="1" applyAlignment="1">
      <alignment horizontal="left" vertical="top"/>
    </xf>
    <xf numFmtId="165" fontId="9" fillId="24" borderId="0" xfId="39" applyNumberFormat="1" applyFont="1" applyFill="1" applyAlignment="1">
      <alignment vertical="top"/>
    </xf>
    <xf numFmtId="165" fontId="24" fillId="24" borderId="0" xfId="39" applyNumberFormat="1" applyFont="1" applyFill="1" applyAlignment="1">
      <alignment horizontal="left" vertical="top"/>
    </xf>
    <xf numFmtId="165" fontId="9" fillId="24" borderId="0" xfId="39" applyNumberFormat="1" applyFont="1" applyFill="1" applyAlignment="1">
      <alignment horizontal="left" vertical="top"/>
    </xf>
    <xf numFmtId="165" fontId="24" fillId="24" borderId="0" xfId="39" applyNumberFormat="1" applyFont="1" applyFill="1" applyAlignment="1">
      <alignment horizontal="justify" vertical="top"/>
    </xf>
    <xf numFmtId="165" fontId="24" fillId="0" borderId="0" xfId="39" applyNumberFormat="1" applyFont="1" applyAlignment="1">
      <alignment horizontal="right" vertical="top" wrapText="1"/>
    </xf>
    <xf numFmtId="165" fontId="24" fillId="0" borderId="11" xfId="39" applyNumberFormat="1" applyFont="1" applyBorder="1" applyAlignment="1">
      <alignment horizontal="right" vertical="top" wrapText="1"/>
    </xf>
    <xf numFmtId="165" fontId="24" fillId="0" borderId="0" xfId="39" applyNumberFormat="1" applyFont="1" applyBorder="1" applyAlignment="1">
      <alignment horizontal="right" vertical="top" wrapText="1"/>
    </xf>
    <xf numFmtId="165" fontId="29" fillId="24" borderId="0" xfId="39" applyNumberFormat="1" applyFont="1" applyFill="1" applyAlignment="1">
      <alignment horizontal="right" vertical="top"/>
    </xf>
    <xf numFmtId="165" fontId="29" fillId="24" borderId="0" xfId="39" applyNumberFormat="1" applyFont="1" applyFill="1" applyAlignment="1">
      <alignment horizontal="right" vertical="top" wrapText="1"/>
    </xf>
    <xf numFmtId="165" fontId="28" fillId="24" borderId="0" xfId="39" applyNumberFormat="1" applyFont="1" applyFill="1" applyBorder="1" applyAlignment="1">
      <alignment horizontal="right" vertical="top"/>
    </xf>
    <xf numFmtId="165" fontId="28" fillId="24" borderId="0" xfId="39" applyNumberFormat="1" applyFont="1" applyFill="1" applyBorder="1" applyAlignment="1">
      <alignment horizontal="right" vertical="top" wrapText="1"/>
    </xf>
    <xf numFmtId="165" fontId="28" fillId="24" borderId="0" xfId="39" applyNumberFormat="1" applyFont="1" applyFill="1" applyBorder="1" applyAlignment="1">
      <alignment vertical="top"/>
    </xf>
    <xf numFmtId="165" fontId="28" fillId="24" borderId="12" xfId="39" applyNumberFormat="1" applyFont="1" applyFill="1" applyBorder="1" applyAlignment="1">
      <alignment horizontal="right" vertical="top"/>
    </xf>
    <xf numFmtId="165" fontId="9" fillId="0" borderId="0" xfId="39" applyNumberFormat="1" applyFont="1" applyAlignment="1">
      <alignment horizontal="justify" vertical="top"/>
    </xf>
    <xf numFmtId="14" fontId="24" fillId="24" borderId="11" xfId="39" applyNumberFormat="1" applyFont="1" applyFill="1" applyBorder="1" applyAlignment="1">
      <alignment horizontal="right" vertical="top"/>
    </xf>
    <xf numFmtId="165" fontId="24" fillId="24" borderId="0" xfId="39" applyNumberFormat="1" applyFont="1" applyFill="1" applyAlignment="1">
      <alignment horizontal="right" vertical="top"/>
    </xf>
    <xf numFmtId="165" fontId="23" fillId="24" borderId="0" xfId="39" applyNumberFormat="1" applyFont="1" applyFill="1" applyAlignment="1">
      <alignment horizontal="right" vertical="top"/>
    </xf>
    <xf numFmtId="165" fontId="26" fillId="24" borderId="0" xfId="39" applyNumberFormat="1" applyFont="1" applyFill="1" applyAlignment="1">
      <alignment horizontal="right" vertical="top"/>
    </xf>
    <xf numFmtId="165" fontId="24" fillId="24" borderId="11" xfId="39" applyNumberFormat="1" applyFont="1" applyFill="1" applyBorder="1" applyAlignment="1">
      <alignment horizontal="right" vertical="top"/>
    </xf>
    <xf numFmtId="165" fontId="24" fillId="0" borderId="0" xfId="39" applyNumberFormat="1" applyFont="1" applyAlignment="1">
      <alignment horizontal="left" vertical="top"/>
    </xf>
    <xf numFmtId="165" fontId="24" fillId="24" borderId="0" xfId="39" applyNumberFormat="1" applyFont="1" applyFill="1" applyAlignment="1">
      <alignment horizontal="right" vertical="top" wrapText="1"/>
    </xf>
    <xf numFmtId="165" fontId="24" fillId="24" borderId="11" xfId="39" applyNumberFormat="1" applyFont="1" applyFill="1" applyBorder="1" applyAlignment="1">
      <alignment horizontal="right" vertical="top" wrapText="1"/>
    </xf>
    <xf numFmtId="165" fontId="9" fillId="0" borderId="10" xfId="39" applyNumberFormat="1" applyFont="1" applyBorder="1" applyAlignment="1">
      <alignment vertical="top"/>
    </xf>
    <xf numFmtId="165" fontId="29" fillId="24" borderId="0" xfId="39" applyNumberFormat="1" applyFont="1" applyFill="1" applyAlignment="1">
      <alignment vertical="top"/>
    </xf>
    <xf numFmtId="37" fontId="29" fillId="24" borderId="0" xfId="39" applyNumberFormat="1" applyFont="1" applyFill="1" applyBorder="1" applyAlignment="1">
      <alignment horizontal="right" vertical="top"/>
    </xf>
    <xf numFmtId="37" fontId="29" fillId="24" borderId="0" xfId="39" applyNumberFormat="1" applyFont="1" applyFill="1" applyBorder="1" applyAlignment="1">
      <alignment horizontal="right" vertical="top" wrapText="1"/>
    </xf>
    <xf numFmtId="165" fontId="28" fillId="24" borderId="0" xfId="39" applyNumberFormat="1" applyFont="1" applyFill="1" applyAlignment="1">
      <alignment vertical="top"/>
    </xf>
    <xf numFmtId="165" fontId="28" fillId="24" borderId="0" xfId="39" applyNumberFormat="1" applyFont="1" applyFill="1" applyAlignment="1">
      <alignment horizontal="left" vertical="top"/>
    </xf>
    <xf numFmtId="165" fontId="29" fillId="0" borderId="0" xfId="39" applyNumberFormat="1" applyFont="1" applyBorder="1" applyAlignment="1">
      <alignment vertical="top"/>
    </xf>
    <xf numFmtId="165" fontId="29" fillId="0" borderId="0" xfId="39" applyNumberFormat="1" applyFont="1" applyAlignment="1">
      <alignment vertical="top"/>
    </xf>
    <xf numFmtId="165" fontId="29" fillId="24" borderId="11" xfId="39" applyNumberFormat="1" applyFont="1" applyFill="1" applyBorder="1" applyAlignment="1">
      <alignment vertical="top"/>
    </xf>
    <xf numFmtId="165" fontId="28" fillId="24" borderId="10" xfId="39" applyNumberFormat="1" applyFont="1" applyFill="1" applyBorder="1" applyAlignment="1">
      <alignment horizontal="right" vertical="top"/>
    </xf>
    <xf numFmtId="165" fontId="28" fillId="24" borderId="10" xfId="39" applyNumberFormat="1" applyFont="1" applyFill="1" applyBorder="1" applyAlignment="1">
      <alignment vertical="top"/>
    </xf>
    <xf numFmtId="165" fontId="24" fillId="24" borderId="10" xfId="39" applyNumberFormat="1" applyFont="1" applyFill="1" applyBorder="1" applyAlignment="1">
      <alignment horizontal="right" vertical="top"/>
    </xf>
    <xf numFmtId="165" fontId="24" fillId="24" borderId="10" xfId="39" applyNumberFormat="1" applyFont="1" applyFill="1" applyBorder="1" applyAlignment="1">
      <alignment vertical="top"/>
    </xf>
    <xf numFmtId="165" fontId="24" fillId="24" borderId="11" xfId="39" applyNumberFormat="1" applyFont="1" applyFill="1" applyBorder="1" applyAlignment="1">
      <alignment vertical="top"/>
    </xf>
    <xf numFmtId="165" fontId="24" fillId="0" borderId="0" xfId="39" applyNumberFormat="1" applyFont="1" applyAlignment="1">
      <alignment horizontal="center" vertical="top" wrapText="1"/>
    </xf>
    <xf numFmtId="165" fontId="9" fillId="24" borderId="0" xfId="39" applyNumberFormat="1" applyFont="1" applyFill="1" applyAlignment="1">
      <alignment horizontal="center" vertical="top"/>
    </xf>
    <xf numFmtId="9" fontId="9" fillId="24" borderId="0" xfId="45" applyFont="1" applyFill="1" applyAlignment="1">
      <alignment horizontal="center" vertical="top"/>
    </xf>
    <xf numFmtId="166" fontId="9" fillId="24" borderId="0" xfId="45" applyNumberFormat="1" applyFont="1" applyFill="1" applyAlignment="1">
      <alignment horizontal="center" vertical="top"/>
    </xf>
    <xf numFmtId="165" fontId="9" fillId="0" borderId="0" xfId="39" applyNumberFormat="1" applyFont="1" applyBorder="1" applyAlignment="1">
      <alignment horizontal="left" vertical="top"/>
    </xf>
    <xf numFmtId="37" fontId="9" fillId="24" borderId="0" xfId="39" applyNumberFormat="1" applyFont="1" applyFill="1" applyAlignment="1">
      <alignment horizontal="right" vertical="top"/>
    </xf>
    <xf numFmtId="165" fontId="24" fillId="24" borderId="0" xfId="39" applyNumberFormat="1" applyFont="1" applyFill="1" applyBorder="1" applyAlignment="1">
      <alignment horizontal="left" vertical="top"/>
    </xf>
    <xf numFmtId="165" fontId="9" fillId="24" borderId="0" xfId="39" applyNumberFormat="1" applyFont="1" applyFill="1" applyBorder="1" applyAlignment="1">
      <alignment horizontal="right" vertical="top"/>
    </xf>
    <xf numFmtId="165" fontId="24" fillId="0" borderId="0" xfId="39" applyNumberFormat="1" applyFont="1" applyAlignment="1">
      <alignment horizontal="right" vertical="top"/>
    </xf>
    <xf numFmtId="165" fontId="24" fillId="0" borderId="11" xfId="39" applyNumberFormat="1" applyFont="1" applyBorder="1" applyAlignment="1">
      <alignment horizontal="right" vertical="top"/>
    </xf>
    <xf numFmtId="165" fontId="24" fillId="0" borderId="0" xfId="39" applyNumberFormat="1" applyFont="1" applyBorder="1" applyAlignment="1">
      <alignment horizontal="left" vertical="top"/>
    </xf>
    <xf numFmtId="165" fontId="24" fillId="0" borderId="0" xfId="39" applyNumberFormat="1" applyFont="1" applyBorder="1" applyAlignment="1">
      <alignment horizontal="right" vertical="top"/>
    </xf>
    <xf numFmtId="0" fontId="24" fillId="0" borderId="0" xfId="39" applyNumberFormat="1" applyFont="1" applyAlignment="1">
      <alignment horizontal="left" vertical="top"/>
    </xf>
    <xf numFmtId="0" fontId="9" fillId="0" borderId="0" xfId="0" applyFont="1" applyAlignment="1">
      <alignment vertical="top"/>
    </xf>
    <xf numFmtId="3" fontId="9" fillId="0" borderId="0" xfId="0" applyNumberFormat="1" applyFont="1" applyAlignment="1">
      <alignment horizontal="justify" vertical="top"/>
    </xf>
    <xf numFmtId="0" fontId="24" fillId="0" borderId="0" xfId="0" applyFont="1" applyAlignment="1">
      <alignment vertical="top"/>
    </xf>
    <xf numFmtId="165" fontId="9" fillId="0" borderId="0" xfId="39" applyNumberFormat="1" applyFont="1" applyAlignment="1">
      <alignment horizontal="center" vertical="top"/>
    </xf>
    <xf numFmtId="14" fontId="24" fillId="24" borderId="11" xfId="39" quotePrefix="1" applyNumberFormat="1" applyFont="1" applyFill="1" applyBorder="1" applyAlignment="1">
      <alignment horizontal="right" vertical="top"/>
    </xf>
    <xf numFmtId="37" fontId="23" fillId="24" borderId="0" xfId="39" applyNumberFormat="1" applyFont="1" applyFill="1" applyAlignment="1">
      <alignment horizontal="right" vertical="top"/>
    </xf>
    <xf numFmtId="3" fontId="9" fillId="0" borderId="0" xfId="0" applyNumberFormat="1" applyFont="1" applyAlignment="1">
      <alignment vertical="top"/>
    </xf>
    <xf numFmtId="41" fontId="9" fillId="0" borderId="0" xfId="48" applyFont="1" applyBorder="1" applyAlignment="1">
      <alignment vertical="top"/>
    </xf>
    <xf numFmtId="0" fontId="28" fillId="0" borderId="0" xfId="39" applyNumberFormat="1" applyFont="1" applyAlignment="1">
      <alignment horizontal="left" vertical="top"/>
    </xf>
    <xf numFmtId="0" fontId="29" fillId="0" borderId="0" xfId="39" applyNumberFormat="1" applyFont="1" applyAlignment="1">
      <alignment vertical="top"/>
    </xf>
    <xf numFmtId="165" fontId="29" fillId="0" borderId="0" xfId="39" applyNumberFormat="1" applyFont="1" applyAlignment="1">
      <alignment horizontal="right" vertical="top"/>
    </xf>
    <xf numFmtId="165" fontId="29" fillId="0" borderId="0" xfId="39" applyNumberFormat="1" applyFont="1" applyAlignment="1">
      <alignment horizontal="center" vertical="top"/>
    </xf>
    <xf numFmtId="165" fontId="28" fillId="24" borderId="12" xfId="39" applyNumberFormat="1" applyFont="1" applyFill="1" applyBorder="1" applyAlignment="1">
      <alignment horizontal="center" vertical="top"/>
    </xf>
    <xf numFmtId="165" fontId="24" fillId="24" borderId="0" xfId="39" applyNumberFormat="1" applyFont="1" applyFill="1" applyAlignment="1">
      <alignment horizontal="right" vertical="top"/>
    </xf>
    <xf numFmtId="165" fontId="24" fillId="24" borderId="11" xfId="39" applyNumberFormat="1" applyFont="1" applyFill="1" applyBorder="1" applyAlignment="1">
      <alignment horizontal="right" vertical="top"/>
    </xf>
    <xf numFmtId="165" fontId="9" fillId="0" borderId="11" xfId="39" applyNumberFormat="1" applyFont="1" applyBorder="1" applyAlignment="1">
      <alignment horizontal="right"/>
    </xf>
    <xf numFmtId="164" fontId="9" fillId="0" borderId="0" xfId="0" applyNumberFormat="1" applyFont="1" applyAlignment="1">
      <alignment horizontal="right"/>
    </xf>
    <xf numFmtId="167" fontId="9" fillId="0" borderId="0" xfId="0" applyNumberFormat="1" applyFont="1" applyBorder="1" applyAlignment="1">
      <alignment vertical="top"/>
    </xf>
    <xf numFmtId="167" fontId="9" fillId="0" borderId="0" xfId="0" applyNumberFormat="1" applyFont="1" applyBorder="1" applyAlignment="1">
      <alignment horizontal="right" vertical="top"/>
    </xf>
    <xf numFmtId="0" fontId="23" fillId="0" borderId="0" xfId="0" applyFont="1" applyAlignment="1">
      <alignment horizontal="center" vertical="center"/>
    </xf>
    <xf numFmtId="165" fontId="24" fillId="24" borderId="0" xfId="39" applyNumberFormat="1" applyFont="1" applyFill="1" applyAlignment="1">
      <alignment horizontal="right" vertical="top"/>
    </xf>
    <xf numFmtId="165" fontId="9" fillId="0" borderId="0" xfId="39" applyNumberFormat="1" applyFont="1" applyAlignment="1">
      <alignment vertical="top"/>
    </xf>
    <xf numFmtId="0" fontId="24" fillId="0" borderId="0" xfId="0" applyFont="1" applyBorder="1" applyAlignment="1">
      <alignment horizontal="right" wrapText="1"/>
    </xf>
    <xf numFmtId="37" fontId="9" fillId="0" borderId="0" xfId="0" applyNumberFormat="1" applyFont="1" applyBorder="1" applyAlignment="1">
      <alignment vertical="top"/>
    </xf>
    <xf numFmtId="166" fontId="24" fillId="0" borderId="0" xfId="45" applyNumberFormat="1" applyFont="1" applyFill="1" applyBorder="1" applyAlignment="1">
      <alignment vertical="top"/>
    </xf>
    <xf numFmtId="10" fontId="9" fillId="0" borderId="0" xfId="45" applyNumberFormat="1" applyFont="1" applyAlignment="1">
      <alignment vertical="top"/>
    </xf>
    <xf numFmtId="166" fontId="9" fillId="24" borderId="0" xfId="45" applyNumberFormat="1" applyFont="1" applyFill="1" applyAlignment="1">
      <alignment horizontal="right" vertical="top"/>
    </xf>
    <xf numFmtId="167" fontId="29" fillId="0" borderId="0" xfId="0" applyNumberFormat="1" applyFont="1" applyBorder="1" applyAlignment="1">
      <alignment horizontal="right" vertical="top"/>
    </xf>
    <xf numFmtId="167" fontId="28" fillId="0" borderId="0" xfId="0" applyNumberFormat="1" applyFont="1" applyBorder="1" applyAlignment="1">
      <alignment horizontal="right" vertical="top"/>
    </xf>
    <xf numFmtId="37" fontId="29" fillId="24" borderId="0" xfId="39" applyNumberFormat="1" applyFont="1" applyFill="1" applyBorder="1" applyAlignment="1">
      <alignment vertical="top"/>
    </xf>
    <xf numFmtId="167" fontId="28" fillId="0" borderId="13" xfId="0" applyNumberFormat="1" applyFont="1" applyBorder="1" applyAlignment="1">
      <alignment horizontal="right" vertical="top"/>
    </xf>
    <xf numFmtId="167" fontId="24" fillId="0" borderId="13" xfId="0" applyNumberFormat="1" applyFont="1" applyBorder="1" applyAlignment="1">
      <alignment horizontal="right" vertical="top"/>
    </xf>
    <xf numFmtId="167" fontId="28" fillId="0" borderId="12" xfId="0" applyNumberFormat="1" applyFont="1" applyBorder="1" applyAlignment="1">
      <alignment horizontal="right" vertical="top"/>
    </xf>
    <xf numFmtId="165" fontId="9" fillId="0" borderId="0" xfId="39" applyNumberFormat="1" applyFont="1" applyAlignment="1">
      <alignment vertical="top"/>
    </xf>
    <xf numFmtId="165" fontId="24" fillId="0" borderId="0" xfId="39" applyNumberFormat="1" applyFont="1" applyAlignment="1">
      <alignment horizontal="left" vertical="top" indent="2"/>
    </xf>
    <xf numFmtId="0" fontId="24" fillId="0" borderId="0" xfId="0" applyFont="1" applyBorder="1" applyAlignment="1">
      <alignment horizontal="right" vertical="center" wrapText="1"/>
    </xf>
    <xf numFmtId="165" fontId="9" fillId="0" borderId="0" xfId="39" applyNumberFormat="1" applyFont="1" applyAlignment="1">
      <alignment horizontal="left" vertical="top" indent="5"/>
    </xf>
    <xf numFmtId="165" fontId="24" fillId="0" borderId="0" xfId="39" applyNumberFormat="1" applyFont="1" applyAlignment="1">
      <alignment horizontal="left" vertical="top" indent="6"/>
    </xf>
    <xf numFmtId="165" fontId="24" fillId="0" borderId="0" xfId="39" applyNumberFormat="1" applyFont="1" applyAlignment="1">
      <alignment horizontal="left" vertical="top" indent="7"/>
    </xf>
    <xf numFmtId="165" fontId="9" fillId="0" borderId="0" xfId="39" applyNumberFormat="1" applyFont="1" applyAlignment="1">
      <alignment vertical="top"/>
    </xf>
    <xf numFmtId="165" fontId="24" fillId="0" borderId="0" xfId="39" applyNumberFormat="1" applyFont="1" applyAlignment="1">
      <alignment vertical="top"/>
    </xf>
    <xf numFmtId="165" fontId="24" fillId="24" borderId="0" xfId="39" applyNumberFormat="1" applyFont="1" applyFill="1" applyAlignment="1">
      <alignment horizontal="right" vertical="top"/>
    </xf>
    <xf numFmtId="165" fontId="24" fillId="0" borderId="0" xfId="39" applyNumberFormat="1" applyFont="1" applyBorder="1" applyAlignment="1">
      <alignment horizontal="right" vertical="top"/>
    </xf>
    <xf numFmtId="165" fontId="24" fillId="0" borderId="0" xfId="0" applyNumberFormat="1" applyFont="1" applyBorder="1" applyAlignment="1">
      <alignment vertical="top" wrapText="1"/>
    </xf>
    <xf numFmtId="165" fontId="9" fillId="24" borderId="0" xfId="50" applyNumberFormat="1" applyFont="1" applyFill="1" applyAlignment="1">
      <alignment horizontal="right" vertical="top"/>
    </xf>
    <xf numFmtId="168" fontId="9" fillId="0" borderId="0" xfId="51" applyNumberFormat="1" applyFont="1" applyBorder="1"/>
    <xf numFmtId="168" fontId="24" fillId="0" borderId="0" xfId="51" applyNumberFormat="1" applyFont="1" applyBorder="1" applyAlignment="1"/>
    <xf numFmtId="168" fontId="9" fillId="0" borderId="0" xfId="51" applyNumberFormat="1" applyFont="1" applyBorder="1" applyAlignment="1"/>
    <xf numFmtId="168" fontId="24" fillId="0" borderId="0" xfId="51" applyNumberFormat="1" applyFont="1" applyFill="1"/>
    <xf numFmtId="168" fontId="24" fillId="0" borderId="0" xfId="51" applyNumberFormat="1" applyFont="1"/>
    <xf numFmtId="165" fontId="24" fillId="0" borderId="0" xfId="39" applyNumberFormat="1" applyFont="1" applyAlignment="1">
      <alignment horizontal="center" vertical="top" wrapText="1"/>
    </xf>
    <xf numFmtId="165" fontId="24" fillId="0" borderId="0" xfId="39" applyNumberFormat="1" applyFont="1" applyAlignment="1">
      <alignment vertical="top"/>
    </xf>
    <xf numFmtId="165" fontId="9" fillId="0" borderId="0" xfId="39" applyNumberFormat="1" applyFont="1" applyAlignment="1">
      <alignment vertical="top"/>
    </xf>
    <xf numFmtId="165" fontId="9" fillId="0" borderId="0" xfId="39" applyNumberFormat="1" applyFont="1" applyBorder="1" applyAlignment="1">
      <alignment horizontal="left" vertical="top"/>
    </xf>
    <xf numFmtId="165" fontId="24" fillId="24" borderId="0" xfId="39" applyNumberFormat="1" applyFont="1" applyFill="1" applyAlignment="1">
      <alignment vertical="top"/>
    </xf>
    <xf numFmtId="165" fontId="9" fillId="24" borderId="0" xfId="39" applyNumberFormat="1" applyFont="1" applyFill="1" applyAlignment="1">
      <alignment horizontal="left" vertical="top"/>
    </xf>
    <xf numFmtId="168" fontId="9" fillId="0" borderId="0" xfId="51" applyNumberFormat="1" applyFont="1"/>
    <xf numFmtId="167" fontId="9" fillId="0" borderId="0" xfId="0" applyNumberFormat="1" applyFont="1" applyFill="1" applyBorder="1" applyAlignment="1">
      <alignment vertical="top"/>
    </xf>
    <xf numFmtId="165" fontId="24" fillId="0" borderId="0" xfId="39" applyNumberFormat="1" applyFont="1" applyAlignment="1">
      <alignment horizontal="center" vertical="top"/>
    </xf>
    <xf numFmtId="165" fontId="9" fillId="0" borderId="0" xfId="39" applyNumberFormat="1" applyFont="1" applyFill="1" applyAlignment="1">
      <alignment horizontal="right" vertical="top"/>
    </xf>
    <xf numFmtId="9" fontId="9" fillId="0" borderId="0" xfId="45" applyFont="1" applyFill="1" applyAlignment="1">
      <alignment horizontal="right" vertical="top"/>
    </xf>
    <xf numFmtId="165" fontId="24" fillId="0" borderId="10" xfId="39" applyNumberFormat="1" applyFont="1" applyFill="1" applyBorder="1" applyAlignment="1">
      <alignment horizontal="right" vertical="top"/>
    </xf>
    <xf numFmtId="165" fontId="24" fillId="0" borderId="0" xfId="39" applyNumberFormat="1" applyFont="1" applyFill="1" applyBorder="1" applyAlignment="1">
      <alignment horizontal="right" vertical="top"/>
    </xf>
    <xf numFmtId="165" fontId="24" fillId="0" borderId="0" xfId="39" applyNumberFormat="1" applyFont="1" applyFill="1" applyAlignment="1">
      <alignment horizontal="right" vertical="top"/>
    </xf>
    <xf numFmtId="165" fontId="24" fillId="0" borderId="12" xfId="39" applyNumberFormat="1" applyFont="1" applyFill="1" applyBorder="1" applyAlignment="1">
      <alignment horizontal="right" vertical="top"/>
    </xf>
    <xf numFmtId="165" fontId="9" fillId="0" borderId="0" xfId="39" applyNumberFormat="1" applyFont="1" applyAlignment="1">
      <alignment vertical="top"/>
    </xf>
    <xf numFmtId="165" fontId="24" fillId="0" borderId="0" xfId="0" applyNumberFormat="1" applyFont="1" applyFill="1" applyBorder="1" applyAlignment="1">
      <alignment vertical="top"/>
    </xf>
    <xf numFmtId="9" fontId="9" fillId="0" borderId="0" xfId="45" applyFont="1" applyAlignment="1">
      <alignment vertical="top"/>
    </xf>
    <xf numFmtId="165" fontId="9" fillId="0" borderId="0" xfId="39" applyNumberFormat="1" applyFont="1" applyAlignment="1">
      <alignment horizontal="justify" vertical="top" wrapText="1"/>
    </xf>
    <xf numFmtId="165" fontId="9" fillId="0" borderId="0" xfId="0" applyNumberFormat="1" applyFont="1" applyFill="1" applyAlignment="1">
      <alignment horizontal="left" vertical="top" wrapText="1"/>
    </xf>
    <xf numFmtId="165" fontId="24" fillId="0" borderId="0" xfId="39" applyNumberFormat="1" applyFont="1" applyAlignment="1">
      <alignment vertical="top"/>
    </xf>
    <xf numFmtId="165" fontId="9" fillId="0" borderId="0" xfId="39" applyNumberFormat="1" applyFont="1" applyAlignment="1">
      <alignment vertical="top"/>
    </xf>
    <xf numFmtId="165" fontId="24" fillId="0" borderId="0" xfId="0" applyNumberFormat="1" applyFont="1" applyFill="1" applyAlignment="1">
      <alignment horizontal="left" vertical="top" wrapText="1"/>
    </xf>
    <xf numFmtId="165" fontId="24" fillId="0" borderId="0" xfId="0" applyNumberFormat="1" applyFont="1" applyFill="1" applyAlignment="1">
      <alignment horizontal="left" vertical="top" wrapText="1"/>
    </xf>
    <xf numFmtId="165" fontId="9" fillId="0" borderId="0" xfId="0" applyNumberFormat="1" applyFont="1" applyFill="1" applyAlignment="1">
      <alignment horizontal="left" vertical="top" wrapText="1"/>
    </xf>
    <xf numFmtId="165" fontId="9" fillId="0" borderId="0" xfId="39" applyNumberFormat="1" applyFont="1" applyAlignment="1">
      <alignment horizontal="justify" vertical="top" wrapText="1"/>
    </xf>
    <xf numFmtId="165" fontId="9" fillId="24" borderId="0" xfId="39" applyNumberFormat="1" applyFont="1" applyFill="1" applyAlignment="1">
      <alignment vertical="top"/>
    </xf>
    <xf numFmtId="165" fontId="24" fillId="24" borderId="0" xfId="39" applyNumberFormat="1" applyFont="1" applyFill="1" applyAlignment="1">
      <alignment vertical="top"/>
    </xf>
    <xf numFmtId="165" fontId="24" fillId="0" borderId="0" xfId="39" applyNumberFormat="1" applyFont="1" applyAlignment="1">
      <alignment vertical="top"/>
    </xf>
    <xf numFmtId="165" fontId="9" fillId="0" borderId="0" xfId="39" applyNumberFormat="1" applyFont="1" applyAlignment="1">
      <alignment vertical="top"/>
    </xf>
    <xf numFmtId="165" fontId="9" fillId="0" borderId="0" xfId="39" applyNumberFormat="1" applyFont="1" applyFill="1" applyAlignment="1">
      <alignment vertical="top"/>
    </xf>
    <xf numFmtId="165" fontId="9" fillId="24" borderId="0" xfId="39" applyNumberFormat="1" applyFont="1" applyFill="1" applyAlignment="1">
      <alignment vertical="top"/>
    </xf>
    <xf numFmtId="165" fontId="24" fillId="24" borderId="0" xfId="39" applyNumberFormat="1" applyFont="1" applyFill="1" applyAlignment="1">
      <alignment horizontal="left" vertical="top"/>
    </xf>
    <xf numFmtId="165" fontId="24" fillId="24" borderId="0" xfId="39" applyNumberFormat="1" applyFont="1" applyFill="1" applyAlignment="1">
      <alignment horizontal="right" vertical="top"/>
    </xf>
    <xf numFmtId="165" fontId="9" fillId="0" borderId="0" xfId="39" applyNumberFormat="1" applyFont="1" applyAlignment="1">
      <alignment vertical="top"/>
    </xf>
    <xf numFmtId="165" fontId="23" fillId="0" borderId="0" xfId="39" applyNumberFormat="1" applyFont="1" applyAlignment="1">
      <alignment vertical="top"/>
    </xf>
    <xf numFmtId="0" fontId="9" fillId="0" borderId="0" xfId="0" applyFont="1" applyFill="1" applyBorder="1" applyAlignment="1">
      <alignment vertical="top"/>
    </xf>
    <xf numFmtId="0" fontId="9" fillId="0" borderId="0" xfId="0" applyFont="1" applyFill="1" applyBorder="1" applyAlignment="1">
      <alignment horizontal="center" vertical="top"/>
    </xf>
    <xf numFmtId="167" fontId="9" fillId="0" borderId="0" xfId="0" applyNumberFormat="1" applyFont="1" applyFill="1"/>
    <xf numFmtId="0" fontId="9" fillId="0" borderId="0" xfId="0" applyFont="1" applyFill="1"/>
    <xf numFmtId="168" fontId="9" fillId="0" borderId="0" xfId="51" applyNumberFormat="1" applyFont="1" applyFill="1"/>
    <xf numFmtId="0" fontId="24" fillId="0" borderId="0" xfId="0" applyFont="1" applyFill="1" applyBorder="1" applyAlignment="1">
      <alignment vertical="top" wrapText="1"/>
    </xf>
    <xf numFmtId="0" fontId="24" fillId="0" borderId="0" xfId="0" applyFont="1" applyFill="1" applyBorder="1" applyAlignment="1">
      <alignment horizontal="center" vertical="top"/>
    </xf>
    <xf numFmtId="165" fontId="24" fillId="0" borderId="0" xfId="39" applyNumberFormat="1" applyFont="1" applyAlignment="1">
      <alignment horizontal="center" vertical="top" wrapText="1"/>
    </xf>
    <xf numFmtId="165" fontId="9" fillId="0" borderId="0" xfId="39" applyNumberFormat="1" applyFont="1" applyAlignment="1">
      <alignment vertical="top"/>
    </xf>
    <xf numFmtId="165" fontId="24" fillId="24" borderId="0" xfId="39" applyNumberFormat="1" applyFont="1" applyFill="1" applyAlignment="1">
      <alignment horizontal="right" vertical="top"/>
    </xf>
    <xf numFmtId="165" fontId="23" fillId="24" borderId="0" xfId="39" quotePrefix="1" applyNumberFormat="1" applyFont="1" applyFill="1" applyAlignment="1">
      <alignment vertical="top"/>
    </xf>
    <xf numFmtId="165" fontId="23" fillId="0" borderId="0" xfId="39" applyNumberFormat="1" applyFont="1" applyBorder="1" applyAlignment="1">
      <alignment vertical="top"/>
    </xf>
    <xf numFmtId="165" fontId="23" fillId="0" borderId="0" xfId="39" applyNumberFormat="1" applyFont="1" applyFill="1" applyAlignment="1">
      <alignment horizontal="right" vertical="top"/>
    </xf>
    <xf numFmtId="165" fontId="23" fillId="24" borderId="0" xfId="39" applyNumberFormat="1" applyFont="1" applyFill="1" applyBorder="1" applyAlignment="1">
      <alignment horizontal="right" vertical="top"/>
    </xf>
    <xf numFmtId="165" fontId="23" fillId="0" borderId="0" xfId="39" quotePrefix="1" applyNumberFormat="1" applyFont="1" applyAlignment="1">
      <alignment vertical="top"/>
    </xf>
    <xf numFmtId="165" fontId="9" fillId="0" borderId="0" xfId="39" applyNumberFormat="1" applyFont="1" applyAlignment="1">
      <alignment horizontal="justify" vertical="top" wrapText="1"/>
    </xf>
    <xf numFmtId="165" fontId="24" fillId="24" borderId="0" xfId="39" applyNumberFormat="1" applyFont="1" applyFill="1" applyAlignment="1">
      <alignment horizontal="left" vertical="top"/>
    </xf>
    <xf numFmtId="165" fontId="24" fillId="24" borderId="0" xfId="39" applyNumberFormat="1" applyFont="1" applyFill="1" applyAlignment="1">
      <alignment horizontal="right" vertical="top"/>
    </xf>
    <xf numFmtId="165" fontId="24" fillId="0" borderId="0" xfId="39" applyNumberFormat="1" applyFont="1" applyAlignment="1">
      <alignment vertical="top"/>
    </xf>
    <xf numFmtId="165" fontId="9" fillId="0" borderId="0" xfId="39" applyNumberFormat="1" applyFont="1" applyAlignment="1">
      <alignment vertical="top"/>
    </xf>
    <xf numFmtId="0" fontId="9" fillId="0" borderId="0" xfId="0" quotePrefix="1" applyFont="1" applyFill="1" applyBorder="1" applyAlignment="1">
      <alignment horizontal="center" vertical="top"/>
    </xf>
    <xf numFmtId="165" fontId="24" fillId="0" borderId="12" xfId="39" applyNumberFormat="1" applyFont="1" applyBorder="1" applyAlignment="1">
      <alignment horizontal="right" vertical="top"/>
    </xf>
    <xf numFmtId="165" fontId="24" fillId="0" borderId="0" xfId="39" applyNumberFormat="1" applyFont="1" applyFill="1" applyAlignment="1">
      <alignment horizontal="justify" vertical="top"/>
    </xf>
    <xf numFmtId="165" fontId="24" fillId="0" borderId="0" xfId="39" applyNumberFormat="1" applyFont="1" applyFill="1" applyAlignment="1">
      <alignment vertical="top"/>
    </xf>
    <xf numFmtId="165" fontId="9" fillId="0" borderId="0" xfId="39" applyNumberFormat="1" applyFont="1" applyFill="1" applyBorder="1" applyAlignment="1">
      <alignment horizontal="right" vertical="top"/>
    </xf>
    <xf numFmtId="165" fontId="9" fillId="0" borderId="0" xfId="39" applyNumberFormat="1" applyFont="1" applyFill="1" applyAlignment="1">
      <alignment horizontal="left" vertical="top"/>
    </xf>
    <xf numFmtId="37" fontId="9" fillId="0" borderId="0" xfId="39" applyNumberFormat="1" applyFont="1" applyFill="1" applyAlignment="1">
      <alignment horizontal="right" vertical="top"/>
    </xf>
    <xf numFmtId="165" fontId="24" fillId="0" borderId="12" xfId="39" applyNumberFormat="1" applyFont="1" applyBorder="1" applyAlignment="1">
      <alignment vertical="top"/>
    </xf>
    <xf numFmtId="10" fontId="9" fillId="0" borderId="0" xfId="45" applyNumberFormat="1" applyFont="1"/>
    <xf numFmtId="9" fontId="9" fillId="0" borderId="0" xfId="45" applyFont="1"/>
    <xf numFmtId="165" fontId="9" fillId="0" borderId="0" xfId="39" applyNumberFormat="1" applyFont="1" applyAlignment="1">
      <alignment vertical="top"/>
    </xf>
    <xf numFmtId="165" fontId="9" fillId="24" borderId="0" xfId="39" applyNumberFormat="1" applyFont="1" applyFill="1" applyAlignment="1">
      <alignment vertical="top"/>
    </xf>
    <xf numFmtId="165" fontId="9" fillId="0" borderId="0" xfId="39" applyNumberFormat="1" applyFont="1" applyFill="1" applyBorder="1"/>
    <xf numFmtId="165" fontId="9" fillId="0" borderId="11" xfId="39" applyNumberFormat="1" applyFont="1" applyFill="1" applyBorder="1"/>
    <xf numFmtId="164" fontId="9" fillId="0" borderId="0" xfId="0" applyNumberFormat="1" applyFont="1" applyFill="1"/>
    <xf numFmtId="0" fontId="23" fillId="0" borderId="0" xfId="0" quotePrefix="1" applyFont="1" applyFill="1" applyAlignment="1">
      <alignment horizontal="center" vertical="center"/>
    </xf>
    <xf numFmtId="14" fontId="24" fillId="0" borderId="11" xfId="0" applyNumberFormat="1" applyFont="1" applyFill="1" applyBorder="1" applyAlignment="1">
      <alignment horizontal="right" vertical="center" wrapText="1"/>
    </xf>
    <xf numFmtId="14" fontId="24" fillId="0" borderId="0" xfId="0" applyNumberFormat="1" applyFont="1" applyFill="1" applyBorder="1" applyAlignment="1">
      <alignment horizontal="center" vertical="center" wrapText="1"/>
    </xf>
    <xf numFmtId="167" fontId="24" fillId="0" borderId="0" xfId="0" applyNumberFormat="1" applyFont="1" applyFill="1" applyBorder="1" applyAlignment="1">
      <alignment horizontal="right" vertical="top"/>
    </xf>
    <xf numFmtId="167" fontId="24" fillId="0" borderId="0" xfId="0" applyNumberFormat="1" applyFont="1" applyFill="1" applyBorder="1" applyAlignment="1">
      <alignment vertical="top"/>
    </xf>
    <xf numFmtId="167" fontId="9" fillId="0" borderId="0" xfId="0" applyNumberFormat="1" applyFont="1" applyFill="1" applyBorder="1" applyAlignment="1">
      <alignment horizontal="right" vertical="top"/>
    </xf>
    <xf numFmtId="167" fontId="23" fillId="0" borderId="0" xfId="0" applyNumberFormat="1" applyFont="1" applyFill="1" applyBorder="1" applyAlignment="1">
      <alignment vertical="top"/>
    </xf>
    <xf numFmtId="167" fontId="24" fillId="0" borderId="0" xfId="0" applyNumberFormat="1" applyFont="1" applyFill="1" applyBorder="1" applyAlignment="1">
      <alignment horizontal="right"/>
    </xf>
    <xf numFmtId="167" fontId="24" fillId="0" borderId="0" xfId="0" applyNumberFormat="1" applyFont="1" applyFill="1" applyBorder="1" applyAlignment="1">
      <alignment horizontal="right" vertical="center"/>
    </xf>
    <xf numFmtId="164" fontId="9" fillId="0" borderId="0" xfId="0" applyNumberFormat="1" applyFont="1" applyFill="1" applyAlignment="1">
      <alignment horizontal="right"/>
    </xf>
    <xf numFmtId="164" fontId="24" fillId="0" borderId="0" xfId="0" applyNumberFormat="1" applyFont="1" applyFill="1" applyAlignment="1">
      <alignment horizontal="center"/>
    </xf>
    <xf numFmtId="165" fontId="9" fillId="0" borderId="0" xfId="39" applyNumberFormat="1" applyFont="1" applyAlignment="1">
      <alignment vertical="top"/>
    </xf>
    <xf numFmtId="165" fontId="24" fillId="24" borderId="0" xfId="39" applyNumberFormat="1" applyFont="1" applyFill="1" applyAlignment="1">
      <alignment horizontal="left" vertical="top"/>
    </xf>
    <xf numFmtId="165" fontId="24" fillId="24" borderId="0" xfId="39" applyNumberFormat="1" applyFont="1" applyFill="1" applyAlignment="1">
      <alignment horizontal="right" vertical="top"/>
    </xf>
    <xf numFmtId="165" fontId="9" fillId="0" borderId="0" xfId="39" applyNumberFormat="1" applyFont="1" applyAlignment="1">
      <alignment horizontal="center" vertical="top"/>
    </xf>
    <xf numFmtId="165" fontId="9" fillId="0" borderId="0" xfId="39" applyNumberFormat="1" applyFont="1" applyAlignment="1">
      <alignment vertical="top"/>
    </xf>
    <xf numFmtId="169" fontId="9" fillId="0" borderId="0" xfId="51" applyNumberFormat="1" applyFont="1"/>
    <xf numFmtId="10" fontId="9" fillId="0" borderId="0" xfId="45" applyNumberFormat="1" applyFont="1" applyAlignment="1">
      <alignment vertical="center"/>
    </xf>
    <xf numFmtId="9" fontId="9" fillId="0" borderId="0" xfId="45" applyNumberFormat="1" applyFont="1"/>
    <xf numFmtId="37" fontId="9" fillId="0" borderId="0" xfId="0" applyNumberFormat="1" applyFont="1"/>
    <xf numFmtId="168" fontId="24" fillId="0" borderId="0" xfId="51" quotePrefix="1" applyNumberFormat="1" applyFont="1"/>
    <xf numFmtId="165" fontId="24" fillId="0" borderId="0" xfId="39" applyNumberFormat="1" applyFont="1" applyFill="1" applyBorder="1" applyAlignment="1">
      <alignment vertical="top"/>
    </xf>
    <xf numFmtId="165" fontId="9" fillId="0" borderId="0" xfId="39" applyNumberFormat="1" applyFont="1" applyFill="1" applyBorder="1" applyAlignment="1">
      <alignment horizontal="right"/>
    </xf>
    <xf numFmtId="165" fontId="9" fillId="0" borderId="0" xfId="39" applyNumberFormat="1" applyFont="1" applyFill="1" applyBorder="1" applyAlignment="1">
      <alignment vertical="top"/>
    </xf>
    <xf numFmtId="165" fontId="24" fillId="0" borderId="0" xfId="39" applyNumberFormat="1" applyFont="1" applyFill="1" applyBorder="1" applyAlignment="1">
      <alignment horizontal="right"/>
    </xf>
    <xf numFmtId="165" fontId="9" fillId="0" borderId="11" xfId="39" applyNumberFormat="1" applyFont="1" applyFill="1" applyBorder="1" applyAlignment="1">
      <alignment vertical="top"/>
    </xf>
    <xf numFmtId="165" fontId="9" fillId="0" borderId="11" xfId="39" applyNumberFormat="1" applyFont="1" applyFill="1" applyBorder="1" applyAlignment="1">
      <alignment horizontal="right"/>
    </xf>
    <xf numFmtId="165" fontId="9" fillId="0" borderId="0" xfId="39" applyNumberFormat="1" applyFont="1" applyFill="1" applyBorder="1" applyAlignment="1"/>
    <xf numFmtId="0" fontId="23" fillId="0" borderId="0" xfId="0" applyFont="1" applyFill="1" applyAlignment="1">
      <alignment horizontal="center" vertical="center"/>
    </xf>
    <xf numFmtId="165" fontId="24" fillId="0" borderId="0" xfId="39" applyNumberFormat="1" applyFont="1" applyFill="1" applyAlignment="1">
      <alignment horizontal="right"/>
    </xf>
    <xf numFmtId="0" fontId="9" fillId="0" borderId="0" xfId="0" applyFont="1" applyFill="1" applyAlignment="1">
      <alignment horizontal="right" vertical="center"/>
    </xf>
    <xf numFmtId="0" fontId="24" fillId="0" borderId="0" xfId="0" applyFont="1" applyFill="1" applyBorder="1" applyAlignment="1">
      <alignment horizontal="left" vertical="center" wrapText="1"/>
    </xf>
    <xf numFmtId="0" fontId="24" fillId="0" borderId="0" xfId="0" applyFont="1" applyFill="1" applyBorder="1" applyAlignment="1">
      <alignment horizontal="center" vertical="center" wrapText="1"/>
    </xf>
    <xf numFmtId="14" fontId="24" fillId="0" borderId="0" xfId="0" applyNumberFormat="1" applyFont="1" applyFill="1" applyBorder="1" applyAlignment="1">
      <alignment horizontal="right" vertical="center" wrapText="1"/>
    </xf>
    <xf numFmtId="0" fontId="24" fillId="0" borderId="0" xfId="0" applyFont="1" applyFill="1" applyBorder="1" applyAlignment="1">
      <alignment vertical="top"/>
    </xf>
    <xf numFmtId="10" fontId="9" fillId="0" borderId="0" xfId="45" applyNumberFormat="1" applyFont="1" applyFill="1"/>
    <xf numFmtId="0" fontId="24" fillId="0" borderId="0" xfId="0" quotePrefix="1" applyFont="1" applyFill="1" applyBorder="1" applyAlignment="1">
      <alignment horizontal="center" vertical="top"/>
    </xf>
    <xf numFmtId="43" fontId="9" fillId="0" borderId="0" xfId="51" applyFont="1" applyFill="1"/>
    <xf numFmtId="0" fontId="23" fillId="0" borderId="0" xfId="0" applyFont="1" applyFill="1" applyBorder="1" applyAlignment="1">
      <alignment vertical="top"/>
    </xf>
    <xf numFmtId="0" fontId="23" fillId="0" borderId="0" xfId="0" applyFont="1" applyFill="1" applyBorder="1" applyAlignment="1">
      <alignment horizontal="center" vertical="top"/>
    </xf>
    <xf numFmtId="0" fontId="24" fillId="0" borderId="0" xfId="0" applyFont="1" applyFill="1" applyBorder="1" applyAlignment="1"/>
    <xf numFmtId="167" fontId="24" fillId="0" borderId="0" xfId="0" applyNumberFormat="1" applyFont="1" applyFill="1"/>
    <xf numFmtId="0" fontId="24" fillId="0" borderId="0" xfId="0" applyFont="1" applyFill="1" applyBorder="1" applyAlignment="1">
      <alignment horizontal="center"/>
    </xf>
    <xf numFmtId="168" fontId="9" fillId="0" borderId="0" xfId="0" applyNumberFormat="1" applyFont="1" applyFill="1"/>
    <xf numFmtId="167" fontId="23" fillId="0" borderId="0" xfId="0" applyNumberFormat="1" applyFont="1" applyFill="1"/>
    <xf numFmtId="0" fontId="23" fillId="0" borderId="0" xfId="0" applyFont="1" applyFill="1"/>
    <xf numFmtId="0" fontId="24" fillId="0" borderId="0" xfId="0" applyFont="1" applyFill="1" applyBorder="1" applyAlignment="1">
      <alignment vertical="center"/>
    </xf>
    <xf numFmtId="0" fontId="24" fillId="0" borderId="0" xfId="0" applyFont="1" applyFill="1" applyBorder="1" applyAlignment="1">
      <alignment horizontal="center" vertical="center"/>
    </xf>
    <xf numFmtId="164" fontId="24" fillId="0" borderId="0" xfId="0" applyNumberFormat="1" applyFont="1" applyFill="1" applyAlignment="1">
      <alignment horizontal="left"/>
    </xf>
    <xf numFmtId="165" fontId="23" fillId="0" borderId="0" xfId="39" applyNumberFormat="1" applyFont="1" applyFill="1" applyAlignment="1">
      <alignment horizontal="left" vertical="top" wrapText="1" indent="2"/>
    </xf>
    <xf numFmtId="0" fontId="9" fillId="0" borderId="0" xfId="0" applyFont="1" applyFill="1" applyAlignment="1">
      <alignment horizontal="right"/>
    </xf>
    <xf numFmtId="0" fontId="25" fillId="0" borderId="0" xfId="0" applyFont="1" applyFill="1" applyAlignment="1">
      <alignment horizontal="center"/>
    </xf>
    <xf numFmtId="0" fontId="23" fillId="0" borderId="0" xfId="0" applyFont="1" applyFill="1" applyAlignment="1">
      <alignment horizontal="center" vertical="center"/>
    </xf>
    <xf numFmtId="0" fontId="23" fillId="0" borderId="0" xfId="0" quotePrefix="1" applyFont="1" applyFill="1" applyAlignment="1">
      <alignment horizontal="center" vertical="center"/>
    </xf>
    <xf numFmtId="165" fontId="23" fillId="0" borderId="0" xfId="39" applyNumberFormat="1" applyFont="1" applyFill="1" applyAlignment="1">
      <alignment horizontal="center" vertical="top" wrapText="1"/>
    </xf>
    <xf numFmtId="165" fontId="24" fillId="0" borderId="0" xfId="39" applyNumberFormat="1" applyFont="1" applyFill="1" applyAlignment="1">
      <alignment horizontal="center" vertical="top" wrapText="1"/>
    </xf>
    <xf numFmtId="165" fontId="23" fillId="0" borderId="0" xfId="39" applyNumberFormat="1" applyFont="1" applyAlignment="1">
      <alignment horizontal="center" vertical="top" wrapText="1"/>
    </xf>
    <xf numFmtId="165" fontId="24" fillId="0" borderId="0" xfId="39" applyNumberFormat="1" applyFont="1" applyAlignment="1">
      <alignment horizontal="center" vertical="top" wrapText="1"/>
    </xf>
    <xf numFmtId="0" fontId="25" fillId="0" borderId="0" xfId="0" applyFont="1" applyAlignment="1">
      <alignment horizontal="center"/>
    </xf>
    <xf numFmtId="0" fontId="23" fillId="0" borderId="0" xfId="0" applyFont="1" applyAlignment="1">
      <alignment horizontal="center" vertical="center"/>
    </xf>
    <xf numFmtId="0" fontId="24" fillId="0" borderId="0" xfId="0" applyFont="1" applyBorder="1" applyAlignment="1">
      <alignment horizontal="left" vertical="center" wrapText="1"/>
    </xf>
    <xf numFmtId="0" fontId="24" fillId="0" borderId="0" xfId="0" applyFont="1" applyBorder="1" applyAlignment="1">
      <alignment horizontal="center" vertical="center" wrapText="1"/>
    </xf>
    <xf numFmtId="0" fontId="24" fillId="0" borderId="11" xfId="0" applyFont="1" applyBorder="1" applyAlignment="1">
      <alignment horizontal="center" wrapText="1"/>
    </xf>
    <xf numFmtId="0" fontId="24" fillId="0" borderId="11" xfId="0" applyFont="1" applyBorder="1" applyAlignment="1">
      <alignment horizontal="center" vertical="center" wrapText="1"/>
    </xf>
    <xf numFmtId="165" fontId="24" fillId="0" borderId="0" xfId="39" applyNumberFormat="1" applyFont="1" applyBorder="1" applyAlignment="1">
      <alignment horizontal="right" vertical="top"/>
    </xf>
    <xf numFmtId="165" fontId="23" fillId="0" borderId="0" xfId="0" applyNumberFormat="1" applyFont="1" applyAlignment="1">
      <alignment horizontal="left" vertical="top" wrapText="1"/>
    </xf>
    <xf numFmtId="165" fontId="24" fillId="0" borderId="0" xfId="39" applyNumberFormat="1" applyFont="1" applyAlignment="1">
      <alignment horizontal="left" vertical="top" wrapText="1"/>
    </xf>
    <xf numFmtId="165" fontId="9" fillId="0" borderId="0" xfId="0" applyNumberFormat="1" applyFont="1" applyAlignment="1">
      <alignment horizontal="justify" vertical="top" wrapText="1"/>
    </xf>
    <xf numFmtId="165" fontId="9" fillId="0" borderId="0" xfId="0" quotePrefix="1" applyNumberFormat="1" applyFont="1" applyFill="1" applyAlignment="1">
      <alignment horizontal="justify" vertical="top" wrapText="1"/>
    </xf>
    <xf numFmtId="165" fontId="9" fillId="0" borderId="0" xfId="0" applyNumberFormat="1" applyFont="1" applyFill="1" applyAlignment="1">
      <alignment horizontal="justify" vertical="top" wrapText="1"/>
    </xf>
    <xf numFmtId="165" fontId="9" fillId="0" borderId="0" xfId="39" applyNumberFormat="1" applyFont="1" applyFill="1" applyAlignment="1">
      <alignment horizontal="justify" vertical="top" wrapText="1"/>
    </xf>
    <xf numFmtId="165" fontId="9" fillId="0" borderId="0" xfId="39" quotePrefix="1" applyNumberFormat="1" applyFont="1" applyAlignment="1">
      <alignment horizontal="left" vertical="top" wrapText="1"/>
    </xf>
    <xf numFmtId="165" fontId="24" fillId="0" borderId="0" xfId="0" applyNumberFormat="1" applyFont="1" applyFill="1" applyAlignment="1">
      <alignment horizontal="justify" vertical="top" wrapText="1"/>
    </xf>
    <xf numFmtId="165" fontId="24" fillId="0" borderId="0" xfId="0" applyNumberFormat="1" applyFont="1" applyFill="1" applyAlignment="1">
      <alignment horizontal="left" vertical="top" wrapText="1"/>
    </xf>
    <xf numFmtId="165" fontId="9" fillId="0" borderId="0" xfId="39" applyNumberFormat="1" applyFont="1" applyAlignment="1">
      <alignment horizontal="justify" vertical="top" wrapText="1"/>
    </xf>
    <xf numFmtId="165" fontId="9" fillId="0" borderId="0" xfId="0" quotePrefix="1" applyNumberFormat="1" applyFont="1" applyFill="1" applyAlignment="1">
      <alignment horizontal="left" vertical="top" wrapText="1"/>
    </xf>
    <xf numFmtId="165" fontId="9" fillId="0" borderId="0" xfId="0" applyNumberFormat="1" applyFont="1" applyFill="1" applyAlignment="1">
      <alignment horizontal="left" vertical="top" wrapText="1"/>
    </xf>
    <xf numFmtId="165" fontId="24" fillId="0" borderId="0" xfId="39" applyNumberFormat="1" applyFont="1" applyAlignment="1">
      <alignment horizontal="justify" vertical="top" wrapText="1"/>
    </xf>
    <xf numFmtId="165" fontId="9" fillId="0" borderId="0" xfId="50" applyNumberFormat="1" applyFont="1" applyAlignment="1">
      <alignment horizontal="justify" vertical="top" wrapText="1"/>
    </xf>
    <xf numFmtId="165" fontId="23" fillId="0" borderId="0" xfId="39" applyNumberFormat="1" applyFont="1" applyAlignment="1">
      <alignment horizontal="justify" vertical="top" wrapText="1"/>
    </xf>
    <xf numFmtId="165" fontId="27" fillId="0" borderId="0" xfId="39" applyNumberFormat="1" applyFont="1" applyAlignment="1">
      <alignment horizontal="justify" vertical="top" wrapText="1"/>
    </xf>
    <xf numFmtId="165" fontId="24" fillId="0" borderId="0" xfId="28" applyNumberFormat="1" applyFont="1" applyAlignment="1">
      <alignment horizontal="justify" vertical="top" wrapText="1"/>
    </xf>
    <xf numFmtId="165" fontId="9" fillId="0" borderId="0" xfId="39" applyNumberFormat="1" applyFont="1" applyAlignment="1">
      <alignment vertical="top" wrapText="1"/>
    </xf>
    <xf numFmtId="165" fontId="24" fillId="24" borderId="0" xfId="39" applyNumberFormat="1" applyFont="1" applyFill="1" applyAlignment="1">
      <alignment horizontal="left" vertical="top"/>
    </xf>
    <xf numFmtId="165" fontId="9" fillId="24" borderId="0" xfId="39" applyNumberFormat="1" applyFont="1" applyFill="1" applyAlignment="1">
      <alignment vertical="top"/>
    </xf>
    <xf numFmtId="165" fontId="24" fillId="24" borderId="0" xfId="39" applyNumberFormat="1" applyFont="1" applyFill="1" applyAlignment="1">
      <alignment horizontal="right" vertical="top"/>
    </xf>
    <xf numFmtId="165" fontId="24" fillId="24" borderId="11" xfId="39" applyNumberFormat="1" applyFont="1" applyFill="1" applyBorder="1" applyAlignment="1">
      <alignment horizontal="right" vertical="top"/>
    </xf>
    <xf numFmtId="165" fontId="9" fillId="0" borderId="0" xfId="39" applyNumberFormat="1" applyFont="1" applyFill="1" applyAlignment="1">
      <alignment vertical="top"/>
    </xf>
    <xf numFmtId="165" fontId="24" fillId="0" borderId="0" xfId="39" applyNumberFormat="1" applyFont="1" applyAlignment="1">
      <alignment horizontal="right" vertical="top" wrapText="1"/>
    </xf>
    <xf numFmtId="165" fontId="9" fillId="24" borderId="0" xfId="39" applyNumberFormat="1" applyFont="1" applyFill="1" applyAlignment="1">
      <alignment horizontal="left" vertical="top" wrapText="1"/>
    </xf>
    <xf numFmtId="165" fontId="9" fillId="24" borderId="0" xfId="39" applyNumberFormat="1" applyFont="1" applyFill="1" applyAlignment="1">
      <alignment horizontal="left" vertical="top"/>
    </xf>
    <xf numFmtId="165" fontId="9" fillId="0" borderId="0" xfId="39" applyNumberFormat="1" applyFont="1" applyBorder="1" applyAlignment="1">
      <alignment horizontal="center" vertical="top" wrapText="1"/>
    </xf>
    <xf numFmtId="165" fontId="9" fillId="0" borderId="11" xfId="39" applyNumberFormat="1" applyFont="1" applyBorder="1" applyAlignment="1">
      <alignment horizontal="center" vertical="top" wrapText="1"/>
    </xf>
    <xf numFmtId="165" fontId="9" fillId="0" borderId="0" xfId="39" applyNumberFormat="1" applyFont="1" applyAlignment="1">
      <alignment horizontal="center" vertical="top"/>
    </xf>
    <xf numFmtId="165" fontId="24" fillId="0" borderId="0" xfId="39" applyNumberFormat="1" applyFont="1" applyAlignment="1">
      <alignment horizontal="left" vertical="top"/>
    </xf>
    <xf numFmtId="165" fontId="9" fillId="0" borderId="0" xfId="39" applyNumberFormat="1" applyFont="1" applyAlignment="1">
      <alignment vertical="top"/>
    </xf>
    <xf numFmtId="165" fontId="24" fillId="0" borderId="0" xfId="39" applyNumberFormat="1" applyFont="1" applyBorder="1" applyAlignment="1">
      <alignment horizontal="right" vertical="top" wrapText="1"/>
    </xf>
    <xf numFmtId="165" fontId="24" fillId="0" borderId="11" xfId="39" applyNumberFormat="1" applyFont="1" applyBorder="1" applyAlignment="1">
      <alignment horizontal="right" vertical="top" wrapText="1"/>
    </xf>
    <xf numFmtId="165" fontId="9" fillId="0" borderId="0" xfId="39" applyNumberFormat="1" applyFont="1" applyBorder="1" applyAlignment="1">
      <alignment horizontal="left" vertical="top"/>
    </xf>
    <xf numFmtId="165" fontId="24" fillId="0" borderId="0" xfId="39" applyNumberFormat="1" applyFont="1" applyAlignment="1">
      <alignment vertical="top"/>
    </xf>
    <xf numFmtId="165" fontId="23" fillId="0" borderId="0" xfId="39" applyNumberFormat="1" applyFont="1" applyAlignment="1">
      <alignment vertical="top"/>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51" builtinId="3"/>
    <cellStyle name="Comma [0] 2" xfId="48"/>
    <cellStyle name="Comma 11" xfId="49"/>
    <cellStyle name="Currency_Thuyet minh Cong ty me"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edger 17 x 11 in 2 2" xfId="47"/>
    <cellStyle name="Linked Cell" xfId="36" builtinId="24" customBuiltin="1"/>
    <cellStyle name="Neutral" xfId="37" builtinId="28" customBuiltin="1"/>
    <cellStyle name="Normal" xfId="0" builtinId="0"/>
    <cellStyle name="Normal 2" xfId="46"/>
    <cellStyle name="Normal_Bao cao tai chinh 280405" xfId="38"/>
    <cellStyle name="Normal_Thuyet minh Cong ty me" xfId="39"/>
    <cellStyle name="Normal_Thuyet minh Cong ty me 2" xfId="50"/>
    <cellStyle name="Note" xfId="40" builtinId="10" customBuiltin="1"/>
    <cellStyle name="Output" xfId="41" builtinId="21" customBuiltin="1"/>
    <cellStyle name="Percent" xfId="45" builtinId="5"/>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1\AppData\Local\Temp\Bravo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UAN/VINACONEX%2025/3.%20BAO%20CAO%20TAI%20CHINH/BCTC%202014/Kiem%20toan/Cong%20ty%20me/BCTC%206%20thang%20(Soat%20xet)/1.%20BCTC%20quy%20II%20nam%202014%20Kiem%20toa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UAN/VINACONEX%2025/3.%20BAO%20CAO%20TAI%20CHINH/BCTC%202014/Cong%20ty%20me/Quy%20I/Bao%20cao%20tai%20chinh%20Cong%20ty%20me%20quy%20I%20nam%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avo60"/>
    </sheetNames>
    <sheetDataSet>
      <sheetData sheetId="0" refreshError="1">
        <row r="9">
          <cell r="F9">
            <v>4577884020</v>
          </cell>
        </row>
        <row r="26">
          <cell r="F26">
            <v>1500000000</v>
          </cell>
        </row>
        <row r="28">
          <cell r="F28">
            <v>349000063211</v>
          </cell>
          <cell r="G28">
            <v>48959509174</v>
          </cell>
        </row>
        <row r="33">
          <cell r="F33">
            <v>2132612694</v>
          </cell>
        </row>
        <row r="35">
          <cell r="F35">
            <v>1621561218</v>
          </cell>
          <cell r="G35">
            <v>448383666</v>
          </cell>
        </row>
        <row r="38">
          <cell r="F38">
            <v>3561135208</v>
          </cell>
        </row>
        <row r="45">
          <cell r="F45">
            <v>183743176</v>
          </cell>
        </row>
        <row r="49">
          <cell r="F49">
            <v>107333733374</v>
          </cell>
        </row>
        <row r="52">
          <cell r="F52">
            <v>5428979</v>
          </cell>
        </row>
        <row r="56">
          <cell r="F56">
            <v>84591121918</v>
          </cell>
        </row>
        <row r="61">
          <cell r="F61">
            <v>1569850000</v>
          </cell>
        </row>
        <row r="65">
          <cell r="G65">
            <v>47278346101</v>
          </cell>
        </row>
        <row r="66">
          <cell r="G66">
            <v>110690694</v>
          </cell>
        </row>
        <row r="68">
          <cell r="F68">
            <v>5250000000</v>
          </cell>
        </row>
        <row r="71">
          <cell r="G71">
            <v>5000000000</v>
          </cell>
        </row>
        <row r="72">
          <cell r="G72">
            <v>9467088846</v>
          </cell>
        </row>
        <row r="73">
          <cell r="F73">
            <v>124476363</v>
          </cell>
        </row>
        <row r="76">
          <cell r="F76">
            <v>13648430745</v>
          </cell>
        </row>
        <row r="77">
          <cell r="F77">
            <v>32304698410</v>
          </cell>
        </row>
        <row r="79">
          <cell r="F79">
            <v>54457587</v>
          </cell>
        </row>
        <row r="80">
          <cell r="F80">
            <v>13862259000</v>
          </cell>
        </row>
        <row r="81">
          <cell r="F81">
            <v>17605197081</v>
          </cell>
          <cell r="G81">
            <v>183600347158</v>
          </cell>
        </row>
        <row r="82">
          <cell r="G82">
            <v>15495988578</v>
          </cell>
        </row>
        <row r="91">
          <cell r="F91">
            <v>328311004</v>
          </cell>
          <cell r="G91">
            <v>13698507504</v>
          </cell>
        </row>
        <row r="94">
          <cell r="G94">
            <v>55636291620</v>
          </cell>
        </row>
        <row r="96">
          <cell r="G96">
            <v>4543870286</v>
          </cell>
        </row>
        <row r="104">
          <cell r="G104">
            <v>166226359691</v>
          </cell>
        </row>
        <row r="110">
          <cell r="G110">
            <v>2605000000</v>
          </cell>
        </row>
        <row r="112">
          <cell r="G112">
            <v>3893852156</v>
          </cell>
        </row>
        <row r="114">
          <cell r="G114">
            <v>888087807</v>
          </cell>
        </row>
        <row r="117">
          <cell r="G117">
            <v>681000000</v>
          </cell>
        </row>
        <row r="119">
          <cell r="G119">
            <v>60000000000</v>
          </cell>
        </row>
        <row r="121">
          <cell r="G121">
            <v>6795900000</v>
          </cell>
        </row>
        <row r="122">
          <cell r="G122">
            <v>16136363316</v>
          </cell>
        </row>
        <row r="123">
          <cell r="G123">
            <v>12427534627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Up"/>
      <sheetName val="CDKT"/>
      <sheetName val="KQKD"/>
      <sheetName val="LCTTGT"/>
      <sheetName val="Thuyet minh"/>
    </sheetNames>
    <sheetDataSet>
      <sheetData sheetId="0"/>
      <sheetData sheetId="1"/>
      <sheetData sheetId="2"/>
      <sheetData sheetId="3">
        <row r="53">
          <cell r="D53">
            <v>30750342156</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Up"/>
      <sheetName val="CDKT"/>
      <sheetName val="KQKD"/>
      <sheetName val="LCTTGT"/>
      <sheetName val="Thuyet minh"/>
      <sheetName val="LCTTGT (luu)"/>
    </sheetNames>
    <sheetDataSet>
      <sheetData sheetId="0" refreshError="1"/>
      <sheetData sheetId="1">
        <row r="13">
          <cell r="E13">
            <v>24550660982</v>
          </cell>
        </row>
      </sheetData>
      <sheetData sheetId="2" refreshError="1"/>
      <sheetData sheetId="3" refreshError="1"/>
      <sheetData sheetId="4">
        <row r="342">
          <cell r="G342">
            <v>21069057812</v>
          </cell>
        </row>
        <row r="350">
          <cell r="G350">
            <v>17439700088</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45"/>
  <sheetViews>
    <sheetView showGridLines="0" view="pageBreakPreview" topLeftCell="A115" zoomScale="106" zoomScaleNormal="100" zoomScaleSheetLayoutView="106" workbookViewId="0">
      <selection activeCell="E75" sqref="E75"/>
    </sheetView>
  </sheetViews>
  <sheetFormatPr defaultRowHeight="12.75" x14ac:dyDescent="0.2"/>
  <cols>
    <col min="1" max="1" width="1" style="207" customWidth="1"/>
    <col min="2" max="2" width="48.7109375" style="207" customWidth="1"/>
    <col min="3" max="3" width="5" style="207" customWidth="1"/>
    <col min="4" max="4" width="8" style="207" customWidth="1"/>
    <col min="5" max="5" width="16.5703125" style="238" customWidth="1"/>
    <col min="6" max="6" width="17.28515625" style="248" customWidth="1"/>
    <col min="7" max="7" width="18.28515625" style="207" customWidth="1"/>
    <col min="8" max="8" width="23.5703125" style="207" customWidth="1"/>
    <col min="9" max="9" width="18.42578125" style="207" customWidth="1"/>
    <col min="10" max="10" width="18.85546875" style="207" customWidth="1"/>
    <col min="11" max="16384" width="9.140625" style="207"/>
  </cols>
  <sheetData>
    <row r="1" spans="2:8" x14ac:dyDescent="0.2">
      <c r="B1" s="260" t="s">
        <v>64</v>
      </c>
      <c r="C1" s="236"/>
      <c r="D1" s="236"/>
      <c r="E1" s="236"/>
      <c r="F1" s="261"/>
      <c r="G1" s="236"/>
    </row>
    <row r="2" spans="2:8" x14ac:dyDescent="0.2">
      <c r="B2" s="262" t="s">
        <v>344</v>
      </c>
      <c r="C2" s="236"/>
      <c r="D2" s="236"/>
      <c r="E2" s="236"/>
      <c r="F2" s="263" t="s">
        <v>250</v>
      </c>
    </row>
    <row r="3" spans="2:8" x14ac:dyDescent="0.2">
      <c r="B3" s="264" t="s">
        <v>345</v>
      </c>
      <c r="C3" s="237"/>
      <c r="D3" s="237"/>
      <c r="E3" s="237"/>
      <c r="F3" s="265" t="s">
        <v>539</v>
      </c>
      <c r="G3" s="266"/>
    </row>
    <row r="4" spans="2:8" ht="8.25" customHeight="1" x14ac:dyDescent="0.2"/>
    <row r="5" spans="2:8" ht="15.75" x14ac:dyDescent="0.25">
      <c r="B5" s="290" t="s">
        <v>3</v>
      </c>
      <c r="C5" s="290"/>
      <c r="D5" s="290"/>
      <c r="E5" s="290"/>
      <c r="F5" s="290"/>
    </row>
    <row r="6" spans="2:8" x14ac:dyDescent="0.2">
      <c r="B6" s="291" t="s">
        <v>539</v>
      </c>
      <c r="C6" s="292"/>
      <c r="D6" s="292"/>
      <c r="E6" s="292"/>
      <c r="F6" s="292"/>
    </row>
    <row r="7" spans="2:8" x14ac:dyDescent="0.2">
      <c r="B7" s="267"/>
      <c r="C7" s="239"/>
      <c r="D7" s="239"/>
      <c r="E7" s="239"/>
      <c r="F7" s="268" t="s">
        <v>272</v>
      </c>
    </row>
    <row r="8" spans="2:8" x14ac:dyDescent="0.2">
      <c r="B8" s="267"/>
      <c r="C8" s="239"/>
      <c r="D8" s="239"/>
      <c r="E8" s="239"/>
      <c r="F8" s="269" t="s">
        <v>268</v>
      </c>
    </row>
    <row r="9" spans="2:8" ht="6.75" customHeight="1" x14ac:dyDescent="0.2"/>
    <row r="10" spans="2:8" ht="30" customHeight="1" x14ac:dyDescent="0.2">
      <c r="B10" s="270" t="s">
        <v>66</v>
      </c>
      <c r="C10" s="271" t="s">
        <v>271</v>
      </c>
      <c r="D10" s="271" t="s">
        <v>5</v>
      </c>
      <c r="E10" s="240">
        <v>42185</v>
      </c>
      <c r="F10" s="240">
        <v>42005</v>
      </c>
    </row>
    <row r="11" spans="2:8" ht="6.75" customHeight="1" x14ac:dyDescent="0.2">
      <c r="B11" s="270"/>
      <c r="C11" s="271"/>
      <c r="D11" s="271"/>
      <c r="E11" s="241"/>
      <c r="F11" s="272"/>
    </row>
    <row r="12" spans="2:8" ht="18" customHeight="1" x14ac:dyDescent="0.2">
      <c r="B12" s="273" t="s">
        <v>307</v>
      </c>
      <c r="C12" s="210">
        <v>100</v>
      </c>
      <c r="D12" s="210"/>
      <c r="E12" s="242">
        <v>497753400001</v>
      </c>
      <c r="F12" s="242">
        <v>480615987146</v>
      </c>
      <c r="G12" s="274"/>
      <c r="H12" s="206"/>
    </row>
    <row r="13" spans="2:8" ht="14.45" customHeight="1" x14ac:dyDescent="0.2">
      <c r="B13" s="273" t="s">
        <v>305</v>
      </c>
      <c r="C13" s="210">
        <v>110</v>
      </c>
      <c r="D13" s="210"/>
      <c r="E13" s="242">
        <v>17664031105</v>
      </c>
      <c r="F13" s="242">
        <v>24064834465</v>
      </c>
      <c r="G13" s="206"/>
    </row>
    <row r="14" spans="2:8" ht="14.45" customHeight="1" x14ac:dyDescent="0.2">
      <c r="B14" s="204" t="s">
        <v>6</v>
      </c>
      <c r="C14" s="205">
        <v>111</v>
      </c>
      <c r="D14" s="224" t="s">
        <v>80</v>
      </c>
      <c r="E14" s="175">
        <v>17163346605</v>
      </c>
      <c r="F14" s="175">
        <v>24064834465</v>
      </c>
      <c r="G14" s="206">
        <f>4577884020+14606547085</f>
        <v>19184431105</v>
      </c>
    </row>
    <row r="15" spans="2:8" x14ac:dyDescent="0.2">
      <c r="B15" s="204" t="s">
        <v>288</v>
      </c>
      <c r="C15" s="205">
        <v>112</v>
      </c>
      <c r="D15" s="205"/>
      <c r="E15" s="175">
        <v>500684500</v>
      </c>
      <c r="F15" s="175"/>
      <c r="G15" s="206"/>
    </row>
    <row r="16" spans="2:8" ht="14.45" customHeight="1" x14ac:dyDescent="0.2">
      <c r="B16" s="273" t="s">
        <v>397</v>
      </c>
      <c r="C16" s="210">
        <v>120</v>
      </c>
      <c r="D16" s="210"/>
      <c r="E16" s="243">
        <v>3020400000</v>
      </c>
      <c r="F16" s="243">
        <v>1500000000</v>
      </c>
      <c r="G16" s="206"/>
    </row>
    <row r="17" spans="2:9" ht="14.45" customHeight="1" x14ac:dyDescent="0.2">
      <c r="B17" s="204" t="s">
        <v>398</v>
      </c>
      <c r="C17" s="205">
        <v>121</v>
      </c>
      <c r="D17" s="205"/>
      <c r="E17" s="175"/>
      <c r="F17" s="175"/>
      <c r="G17" s="206"/>
    </row>
    <row r="18" spans="2:9" ht="17.25" customHeight="1" x14ac:dyDescent="0.2">
      <c r="B18" s="204" t="s">
        <v>405</v>
      </c>
      <c r="C18" s="205">
        <v>122</v>
      </c>
      <c r="D18" s="205"/>
      <c r="E18" s="175"/>
      <c r="F18" s="175"/>
      <c r="G18" s="206"/>
    </row>
    <row r="19" spans="2:9" ht="17.25" customHeight="1" x14ac:dyDescent="0.2">
      <c r="B19" s="204" t="s">
        <v>399</v>
      </c>
      <c r="C19" s="205">
        <v>123</v>
      </c>
      <c r="D19" s="205"/>
      <c r="E19" s="175">
        <v>3020400000</v>
      </c>
      <c r="F19" s="175">
        <v>1500000000</v>
      </c>
      <c r="G19" s="206">
        <f>[1]bravo60!$F$26</f>
        <v>1500000000</v>
      </c>
    </row>
    <row r="20" spans="2:9" ht="14.45" customHeight="1" x14ac:dyDescent="0.2">
      <c r="B20" s="273" t="s">
        <v>400</v>
      </c>
      <c r="C20" s="210">
        <v>130</v>
      </c>
      <c r="D20" s="210"/>
      <c r="E20" s="242">
        <v>352152768594</v>
      </c>
      <c r="F20" s="242">
        <v>305568561294</v>
      </c>
      <c r="G20" s="206"/>
      <c r="H20" s="206"/>
      <c r="I20" s="206"/>
    </row>
    <row r="21" spans="2:9" ht="14.45" customHeight="1" x14ac:dyDescent="0.2">
      <c r="B21" s="204" t="s">
        <v>401</v>
      </c>
      <c r="C21" s="205">
        <v>131</v>
      </c>
      <c r="D21" s="205"/>
      <c r="E21" s="175">
        <v>339880220948</v>
      </c>
      <c r="F21" s="175">
        <v>304014034706</v>
      </c>
      <c r="G21" s="206">
        <f>[1]bravo60!$F$28</f>
        <v>349000063211</v>
      </c>
      <c r="H21" s="206">
        <f>-7952828867-764472327-113201000</f>
        <v>-8830502194</v>
      </c>
      <c r="I21" s="206"/>
    </row>
    <row r="22" spans="2:9" ht="14.45" customHeight="1" x14ac:dyDescent="0.2">
      <c r="B22" s="204" t="s">
        <v>402</v>
      </c>
      <c r="C22" s="205">
        <v>132</v>
      </c>
      <c r="D22" s="205"/>
      <c r="E22" s="175">
        <v>17605197081</v>
      </c>
      <c r="F22" s="175">
        <v>9075379184</v>
      </c>
      <c r="G22" s="206">
        <f>[1]bravo60!$F$81</f>
        <v>17605197081</v>
      </c>
      <c r="H22" s="206"/>
    </row>
    <row r="23" spans="2:9" ht="14.45" customHeight="1" x14ac:dyDescent="0.2">
      <c r="B23" s="204" t="s">
        <v>289</v>
      </c>
      <c r="C23" s="205">
        <v>133</v>
      </c>
      <c r="D23" s="205"/>
      <c r="E23" s="175">
        <v>0</v>
      </c>
      <c r="F23" s="175">
        <v>0</v>
      </c>
      <c r="G23" s="206"/>
    </row>
    <row r="24" spans="2:9" ht="14.45" customHeight="1" x14ac:dyDescent="0.2">
      <c r="B24" s="204" t="s">
        <v>290</v>
      </c>
      <c r="C24" s="205">
        <v>134</v>
      </c>
      <c r="D24" s="205"/>
      <c r="E24" s="175">
        <v>0</v>
      </c>
      <c r="F24" s="175">
        <v>0</v>
      </c>
      <c r="G24" s="206"/>
    </row>
    <row r="25" spans="2:9" ht="14.45" customHeight="1" x14ac:dyDescent="0.2">
      <c r="B25" s="204" t="s">
        <v>403</v>
      </c>
      <c r="C25" s="205">
        <v>135</v>
      </c>
      <c r="D25" s="205"/>
      <c r="E25" s="175"/>
      <c r="F25" s="175"/>
      <c r="G25" s="206"/>
    </row>
    <row r="26" spans="2:9" ht="14.45" customHeight="1" x14ac:dyDescent="0.2">
      <c r="B26" s="204" t="s">
        <v>404</v>
      </c>
      <c r="C26" s="205">
        <v>136</v>
      </c>
      <c r="D26" s="224" t="s">
        <v>81</v>
      </c>
      <c r="E26" s="175">
        <v>4134439411</v>
      </c>
      <c r="F26" s="244">
        <v>4173885088</v>
      </c>
      <c r="G26" s="208">
        <f>[1]bravo60!$F$35+[1]bravo60!$F$33+[1]bravo60!$F$91+[1]bravo60!$F$79</f>
        <v>4136942503</v>
      </c>
      <c r="H26" s="206" t="s">
        <v>482</v>
      </c>
    </row>
    <row r="27" spans="2:9" ht="18" customHeight="1" x14ac:dyDescent="0.2">
      <c r="B27" s="204" t="s">
        <v>406</v>
      </c>
      <c r="C27" s="205">
        <v>137</v>
      </c>
      <c r="D27" s="205"/>
      <c r="E27" s="175">
        <v>-9467088846</v>
      </c>
      <c r="F27" s="175">
        <v>-11694737684</v>
      </c>
      <c r="G27" s="206">
        <f>-[1]bravo60!$G$72</f>
        <v>-9467088846</v>
      </c>
      <c r="H27" s="206">
        <f>E26-G26</f>
        <v>-2503092</v>
      </c>
    </row>
    <row r="28" spans="2:9" ht="18" customHeight="1" x14ac:dyDescent="0.2">
      <c r="B28" s="204" t="s">
        <v>407</v>
      </c>
      <c r="C28" s="205">
        <v>139</v>
      </c>
      <c r="D28" s="205"/>
      <c r="E28" s="175"/>
      <c r="F28" s="175"/>
      <c r="G28" s="206"/>
    </row>
    <row r="29" spans="2:9" ht="14.45" customHeight="1" x14ac:dyDescent="0.2">
      <c r="B29" s="273" t="s">
        <v>291</v>
      </c>
      <c r="C29" s="210">
        <v>140</v>
      </c>
      <c r="D29" s="275"/>
      <c r="E29" s="242">
        <v>111267769557</v>
      </c>
      <c r="F29" s="242">
        <v>145456559410</v>
      </c>
      <c r="G29" s="206"/>
      <c r="H29" s="206"/>
    </row>
    <row r="30" spans="2:9" ht="14.45" customHeight="1" x14ac:dyDescent="0.2">
      <c r="B30" s="204" t="s">
        <v>7</v>
      </c>
      <c r="C30" s="205">
        <v>141</v>
      </c>
      <c r="D30" s="224" t="s">
        <v>82</v>
      </c>
      <c r="E30" s="175">
        <v>111267769557</v>
      </c>
      <c r="F30" s="175">
        <v>145456559410</v>
      </c>
      <c r="G30" s="206">
        <f>[1]bravo60!$F$38+[1]bravo60!$F$45+[1]bravo60!$F$49+[1]bravo60!$F$52</f>
        <v>111084040737</v>
      </c>
    </row>
    <row r="31" spans="2:9" ht="18" customHeight="1" x14ac:dyDescent="0.2">
      <c r="B31" s="204" t="s">
        <v>8</v>
      </c>
      <c r="C31" s="205">
        <v>149</v>
      </c>
      <c r="D31" s="205"/>
      <c r="E31" s="175">
        <v>0</v>
      </c>
      <c r="F31" s="175">
        <v>0</v>
      </c>
      <c r="G31" s="206"/>
    </row>
    <row r="32" spans="2:9" ht="14.45" customHeight="1" x14ac:dyDescent="0.2">
      <c r="B32" s="273" t="s">
        <v>292</v>
      </c>
      <c r="C32" s="210">
        <v>150</v>
      </c>
      <c r="D32" s="210"/>
      <c r="E32" s="242">
        <v>13648430745</v>
      </c>
      <c r="F32" s="242">
        <v>4026031977</v>
      </c>
      <c r="G32" s="206"/>
    </row>
    <row r="33" spans="2:9" ht="14.45" customHeight="1" x14ac:dyDescent="0.2">
      <c r="B33" s="204" t="s">
        <v>9</v>
      </c>
      <c r="C33" s="205">
        <v>151</v>
      </c>
      <c r="D33" s="224" t="s">
        <v>86</v>
      </c>
      <c r="E33" s="175">
        <v>13648430745</v>
      </c>
      <c r="F33" s="175">
        <v>4026031977</v>
      </c>
      <c r="G33" s="206">
        <f>[1]bravo60!$F$76</f>
        <v>13648430745</v>
      </c>
      <c r="H33" s="206"/>
      <c r="I33" s="206"/>
    </row>
    <row r="34" spans="2:9" ht="14.45" customHeight="1" x14ac:dyDescent="0.2">
      <c r="B34" s="204" t="s">
        <v>293</v>
      </c>
      <c r="C34" s="205">
        <v>152</v>
      </c>
      <c r="D34" s="205"/>
      <c r="E34" s="175">
        <v>0</v>
      </c>
      <c r="F34" s="175">
        <v>0</v>
      </c>
      <c r="G34" s="206"/>
      <c r="I34" s="206"/>
    </row>
    <row r="35" spans="2:9" ht="14.45" customHeight="1" x14ac:dyDescent="0.2">
      <c r="B35" s="204" t="s">
        <v>294</v>
      </c>
      <c r="C35" s="205">
        <v>153</v>
      </c>
      <c r="D35" s="205"/>
      <c r="E35" s="175">
        <v>0</v>
      </c>
      <c r="F35" s="175">
        <v>0</v>
      </c>
      <c r="G35" s="206"/>
    </row>
    <row r="36" spans="2:9" ht="14.45" customHeight="1" x14ac:dyDescent="0.2">
      <c r="B36" s="204" t="s">
        <v>408</v>
      </c>
      <c r="C36" s="205">
        <v>154</v>
      </c>
      <c r="D36" s="205"/>
      <c r="E36" s="175"/>
      <c r="F36" s="175"/>
      <c r="G36" s="206"/>
    </row>
    <row r="37" spans="2:9" ht="20.25" customHeight="1" x14ac:dyDescent="0.2">
      <c r="B37" s="204" t="s">
        <v>409</v>
      </c>
      <c r="C37" s="205">
        <v>155</v>
      </c>
      <c r="D37" s="224"/>
      <c r="E37" s="175"/>
      <c r="F37" s="175"/>
      <c r="H37" s="206" t="s">
        <v>483</v>
      </c>
    </row>
    <row r="38" spans="2:9" ht="18" customHeight="1" x14ac:dyDescent="0.2">
      <c r="B38" s="273" t="s">
        <v>351</v>
      </c>
      <c r="C38" s="210">
        <v>200</v>
      </c>
      <c r="D38" s="210"/>
      <c r="E38" s="242">
        <v>85493195014</v>
      </c>
      <c r="F38" s="242">
        <v>94065951909</v>
      </c>
      <c r="G38" s="206"/>
    </row>
    <row r="39" spans="2:9" ht="14.45" customHeight="1" x14ac:dyDescent="0.2">
      <c r="B39" s="273" t="s">
        <v>295</v>
      </c>
      <c r="C39" s="210">
        <v>210</v>
      </c>
      <c r="D39" s="210"/>
      <c r="E39" s="242">
        <v>13896105000</v>
      </c>
      <c r="F39" s="242">
        <v>13900024400</v>
      </c>
      <c r="G39" s="206"/>
    </row>
    <row r="40" spans="2:9" ht="14.45" customHeight="1" x14ac:dyDescent="0.2">
      <c r="B40" s="204" t="s">
        <v>296</v>
      </c>
      <c r="C40" s="205">
        <v>211</v>
      </c>
      <c r="D40" s="205"/>
      <c r="E40" s="175">
        <v>0</v>
      </c>
      <c r="F40" s="175">
        <v>0</v>
      </c>
      <c r="G40" s="206"/>
    </row>
    <row r="41" spans="2:9" ht="14.45" customHeight="1" x14ac:dyDescent="0.2">
      <c r="B41" s="204" t="s">
        <v>410</v>
      </c>
      <c r="C41" s="205">
        <v>212</v>
      </c>
      <c r="D41" s="205"/>
      <c r="E41" s="175"/>
      <c r="F41" s="175"/>
      <c r="G41" s="206"/>
    </row>
    <row r="42" spans="2:9" ht="14.45" customHeight="1" x14ac:dyDescent="0.2">
      <c r="B42" s="204" t="s">
        <v>411</v>
      </c>
      <c r="C42" s="205">
        <v>213</v>
      </c>
      <c r="D42" s="205"/>
      <c r="E42" s="175">
        <v>0</v>
      </c>
      <c r="F42" s="175">
        <v>0</v>
      </c>
      <c r="G42" s="206"/>
    </row>
    <row r="43" spans="2:9" ht="14.45" customHeight="1" x14ac:dyDescent="0.2">
      <c r="B43" s="204" t="s">
        <v>412</v>
      </c>
      <c r="C43" s="205">
        <v>214</v>
      </c>
      <c r="D43" s="205"/>
      <c r="E43" s="175">
        <v>0</v>
      </c>
      <c r="F43" s="175">
        <v>0</v>
      </c>
      <c r="G43" s="206"/>
    </row>
    <row r="44" spans="2:9" ht="14.45" customHeight="1" x14ac:dyDescent="0.2">
      <c r="B44" s="204" t="s">
        <v>413</v>
      </c>
      <c r="C44" s="205">
        <v>215</v>
      </c>
      <c r="D44" s="205"/>
      <c r="E44" s="175">
        <v>0</v>
      </c>
      <c r="F44" s="175">
        <v>0</v>
      </c>
      <c r="G44" s="206"/>
    </row>
    <row r="45" spans="2:9" ht="14.45" customHeight="1" x14ac:dyDescent="0.2">
      <c r="B45" s="204" t="s">
        <v>414</v>
      </c>
      <c r="C45" s="205">
        <v>216</v>
      </c>
      <c r="D45" s="224" t="s">
        <v>81</v>
      </c>
      <c r="E45" s="175">
        <v>13896105000</v>
      </c>
      <c r="F45" s="175">
        <v>13900024400</v>
      </c>
      <c r="G45" s="276">
        <f>[1]bravo60!$F$80</f>
        <v>13862259000</v>
      </c>
      <c r="H45" s="206" t="s">
        <v>484</v>
      </c>
    </row>
    <row r="46" spans="2:9" ht="18" customHeight="1" x14ac:dyDescent="0.2">
      <c r="B46" s="204" t="s">
        <v>534</v>
      </c>
      <c r="C46" s="205">
        <v>219</v>
      </c>
      <c r="D46" s="205"/>
      <c r="E46" s="175">
        <v>0</v>
      </c>
      <c r="F46" s="175">
        <v>0</v>
      </c>
      <c r="G46" s="206"/>
    </row>
    <row r="47" spans="2:9" ht="14.45" customHeight="1" x14ac:dyDescent="0.2">
      <c r="B47" s="273" t="s">
        <v>297</v>
      </c>
      <c r="C47" s="210">
        <v>220</v>
      </c>
      <c r="D47" s="210"/>
      <c r="E47" s="242">
        <v>38771935123</v>
      </c>
      <c r="F47" s="242">
        <v>43502440831</v>
      </c>
      <c r="G47" s="206"/>
    </row>
    <row r="48" spans="2:9" ht="14.45" customHeight="1" x14ac:dyDescent="0.2">
      <c r="B48" s="204" t="s">
        <v>10</v>
      </c>
      <c r="C48" s="205">
        <v>221</v>
      </c>
      <c r="D48" s="224" t="s">
        <v>314</v>
      </c>
      <c r="E48" s="244">
        <v>37312775817</v>
      </c>
      <c r="F48" s="244">
        <v>42098440831</v>
      </c>
      <c r="G48" s="206"/>
    </row>
    <row r="49" spans="2:8" ht="14.45" customHeight="1" x14ac:dyDescent="0.2">
      <c r="B49" s="277" t="s">
        <v>11</v>
      </c>
      <c r="C49" s="278">
        <v>222</v>
      </c>
      <c r="D49" s="278"/>
      <c r="E49" s="245">
        <v>84591121918</v>
      </c>
      <c r="F49" s="245">
        <v>87501299006</v>
      </c>
      <c r="G49" s="206">
        <f>[1]bravo60!$F$56</f>
        <v>84591121918</v>
      </c>
      <c r="H49" s="206">
        <f>E49+E50-(F49+F50)</f>
        <v>-4785665014</v>
      </c>
    </row>
    <row r="50" spans="2:8" ht="14.45" customHeight="1" x14ac:dyDescent="0.2">
      <c r="B50" s="277" t="s">
        <v>12</v>
      </c>
      <c r="C50" s="278">
        <v>223</v>
      </c>
      <c r="D50" s="278"/>
      <c r="E50" s="245">
        <v>-47278346101</v>
      </c>
      <c r="F50" s="245">
        <v>-45402858175</v>
      </c>
      <c r="G50" s="206">
        <f>-[1]bravo60!$G$65</f>
        <v>-47278346101</v>
      </c>
    </row>
    <row r="51" spans="2:8" ht="14.45" customHeight="1" x14ac:dyDescent="0.2">
      <c r="B51" s="204" t="s">
        <v>298</v>
      </c>
      <c r="C51" s="205">
        <v>224</v>
      </c>
      <c r="D51" s="205"/>
      <c r="E51" s="244">
        <v>0</v>
      </c>
      <c r="F51" s="244">
        <v>0</v>
      </c>
      <c r="G51" s="206"/>
    </row>
    <row r="52" spans="2:8" ht="14.45" customHeight="1" x14ac:dyDescent="0.2">
      <c r="B52" s="277" t="s">
        <v>11</v>
      </c>
      <c r="C52" s="278">
        <v>225</v>
      </c>
      <c r="D52" s="278"/>
      <c r="E52" s="245">
        <v>0</v>
      </c>
      <c r="F52" s="245">
        <v>0</v>
      </c>
      <c r="G52" s="206"/>
    </row>
    <row r="53" spans="2:8" ht="14.45" customHeight="1" x14ac:dyDescent="0.2">
      <c r="B53" s="277" t="s">
        <v>12</v>
      </c>
      <c r="C53" s="278">
        <v>226</v>
      </c>
      <c r="D53" s="278"/>
      <c r="E53" s="245">
        <v>0</v>
      </c>
      <c r="F53" s="245">
        <v>0</v>
      </c>
      <c r="G53" s="206"/>
    </row>
    <row r="54" spans="2:8" ht="14.45" customHeight="1" x14ac:dyDescent="0.2">
      <c r="B54" s="204" t="s">
        <v>299</v>
      </c>
      <c r="C54" s="205">
        <v>227</v>
      </c>
      <c r="D54" s="224" t="s">
        <v>83</v>
      </c>
      <c r="E54" s="244">
        <v>1459159306</v>
      </c>
      <c r="F54" s="244">
        <v>1404000000</v>
      </c>
      <c r="G54" s="206"/>
    </row>
    <row r="55" spans="2:8" ht="14.45" customHeight="1" x14ac:dyDescent="0.2">
      <c r="B55" s="277" t="s">
        <v>11</v>
      </c>
      <c r="C55" s="278">
        <v>228</v>
      </c>
      <c r="D55" s="278"/>
      <c r="E55" s="245">
        <v>1569850000</v>
      </c>
      <c r="F55" s="245">
        <v>1506000000</v>
      </c>
      <c r="G55" s="206">
        <f>[1]bravo60!$F$61</f>
        <v>1569850000</v>
      </c>
    </row>
    <row r="56" spans="2:8" ht="14.45" customHeight="1" x14ac:dyDescent="0.2">
      <c r="B56" s="277" t="s">
        <v>12</v>
      </c>
      <c r="C56" s="278">
        <v>229</v>
      </c>
      <c r="D56" s="278"/>
      <c r="E56" s="245">
        <v>-110690694</v>
      </c>
      <c r="F56" s="245">
        <v>-102000000</v>
      </c>
      <c r="G56" s="206">
        <f>-[1]bravo60!$G$66</f>
        <v>-110690694</v>
      </c>
    </row>
    <row r="57" spans="2:8" ht="14.45" customHeight="1" x14ac:dyDescent="0.2">
      <c r="B57" s="273" t="s">
        <v>300</v>
      </c>
      <c r="C57" s="210">
        <v>230</v>
      </c>
      <c r="D57" s="210"/>
      <c r="E57" s="242">
        <v>0</v>
      </c>
      <c r="F57" s="242">
        <v>0</v>
      </c>
      <c r="G57" s="206"/>
    </row>
    <row r="58" spans="2:8" ht="14.45" customHeight="1" x14ac:dyDescent="0.2">
      <c r="B58" s="204" t="s">
        <v>11</v>
      </c>
      <c r="C58" s="205">
        <v>231</v>
      </c>
      <c r="D58" s="205"/>
      <c r="E58" s="175">
        <v>0</v>
      </c>
      <c r="F58" s="175">
        <v>0</v>
      </c>
      <c r="G58" s="206"/>
    </row>
    <row r="59" spans="2:8" ht="15" customHeight="1" x14ac:dyDescent="0.2">
      <c r="B59" s="204" t="s">
        <v>12</v>
      </c>
      <c r="C59" s="205">
        <v>232</v>
      </c>
      <c r="D59" s="205"/>
      <c r="E59" s="175">
        <v>0</v>
      </c>
      <c r="F59" s="175">
        <v>0</v>
      </c>
      <c r="G59" s="206"/>
    </row>
    <row r="60" spans="2:8" s="30" customFormat="1" ht="15" customHeight="1" x14ac:dyDescent="0.2">
      <c r="B60" s="279" t="s">
        <v>415</v>
      </c>
      <c r="C60" s="210">
        <v>240</v>
      </c>
      <c r="D60" s="210"/>
      <c r="E60" s="243">
        <v>270456481</v>
      </c>
      <c r="F60" s="243">
        <v>0</v>
      </c>
      <c r="G60" s="280"/>
    </row>
    <row r="61" spans="2:8" ht="15" customHeight="1" x14ac:dyDescent="0.2">
      <c r="B61" s="204" t="s">
        <v>416</v>
      </c>
      <c r="C61" s="205">
        <v>241</v>
      </c>
      <c r="D61" s="205"/>
      <c r="E61" s="175">
        <v>145980118</v>
      </c>
      <c r="F61" s="175"/>
      <c r="G61" s="206"/>
    </row>
    <row r="62" spans="2:8" ht="15" customHeight="1" x14ac:dyDescent="0.2">
      <c r="B62" s="204" t="s">
        <v>417</v>
      </c>
      <c r="C62" s="205">
        <v>242</v>
      </c>
      <c r="D62" s="205"/>
      <c r="E62" s="175">
        <v>124476363</v>
      </c>
      <c r="F62" s="175"/>
      <c r="G62" s="206">
        <f>[1]bravo60!$F$73</f>
        <v>124476363</v>
      </c>
    </row>
    <row r="63" spans="2:8" ht="16.5" customHeight="1" x14ac:dyDescent="0.2">
      <c r="B63" s="279" t="s">
        <v>418</v>
      </c>
      <c r="C63" s="281">
        <v>250</v>
      </c>
      <c r="D63" s="281"/>
      <c r="E63" s="246">
        <v>250000000</v>
      </c>
      <c r="F63" s="246">
        <v>11368623342</v>
      </c>
      <c r="G63" s="206"/>
    </row>
    <row r="64" spans="2:8" ht="14.45" customHeight="1" x14ac:dyDescent="0.2">
      <c r="B64" s="204" t="s">
        <v>13</v>
      </c>
      <c r="C64" s="205">
        <v>251</v>
      </c>
      <c r="D64" s="224" t="s">
        <v>84</v>
      </c>
      <c r="E64" s="175"/>
      <c r="F64" s="175">
        <v>10200000000</v>
      </c>
      <c r="G64" s="206"/>
    </row>
    <row r="65" spans="2:10" ht="14.45" customHeight="1" x14ac:dyDescent="0.2">
      <c r="B65" s="204" t="s">
        <v>419</v>
      </c>
      <c r="C65" s="205">
        <v>252</v>
      </c>
      <c r="D65" s="205"/>
      <c r="E65" s="175">
        <v>0</v>
      </c>
      <c r="F65" s="175">
        <v>0</v>
      </c>
      <c r="G65" s="206"/>
    </row>
    <row r="66" spans="2:10" ht="14.45" customHeight="1" x14ac:dyDescent="0.2">
      <c r="B66" s="204" t="s">
        <v>420</v>
      </c>
      <c r="C66" s="205">
        <v>253</v>
      </c>
      <c r="D66" s="224" t="s">
        <v>309</v>
      </c>
      <c r="E66" s="175">
        <v>5250000000</v>
      </c>
      <c r="F66" s="175">
        <v>5250000000</v>
      </c>
      <c r="G66" s="206">
        <f>[1]bravo60!$F$68</f>
        <v>5250000000</v>
      </c>
    </row>
    <row r="67" spans="2:10" ht="17.25" customHeight="1" x14ac:dyDescent="0.2">
      <c r="B67" s="204" t="s">
        <v>421</v>
      </c>
      <c r="C67" s="205">
        <v>254</v>
      </c>
      <c r="D67" s="205"/>
      <c r="E67" s="175">
        <v>-5000000000</v>
      </c>
      <c r="F67" s="175">
        <v>-4081376658</v>
      </c>
      <c r="G67" s="206">
        <f>-[1]bravo60!$G$71</f>
        <v>-5000000000</v>
      </c>
    </row>
    <row r="68" spans="2:10" ht="17.25" customHeight="1" x14ac:dyDescent="0.2">
      <c r="B68" s="204" t="s">
        <v>422</v>
      </c>
      <c r="C68" s="205">
        <v>255</v>
      </c>
      <c r="D68" s="205"/>
      <c r="E68" s="175"/>
      <c r="F68" s="175"/>
      <c r="G68" s="206"/>
    </row>
    <row r="69" spans="2:10" ht="14.45" customHeight="1" x14ac:dyDescent="0.2">
      <c r="B69" s="273" t="s">
        <v>423</v>
      </c>
      <c r="C69" s="210">
        <v>260</v>
      </c>
      <c r="D69" s="210"/>
      <c r="E69" s="242">
        <v>32304698410</v>
      </c>
      <c r="F69" s="242">
        <v>25294863336</v>
      </c>
      <c r="G69" s="206"/>
    </row>
    <row r="70" spans="2:10" ht="14.45" customHeight="1" x14ac:dyDescent="0.2">
      <c r="B70" s="204" t="s">
        <v>14</v>
      </c>
      <c r="C70" s="205">
        <v>261</v>
      </c>
      <c r="D70" s="224" t="s">
        <v>86</v>
      </c>
      <c r="E70" s="175">
        <v>32304698410</v>
      </c>
      <c r="F70" s="175">
        <v>25294863336</v>
      </c>
      <c r="G70" s="206">
        <f>[1]bravo60!$F$77</f>
        <v>32304698410</v>
      </c>
    </row>
    <row r="71" spans="2:10" ht="14.45" customHeight="1" x14ac:dyDescent="0.2">
      <c r="B71" s="204" t="s">
        <v>301</v>
      </c>
      <c r="C71" s="205">
        <v>262</v>
      </c>
      <c r="D71" s="205"/>
      <c r="E71" s="175">
        <v>0</v>
      </c>
      <c r="F71" s="175">
        <v>0</v>
      </c>
      <c r="G71" s="206"/>
    </row>
    <row r="72" spans="2:10" ht="14.45" customHeight="1" x14ac:dyDescent="0.2">
      <c r="B72" s="204" t="s">
        <v>424</v>
      </c>
      <c r="C72" s="205">
        <v>263</v>
      </c>
      <c r="D72" s="205"/>
      <c r="E72" s="175"/>
      <c r="F72" s="175"/>
      <c r="G72" s="206"/>
    </row>
    <row r="73" spans="2:10" ht="18" customHeight="1" x14ac:dyDescent="0.2">
      <c r="B73" s="204" t="s">
        <v>425</v>
      </c>
      <c r="C73" s="205">
        <v>268</v>
      </c>
      <c r="D73" s="205"/>
      <c r="G73" s="206"/>
    </row>
    <row r="74" spans="2:10" ht="14.45" customHeight="1" x14ac:dyDescent="0.2">
      <c r="B74" s="273" t="s">
        <v>306</v>
      </c>
      <c r="C74" s="210">
        <v>270</v>
      </c>
      <c r="D74" s="210"/>
      <c r="E74" s="242">
        <v>583246595015</v>
      </c>
      <c r="F74" s="242">
        <v>574681939055</v>
      </c>
      <c r="G74" s="206">
        <f>SUM(G12:G73)</f>
        <v>592005385432</v>
      </c>
    </row>
    <row r="75" spans="2:10" ht="17.25" customHeight="1" x14ac:dyDescent="0.2">
      <c r="B75" s="273" t="s">
        <v>270</v>
      </c>
      <c r="C75" s="205"/>
      <c r="D75" s="205"/>
      <c r="E75" s="175"/>
      <c r="F75" s="175"/>
      <c r="G75" s="206"/>
    </row>
    <row r="76" spans="2:10" ht="17.25" customHeight="1" x14ac:dyDescent="0.2">
      <c r="B76" s="273" t="s">
        <v>426</v>
      </c>
      <c r="C76" s="210">
        <v>300</v>
      </c>
      <c r="D76" s="210"/>
      <c r="E76" s="242">
        <v>487843639227</v>
      </c>
      <c r="F76" s="242">
        <v>476545707584</v>
      </c>
      <c r="G76" s="206"/>
    </row>
    <row r="77" spans="2:10" ht="16.5" customHeight="1" x14ac:dyDescent="0.2">
      <c r="B77" s="273" t="s">
        <v>15</v>
      </c>
      <c r="C77" s="210">
        <v>310</v>
      </c>
      <c r="D77" s="210"/>
      <c r="E77" s="242">
        <v>484557639227</v>
      </c>
      <c r="F77" s="242">
        <v>472269707584</v>
      </c>
      <c r="G77" s="206"/>
    </row>
    <row r="78" spans="2:10" ht="14.45" customHeight="1" x14ac:dyDescent="0.2">
      <c r="B78" s="204" t="s">
        <v>427</v>
      </c>
      <c r="C78" s="205">
        <v>311</v>
      </c>
      <c r="D78" s="205"/>
      <c r="E78" s="175">
        <v>174769844964</v>
      </c>
      <c r="F78" s="175">
        <v>229828863793</v>
      </c>
      <c r="G78" s="206">
        <f>[1]bravo60!$G$81</f>
        <v>183600347158</v>
      </c>
      <c r="H78" s="206" t="s">
        <v>549</v>
      </c>
      <c r="I78" s="206"/>
      <c r="J78" s="206"/>
    </row>
    <row r="79" spans="2:10" ht="14.45" customHeight="1" x14ac:dyDescent="0.2">
      <c r="B79" s="204" t="s">
        <v>428</v>
      </c>
      <c r="C79" s="205">
        <v>312</v>
      </c>
      <c r="D79" s="205"/>
      <c r="E79" s="175">
        <v>48959509174</v>
      </c>
      <c r="F79" s="175">
        <v>57708695212</v>
      </c>
      <c r="G79" s="206">
        <f>[1]bravo60!$G$28</f>
        <v>48959509174</v>
      </c>
      <c r="H79" s="206"/>
      <c r="J79" s="206"/>
    </row>
    <row r="80" spans="2:10" ht="14.45" customHeight="1" x14ac:dyDescent="0.2">
      <c r="B80" s="204" t="s">
        <v>429</v>
      </c>
      <c r="C80" s="205">
        <v>313</v>
      </c>
      <c r="D80" s="224" t="s">
        <v>87</v>
      </c>
      <c r="E80" s="175">
        <v>15207821234</v>
      </c>
      <c r="F80" s="175">
        <v>7871543398</v>
      </c>
      <c r="G80" s="206">
        <f>[1]bravo60!$G$82</f>
        <v>15495988578</v>
      </c>
      <c r="H80" s="206"/>
      <c r="I80" s="206"/>
      <c r="J80" s="206"/>
    </row>
    <row r="81" spans="2:10" ht="14.45" customHeight="1" x14ac:dyDescent="0.2">
      <c r="B81" s="204" t="s">
        <v>430</v>
      </c>
      <c r="C81" s="205">
        <v>314</v>
      </c>
      <c r="D81" s="205"/>
      <c r="E81" s="175">
        <v>13698507504</v>
      </c>
      <c r="F81" s="175">
        <v>16764974194</v>
      </c>
      <c r="G81" s="206">
        <f>[1]bravo60!$G$91</f>
        <v>13698507504</v>
      </c>
    </row>
    <row r="82" spans="2:10" ht="14.45" customHeight="1" x14ac:dyDescent="0.2">
      <c r="B82" s="204" t="s">
        <v>431</v>
      </c>
      <c r="C82" s="205">
        <v>315</v>
      </c>
      <c r="D82" s="224" t="s">
        <v>88</v>
      </c>
      <c r="E82" s="175">
        <v>55966000558</v>
      </c>
      <c r="F82" s="175">
        <v>55843369891</v>
      </c>
      <c r="G82" s="206">
        <f>[1]bravo60!$G$94</f>
        <v>55636291620</v>
      </c>
    </row>
    <row r="83" spans="2:10" ht="14.45" customHeight="1" x14ac:dyDescent="0.2">
      <c r="B83" s="204" t="s">
        <v>432</v>
      </c>
      <c r="C83" s="205">
        <v>316</v>
      </c>
      <c r="D83" s="205"/>
      <c r="E83" s="175"/>
      <c r="F83" s="175">
        <v>0</v>
      </c>
      <c r="G83" s="206"/>
    </row>
    <row r="84" spans="2:10" ht="14.45" customHeight="1" x14ac:dyDescent="0.2">
      <c r="B84" s="204" t="s">
        <v>433</v>
      </c>
      <c r="C84" s="205">
        <v>317</v>
      </c>
      <c r="D84" s="205"/>
      <c r="E84" s="175">
        <v>0</v>
      </c>
      <c r="F84" s="175">
        <v>0</v>
      </c>
      <c r="G84" s="206"/>
    </row>
    <row r="85" spans="2:10" ht="14.45" customHeight="1" x14ac:dyDescent="0.2">
      <c r="B85" s="204" t="s">
        <v>434</v>
      </c>
      <c r="C85" s="205">
        <v>318</v>
      </c>
      <c r="D85" s="205"/>
      <c r="E85" s="175"/>
      <c r="F85" s="175"/>
      <c r="G85" s="206"/>
    </row>
    <row r="86" spans="2:10" ht="14.25" customHeight="1" x14ac:dyDescent="0.2">
      <c r="B86" s="204" t="s">
        <v>435</v>
      </c>
      <c r="C86" s="205">
        <v>319</v>
      </c>
      <c r="D86" s="224" t="s">
        <v>89</v>
      </c>
      <c r="E86" s="175">
        <v>4991986709</v>
      </c>
      <c r="F86" s="175">
        <v>2341664063</v>
      </c>
      <c r="G86" s="206">
        <f>[1]bravo60!$G$35+[1]bravo60!$G$96</f>
        <v>4992253952</v>
      </c>
      <c r="H86" s="208"/>
      <c r="I86" s="207">
        <v>112</v>
      </c>
      <c r="J86" s="207">
        <v>3388</v>
      </c>
    </row>
    <row r="87" spans="2:10" ht="14.45" customHeight="1" x14ac:dyDescent="0.2">
      <c r="B87" s="204" t="s">
        <v>436</v>
      </c>
      <c r="C87" s="205">
        <v>320</v>
      </c>
      <c r="D87" s="224" t="s">
        <v>90</v>
      </c>
      <c r="E87" s="175">
        <v>166226359691</v>
      </c>
      <c r="F87" s="175">
        <v>99059489831</v>
      </c>
      <c r="G87" s="206">
        <f>[1]bravo60!$G$104</f>
        <v>166226359691</v>
      </c>
      <c r="H87" s="208"/>
    </row>
    <row r="88" spans="2:10" ht="14.45" customHeight="1" x14ac:dyDescent="0.2">
      <c r="B88" s="204" t="s">
        <v>437</v>
      </c>
      <c r="C88" s="205">
        <v>321</v>
      </c>
      <c r="D88" s="210"/>
      <c r="E88" s="175">
        <v>3849521586</v>
      </c>
      <c r="F88" s="175">
        <v>2847927000</v>
      </c>
      <c r="G88" s="206">
        <f>[1]bravo60!$G$112</f>
        <v>3893852156</v>
      </c>
      <c r="H88" s="282"/>
      <c r="I88" s="207">
        <v>3388</v>
      </c>
      <c r="J88" s="207">
        <v>511</v>
      </c>
    </row>
    <row r="89" spans="2:10" ht="16.5" customHeight="1" x14ac:dyDescent="0.2">
      <c r="B89" s="204" t="s">
        <v>438</v>
      </c>
      <c r="C89" s="205">
        <v>322</v>
      </c>
      <c r="D89" s="205"/>
      <c r="E89" s="175">
        <v>888087807</v>
      </c>
      <c r="F89" s="175">
        <v>3180202</v>
      </c>
      <c r="G89" s="206">
        <f>[1]bravo60!$G$114</f>
        <v>888087807</v>
      </c>
      <c r="H89" s="282"/>
    </row>
    <row r="90" spans="2:10" ht="16.5" customHeight="1" x14ac:dyDescent="0.2">
      <c r="B90" s="204" t="s">
        <v>439</v>
      </c>
      <c r="C90" s="205">
        <v>323</v>
      </c>
      <c r="D90" s="205"/>
      <c r="E90" s="175"/>
      <c r="F90" s="175"/>
      <c r="G90" s="206"/>
    </row>
    <row r="91" spans="2:10" ht="16.5" customHeight="1" x14ac:dyDescent="0.2">
      <c r="B91" s="204" t="s">
        <v>440</v>
      </c>
      <c r="C91" s="205">
        <v>324</v>
      </c>
      <c r="D91" s="205"/>
      <c r="E91" s="175"/>
      <c r="F91" s="175"/>
      <c r="G91" s="206"/>
    </row>
    <row r="92" spans="2:10" ht="14.45" customHeight="1" x14ac:dyDescent="0.2">
      <c r="B92" s="273" t="s">
        <v>16</v>
      </c>
      <c r="C92" s="210">
        <v>330</v>
      </c>
      <c r="D92" s="210"/>
      <c r="E92" s="242">
        <v>3286000000</v>
      </c>
      <c r="F92" s="242">
        <v>4276000000</v>
      </c>
      <c r="G92" s="206"/>
    </row>
    <row r="93" spans="2:10" ht="14.45" customHeight="1" x14ac:dyDescent="0.2">
      <c r="B93" s="204" t="s">
        <v>441</v>
      </c>
      <c r="C93" s="205">
        <v>331</v>
      </c>
      <c r="D93" s="205"/>
      <c r="E93" s="175">
        <v>0</v>
      </c>
      <c r="F93" s="175">
        <v>0</v>
      </c>
      <c r="G93" s="206"/>
    </row>
    <row r="94" spans="2:10" ht="14.45" customHeight="1" x14ac:dyDescent="0.2">
      <c r="B94" s="204" t="s">
        <v>442</v>
      </c>
      <c r="C94" s="205">
        <v>332</v>
      </c>
      <c r="D94" s="205"/>
      <c r="E94" s="175"/>
      <c r="F94" s="175"/>
      <c r="G94" s="206"/>
    </row>
    <row r="95" spans="2:10" ht="14.45" customHeight="1" x14ac:dyDescent="0.2">
      <c r="B95" s="204" t="s">
        <v>443</v>
      </c>
      <c r="C95" s="205">
        <v>333</v>
      </c>
      <c r="D95" s="205"/>
      <c r="E95" s="175"/>
      <c r="F95" s="175"/>
      <c r="G95" s="206"/>
    </row>
    <row r="96" spans="2:10" ht="14.45" customHeight="1" x14ac:dyDescent="0.2">
      <c r="B96" s="204" t="s">
        <v>444</v>
      </c>
      <c r="C96" s="205">
        <v>334</v>
      </c>
      <c r="D96" s="205"/>
      <c r="E96" s="175">
        <v>0</v>
      </c>
      <c r="F96" s="175">
        <v>0</v>
      </c>
      <c r="G96" s="206"/>
    </row>
    <row r="97" spans="2:7" ht="14.45" customHeight="1" x14ac:dyDescent="0.2">
      <c r="B97" s="204" t="s">
        <v>445</v>
      </c>
      <c r="C97" s="205">
        <v>335</v>
      </c>
      <c r="D97" s="205"/>
      <c r="E97" s="175">
        <v>0</v>
      </c>
      <c r="F97" s="175">
        <v>0</v>
      </c>
      <c r="G97" s="206"/>
    </row>
    <row r="98" spans="2:7" ht="14.45" customHeight="1" x14ac:dyDescent="0.2">
      <c r="B98" s="204" t="s">
        <v>446</v>
      </c>
      <c r="C98" s="205">
        <v>336</v>
      </c>
      <c r="D98" s="205"/>
      <c r="E98" s="175"/>
      <c r="F98" s="175"/>
      <c r="G98" s="206"/>
    </row>
    <row r="99" spans="2:7" ht="14.45" customHeight="1" x14ac:dyDescent="0.2">
      <c r="B99" s="204" t="s">
        <v>447</v>
      </c>
      <c r="C99" s="205">
        <v>337</v>
      </c>
      <c r="D99" s="205"/>
      <c r="E99" s="175"/>
      <c r="F99" s="175"/>
      <c r="G99" s="206"/>
    </row>
    <row r="100" spans="2:7" ht="14.45" customHeight="1" x14ac:dyDescent="0.2">
      <c r="B100" s="204" t="s">
        <v>448</v>
      </c>
      <c r="C100" s="205">
        <v>338</v>
      </c>
      <c r="D100" s="224" t="s">
        <v>90</v>
      </c>
      <c r="E100" s="175">
        <v>2605000000</v>
      </c>
      <c r="F100" s="175">
        <v>3595000000</v>
      </c>
      <c r="G100" s="206">
        <f>[1]bravo60!$G$110</f>
        <v>2605000000</v>
      </c>
    </row>
    <row r="101" spans="2:7" ht="14.45" customHeight="1" x14ac:dyDescent="0.2">
      <c r="B101" s="204" t="s">
        <v>449</v>
      </c>
      <c r="C101" s="205">
        <v>339</v>
      </c>
      <c r="D101" s="205"/>
      <c r="E101" s="175">
        <v>0</v>
      </c>
      <c r="F101" s="175">
        <v>0</v>
      </c>
      <c r="G101" s="206"/>
    </row>
    <row r="102" spans="2:7" ht="14.45" customHeight="1" x14ac:dyDescent="0.2">
      <c r="B102" s="204" t="s">
        <v>450</v>
      </c>
      <c r="C102" s="205">
        <v>340</v>
      </c>
      <c r="D102" s="205"/>
      <c r="E102" s="175">
        <v>0</v>
      </c>
      <c r="F102" s="175">
        <v>0</v>
      </c>
      <c r="G102" s="206"/>
    </row>
    <row r="103" spans="2:7" ht="14.45" customHeight="1" x14ac:dyDescent="0.2">
      <c r="B103" s="204" t="s">
        <v>451</v>
      </c>
      <c r="C103" s="205">
        <v>341</v>
      </c>
      <c r="D103" s="205"/>
      <c r="E103" s="175">
        <v>0</v>
      </c>
      <c r="F103" s="175">
        <v>0</v>
      </c>
      <c r="G103" s="206"/>
    </row>
    <row r="104" spans="2:7" ht="14.45" customHeight="1" x14ac:dyDescent="0.2">
      <c r="B104" s="204" t="s">
        <v>452</v>
      </c>
      <c r="C104" s="205">
        <v>342</v>
      </c>
      <c r="D104" s="205"/>
      <c r="E104" s="175">
        <v>0</v>
      </c>
      <c r="F104" s="175">
        <v>0</v>
      </c>
      <c r="G104" s="206"/>
    </row>
    <row r="105" spans="2:7" ht="17.25" customHeight="1" x14ac:dyDescent="0.2">
      <c r="B105" s="204" t="s">
        <v>538</v>
      </c>
      <c r="C105" s="205">
        <v>343</v>
      </c>
      <c r="D105" s="205"/>
      <c r="E105" s="175">
        <v>681000000</v>
      </c>
      <c r="F105" s="175">
        <v>681000000</v>
      </c>
      <c r="G105" s="206">
        <f>[1]bravo60!$G$117</f>
        <v>681000000</v>
      </c>
    </row>
    <row r="106" spans="2:7" ht="16.5" customHeight="1" x14ac:dyDescent="0.2">
      <c r="B106" s="273" t="s">
        <v>453</v>
      </c>
      <c r="C106" s="210">
        <v>400</v>
      </c>
      <c r="D106" s="210"/>
      <c r="E106" s="242">
        <v>95402955788</v>
      </c>
      <c r="F106" s="242">
        <v>98136231471</v>
      </c>
      <c r="G106" s="206"/>
    </row>
    <row r="107" spans="2:7" ht="17.25" customHeight="1" x14ac:dyDescent="0.2">
      <c r="B107" s="273" t="s">
        <v>17</v>
      </c>
      <c r="C107" s="210">
        <v>410</v>
      </c>
      <c r="D107" s="210"/>
      <c r="E107" s="242">
        <v>95402955788</v>
      </c>
      <c r="F107" s="242">
        <v>98136231471</v>
      </c>
      <c r="G107" s="206"/>
    </row>
    <row r="108" spans="2:7" ht="14.45" customHeight="1" x14ac:dyDescent="0.2">
      <c r="B108" s="204" t="s">
        <v>18</v>
      </c>
      <c r="C108" s="205">
        <v>411</v>
      </c>
      <c r="D108" s="205">
        <v>13</v>
      </c>
      <c r="E108" s="175">
        <v>60000000000</v>
      </c>
      <c r="F108" s="175">
        <v>60000000000</v>
      </c>
      <c r="G108" s="206"/>
    </row>
    <row r="109" spans="2:7" s="284" customFormat="1" ht="14.45" customHeight="1" x14ac:dyDescent="0.2">
      <c r="B109" s="277" t="s">
        <v>455</v>
      </c>
      <c r="C109" s="278" t="s">
        <v>454</v>
      </c>
      <c r="D109" s="278"/>
      <c r="E109" s="245">
        <v>60000000000</v>
      </c>
      <c r="F109" s="245">
        <v>60000000000</v>
      </c>
      <c r="G109" s="283">
        <f>[1]bravo60!$G$119</f>
        <v>60000000000</v>
      </c>
    </row>
    <row r="110" spans="2:7" s="284" customFormat="1" ht="14.45" customHeight="1" x14ac:dyDescent="0.2">
      <c r="B110" s="277" t="s">
        <v>456</v>
      </c>
      <c r="C110" s="278" t="s">
        <v>457</v>
      </c>
      <c r="D110" s="278"/>
      <c r="E110" s="245"/>
      <c r="F110" s="245"/>
      <c r="G110" s="283"/>
    </row>
    <row r="111" spans="2:7" ht="14.45" customHeight="1" x14ac:dyDescent="0.2">
      <c r="B111" s="204" t="s">
        <v>19</v>
      </c>
      <c r="C111" s="205">
        <v>412</v>
      </c>
      <c r="D111" s="205">
        <v>13</v>
      </c>
      <c r="E111" s="175">
        <v>6795900000</v>
      </c>
      <c r="F111" s="175">
        <v>6795900000</v>
      </c>
      <c r="G111" s="206">
        <f>[1]bravo60!$G$121</f>
        <v>6795900000</v>
      </c>
    </row>
    <row r="112" spans="2:7" ht="14.45" customHeight="1" x14ac:dyDescent="0.2">
      <c r="B112" s="204" t="s">
        <v>458</v>
      </c>
      <c r="C112" s="205">
        <v>413</v>
      </c>
      <c r="D112" s="205"/>
      <c r="E112" s="175"/>
      <c r="F112" s="175"/>
      <c r="G112" s="206"/>
    </row>
    <row r="113" spans="2:7" ht="14.45" customHeight="1" x14ac:dyDescent="0.2">
      <c r="B113" s="204" t="s">
        <v>459</v>
      </c>
      <c r="C113" s="205">
        <v>414</v>
      </c>
      <c r="D113" s="205"/>
      <c r="E113" s="175">
        <v>0</v>
      </c>
      <c r="F113" s="175">
        <v>0</v>
      </c>
      <c r="G113" s="206"/>
    </row>
    <row r="114" spans="2:7" ht="14.45" customHeight="1" x14ac:dyDescent="0.2">
      <c r="B114" s="204" t="s">
        <v>460</v>
      </c>
      <c r="C114" s="205">
        <v>415</v>
      </c>
      <c r="D114" s="205"/>
      <c r="E114" s="175">
        <v>0</v>
      </c>
      <c r="F114" s="175">
        <v>0</v>
      </c>
      <c r="G114" s="206"/>
    </row>
    <row r="115" spans="2:7" ht="14.45" customHeight="1" x14ac:dyDescent="0.2">
      <c r="B115" s="204" t="s">
        <v>461</v>
      </c>
      <c r="C115" s="205">
        <v>416</v>
      </c>
      <c r="D115" s="205"/>
      <c r="E115" s="175">
        <v>0</v>
      </c>
      <c r="F115" s="175">
        <v>0</v>
      </c>
      <c r="G115" s="206"/>
    </row>
    <row r="116" spans="2:7" ht="14.45" customHeight="1" x14ac:dyDescent="0.2">
      <c r="B116" s="204" t="s">
        <v>462</v>
      </c>
      <c r="C116" s="205">
        <v>417</v>
      </c>
      <c r="D116" s="205"/>
      <c r="E116" s="175">
        <v>0</v>
      </c>
      <c r="F116" s="175">
        <v>0</v>
      </c>
      <c r="G116" s="206"/>
    </row>
    <row r="117" spans="2:7" ht="14.45" customHeight="1" x14ac:dyDescent="0.2">
      <c r="B117" s="204" t="s">
        <v>463</v>
      </c>
      <c r="C117" s="205">
        <v>418</v>
      </c>
      <c r="D117" s="205">
        <v>13</v>
      </c>
      <c r="E117" s="175">
        <v>16136363316</v>
      </c>
      <c r="F117" s="175">
        <v>14162271932</v>
      </c>
      <c r="G117" s="206">
        <f>[1]bravo60!$G$122</f>
        <v>16136363316</v>
      </c>
    </row>
    <row r="118" spans="2:7" ht="14.45" customHeight="1" x14ac:dyDescent="0.2">
      <c r="B118" s="204" t="s">
        <v>464</v>
      </c>
      <c r="C118" s="205">
        <v>419</v>
      </c>
      <c r="D118" s="205">
        <v>13</v>
      </c>
      <c r="E118" s="175"/>
      <c r="F118" s="175"/>
      <c r="G118" s="206"/>
    </row>
    <row r="119" spans="2:7" ht="14.45" customHeight="1" x14ac:dyDescent="0.2">
      <c r="B119" s="204" t="s">
        <v>465</v>
      </c>
      <c r="C119" s="205">
        <v>420</v>
      </c>
      <c r="D119" s="205"/>
      <c r="E119" s="175">
        <v>0</v>
      </c>
      <c r="F119" s="175">
        <v>0</v>
      </c>
      <c r="G119" s="206"/>
    </row>
    <row r="120" spans="2:7" ht="14.45" customHeight="1" x14ac:dyDescent="0.2">
      <c r="B120" s="204" t="s">
        <v>466</v>
      </c>
      <c r="C120" s="205">
        <v>421</v>
      </c>
      <c r="D120" s="205">
        <v>13</v>
      </c>
      <c r="E120" s="175">
        <v>12470692472</v>
      </c>
      <c r="F120" s="175">
        <v>17178059539</v>
      </c>
      <c r="G120" s="206">
        <f>[1]bravo60!$G$123</f>
        <v>12427534627</v>
      </c>
    </row>
    <row r="121" spans="2:7" s="284" customFormat="1" ht="14.45" customHeight="1" x14ac:dyDescent="0.2">
      <c r="B121" s="277" t="s">
        <v>467</v>
      </c>
      <c r="C121" s="278" t="s">
        <v>469</v>
      </c>
      <c r="D121" s="278"/>
      <c r="E121" s="245"/>
      <c r="F121" s="245">
        <v>17178059539</v>
      </c>
      <c r="G121" s="283"/>
    </row>
    <row r="122" spans="2:7" s="284" customFormat="1" ht="14.45" customHeight="1" x14ac:dyDescent="0.2">
      <c r="B122" s="277" t="s">
        <v>468</v>
      </c>
      <c r="C122" s="278" t="s">
        <v>470</v>
      </c>
      <c r="D122" s="278"/>
      <c r="E122" s="245">
        <v>12470692472</v>
      </c>
      <c r="F122" s="245"/>
      <c r="G122" s="283"/>
    </row>
    <row r="123" spans="2:7" ht="17.25" customHeight="1" x14ac:dyDescent="0.2">
      <c r="B123" s="204" t="s">
        <v>471</v>
      </c>
      <c r="C123" s="205">
        <v>422</v>
      </c>
      <c r="D123" s="205"/>
      <c r="E123" s="175">
        <v>0</v>
      </c>
      <c r="F123" s="175">
        <v>0</v>
      </c>
      <c r="G123" s="206"/>
    </row>
    <row r="124" spans="2:7" ht="14.45" customHeight="1" x14ac:dyDescent="0.2">
      <c r="B124" s="273" t="s">
        <v>302</v>
      </c>
      <c r="C124" s="210">
        <v>430</v>
      </c>
      <c r="D124" s="210"/>
      <c r="E124" s="242">
        <v>0</v>
      </c>
      <c r="F124" s="242">
        <v>0</v>
      </c>
      <c r="G124" s="206"/>
    </row>
    <row r="125" spans="2:7" ht="14.45" customHeight="1" x14ac:dyDescent="0.2">
      <c r="B125" s="204" t="s">
        <v>303</v>
      </c>
      <c r="C125" s="205">
        <v>431</v>
      </c>
      <c r="D125" s="205"/>
      <c r="E125" s="175">
        <v>0</v>
      </c>
      <c r="F125" s="175">
        <v>0</v>
      </c>
      <c r="G125" s="206"/>
    </row>
    <row r="126" spans="2:7" ht="17.25" customHeight="1" x14ac:dyDescent="0.2">
      <c r="B126" s="204" t="s">
        <v>304</v>
      </c>
      <c r="C126" s="205">
        <v>432</v>
      </c>
      <c r="D126" s="205"/>
      <c r="E126" s="175">
        <v>0</v>
      </c>
      <c r="F126" s="175">
        <v>0</v>
      </c>
      <c r="G126" s="206"/>
    </row>
    <row r="127" spans="2:7" ht="18" customHeight="1" x14ac:dyDescent="0.2">
      <c r="B127" s="285" t="s">
        <v>308</v>
      </c>
      <c r="C127" s="286">
        <v>440</v>
      </c>
      <c r="D127" s="286"/>
      <c r="E127" s="247">
        <v>583246595015</v>
      </c>
      <c r="F127" s="247">
        <v>574681939055</v>
      </c>
      <c r="G127" s="206">
        <f>SUM(G76:G126)</f>
        <v>592036995583</v>
      </c>
    </row>
    <row r="128" spans="2:7" ht="15" customHeight="1" x14ac:dyDescent="0.2">
      <c r="E128" s="248">
        <f>E127-E74</f>
        <v>0</v>
      </c>
      <c r="F128" s="248">
        <f>F127-F74</f>
        <v>0</v>
      </c>
      <c r="G128" s="208">
        <f>G127-G74</f>
        <v>31610151</v>
      </c>
    </row>
    <row r="129" spans="1:7" ht="15" customHeight="1" x14ac:dyDescent="0.2">
      <c r="D129" s="293" t="s">
        <v>548</v>
      </c>
      <c r="E129" s="293"/>
      <c r="F129" s="293"/>
      <c r="G129" s="208">
        <f>E128/2</f>
        <v>0</v>
      </c>
    </row>
    <row r="130" spans="1:7" ht="15" customHeight="1" x14ac:dyDescent="0.2">
      <c r="B130" s="287" t="s">
        <v>350</v>
      </c>
      <c r="D130" s="294" t="s">
        <v>343</v>
      </c>
      <c r="E130" s="294"/>
      <c r="F130" s="294"/>
      <c r="G130" s="207">
        <f>27154400</f>
        <v>27154400</v>
      </c>
    </row>
    <row r="131" spans="1:7" ht="15" customHeight="1" x14ac:dyDescent="0.2">
      <c r="G131" s="238">
        <f>G130-E128</f>
        <v>27154400</v>
      </c>
    </row>
    <row r="132" spans="1:7" ht="15" customHeight="1" x14ac:dyDescent="0.2"/>
    <row r="133" spans="1:7" ht="15" customHeight="1" x14ac:dyDescent="0.2"/>
    <row r="134" spans="1:7" ht="15" customHeight="1" x14ac:dyDescent="0.2"/>
    <row r="135" spans="1:7" ht="15" customHeight="1" x14ac:dyDescent="0.2"/>
    <row r="136" spans="1:7" ht="15" customHeight="1" x14ac:dyDescent="0.2"/>
    <row r="137" spans="1:7" ht="15" customHeight="1" x14ac:dyDescent="0.2">
      <c r="A137" s="30"/>
      <c r="B137" s="30" t="s">
        <v>349</v>
      </c>
      <c r="D137" s="294" t="s">
        <v>71</v>
      </c>
      <c r="E137" s="294"/>
      <c r="F137" s="294"/>
    </row>
    <row r="138" spans="1:7" x14ac:dyDescent="0.2">
      <c r="B138" s="288"/>
      <c r="C138" s="288"/>
      <c r="D138" s="249"/>
      <c r="E138" s="249"/>
      <c r="F138" s="289"/>
    </row>
    <row r="139" spans="1:7" x14ac:dyDescent="0.2">
      <c r="B139" s="288"/>
      <c r="C139" s="288"/>
      <c r="D139" s="249"/>
      <c r="E139" s="249"/>
      <c r="F139" s="289"/>
    </row>
    <row r="140" spans="1:7" x14ac:dyDescent="0.2">
      <c r="B140" s="288"/>
      <c r="C140" s="288"/>
      <c r="D140" s="249"/>
      <c r="E140" s="249"/>
      <c r="F140" s="289"/>
    </row>
    <row r="141" spans="1:7" x14ac:dyDescent="0.2">
      <c r="B141" s="288"/>
      <c r="C141" s="288"/>
      <c r="D141" s="249"/>
      <c r="E141" s="249"/>
      <c r="F141" s="289"/>
    </row>
    <row r="142" spans="1:7" x14ac:dyDescent="0.2">
      <c r="B142" s="288"/>
      <c r="C142" s="288"/>
      <c r="D142" s="249"/>
      <c r="E142" s="249"/>
      <c r="F142" s="289"/>
    </row>
    <row r="143" spans="1:7" x14ac:dyDescent="0.2">
      <c r="B143" s="288"/>
      <c r="C143" s="288"/>
      <c r="D143" s="249"/>
      <c r="E143" s="249"/>
      <c r="F143" s="289"/>
    </row>
    <row r="144" spans="1:7" x14ac:dyDescent="0.2">
      <c r="B144" s="288"/>
      <c r="C144" s="288"/>
      <c r="D144" s="249"/>
      <c r="E144" s="249"/>
      <c r="F144" s="289"/>
    </row>
    <row r="145" spans="2:6" x14ac:dyDescent="0.2">
      <c r="B145" s="288"/>
      <c r="C145" s="288"/>
      <c r="D145" s="249"/>
      <c r="E145" s="249"/>
      <c r="F145" s="289"/>
    </row>
  </sheetData>
  <mergeCells count="5">
    <mergeCell ref="B5:F5"/>
    <mergeCell ref="B6:F6"/>
    <mergeCell ref="D129:F129"/>
    <mergeCell ref="D130:F130"/>
    <mergeCell ref="D137:F137"/>
  </mergeCells>
  <phoneticPr fontId="1" type="noConversion"/>
  <printOptions horizontalCentered="1"/>
  <pageMargins left="0.5" right="0" top="0.49" bottom="0.37" header="0.17" footer="0.17"/>
  <pageSetup paperSize="9"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K47"/>
  <sheetViews>
    <sheetView showGridLines="0" view="pageBreakPreview" topLeftCell="A16" zoomScaleNormal="95" zoomScaleSheetLayoutView="100" workbookViewId="0">
      <selection activeCell="H1" sqref="G1:H1048576"/>
    </sheetView>
  </sheetViews>
  <sheetFormatPr defaultRowHeight="12.75" x14ac:dyDescent="0.2"/>
  <cols>
    <col min="1" max="1" width="1.7109375" style="1" customWidth="1"/>
    <col min="2" max="2" width="43.42578125" style="1" customWidth="1"/>
    <col min="3" max="3" width="4.85546875" style="1" customWidth="1"/>
    <col min="4" max="4" width="7.5703125" style="1" customWidth="1"/>
    <col min="5" max="5" width="14.85546875" style="1" customWidth="1"/>
    <col min="6" max="6" width="16.7109375" style="1" customWidth="1"/>
    <col min="7" max="7" width="14.85546875" style="1" customWidth="1"/>
    <col min="8" max="8" width="14.7109375" style="1" customWidth="1"/>
    <col min="9" max="9" width="15.28515625" style="232" customWidth="1"/>
    <col min="10" max="10" width="17.7109375" style="1" bestFit="1" customWidth="1"/>
    <col min="11" max="11" width="14" style="1" bestFit="1" customWidth="1"/>
    <col min="12" max="16384" width="9.140625" style="1"/>
  </cols>
  <sheetData>
    <row r="1" spans="2:9" x14ac:dyDescent="0.2">
      <c r="B1" s="6" t="s">
        <v>64</v>
      </c>
      <c r="C1" s="7"/>
      <c r="D1" s="7"/>
      <c r="E1" s="7"/>
      <c r="F1" s="7"/>
      <c r="G1" s="7"/>
      <c r="H1" s="7"/>
    </row>
    <row r="2" spans="2:9" x14ac:dyDescent="0.2">
      <c r="B2" s="8" t="s">
        <v>344</v>
      </c>
      <c r="C2" s="7"/>
      <c r="D2" s="7"/>
      <c r="E2" s="7"/>
      <c r="F2" s="7"/>
      <c r="G2" s="7"/>
      <c r="H2" s="9" t="s">
        <v>250</v>
      </c>
    </row>
    <row r="3" spans="2:9" x14ac:dyDescent="0.2">
      <c r="B3" s="10" t="s">
        <v>346</v>
      </c>
      <c r="C3" s="11"/>
      <c r="D3" s="11"/>
      <c r="E3" s="11"/>
      <c r="F3" s="11"/>
      <c r="G3" s="11"/>
      <c r="H3" s="133" t="s">
        <v>539</v>
      </c>
    </row>
    <row r="4" spans="2:9" ht="9.75" customHeight="1" x14ac:dyDescent="0.2">
      <c r="C4" s="2"/>
      <c r="D4" s="2"/>
      <c r="E4" s="2"/>
      <c r="F4" s="137"/>
      <c r="G4" s="137"/>
      <c r="H4" s="2"/>
    </row>
    <row r="5" spans="2:9" ht="15.75" x14ac:dyDescent="0.25">
      <c r="B5" s="297" t="s">
        <v>269</v>
      </c>
      <c r="C5" s="297"/>
      <c r="D5" s="297"/>
      <c r="E5" s="297"/>
      <c r="F5" s="297"/>
      <c r="G5" s="297"/>
      <c r="H5" s="297"/>
    </row>
    <row r="6" spans="2:9" x14ac:dyDescent="0.2">
      <c r="B6" s="298" t="s">
        <v>539</v>
      </c>
      <c r="C6" s="298"/>
      <c r="D6" s="298"/>
      <c r="E6" s="298"/>
      <c r="F6" s="298"/>
      <c r="G6" s="298"/>
      <c r="H6" s="298"/>
    </row>
    <row r="7" spans="2:9" x14ac:dyDescent="0.2">
      <c r="B7" s="2"/>
      <c r="C7" s="2"/>
      <c r="D7" s="2"/>
      <c r="E7" s="2"/>
      <c r="F7" s="137"/>
      <c r="G7" s="137"/>
      <c r="H7" s="3" t="s">
        <v>273</v>
      </c>
    </row>
    <row r="8" spans="2:9" x14ac:dyDescent="0.2">
      <c r="B8" s="2"/>
      <c r="C8" s="2"/>
      <c r="D8" s="2"/>
      <c r="E8" s="2"/>
      <c r="F8" s="137"/>
      <c r="G8" s="137"/>
      <c r="H8" s="12" t="s">
        <v>268</v>
      </c>
    </row>
    <row r="9" spans="2:9" ht="6.75" customHeight="1" x14ac:dyDescent="0.2"/>
    <row r="10" spans="2:9" x14ac:dyDescent="0.2">
      <c r="B10" s="299" t="s">
        <v>66</v>
      </c>
      <c r="C10" s="300" t="s">
        <v>4</v>
      </c>
      <c r="D10" s="300" t="s">
        <v>5</v>
      </c>
      <c r="E10" s="301" t="s">
        <v>540</v>
      </c>
      <c r="F10" s="301"/>
      <c r="G10" s="301" t="s">
        <v>333</v>
      </c>
      <c r="H10" s="301"/>
    </row>
    <row r="11" spans="2:9" x14ac:dyDescent="0.2">
      <c r="B11" s="299"/>
      <c r="C11" s="300"/>
      <c r="D11" s="300"/>
      <c r="E11" s="140" t="s">
        <v>334</v>
      </c>
      <c r="F11" s="140" t="s">
        <v>335</v>
      </c>
      <c r="G11" s="140" t="s">
        <v>334</v>
      </c>
      <c r="H11" s="140" t="s">
        <v>335</v>
      </c>
    </row>
    <row r="12" spans="2:9" ht="5.25" customHeight="1" x14ac:dyDescent="0.2">
      <c r="B12" s="13"/>
      <c r="C12" s="14"/>
      <c r="D12" s="14"/>
      <c r="E12" s="140"/>
      <c r="F12" s="140"/>
      <c r="G12" s="140"/>
      <c r="H12" s="140"/>
    </row>
    <row r="13" spans="2:9" ht="15.95" customHeight="1" x14ac:dyDescent="0.2">
      <c r="B13" s="25" t="s">
        <v>20</v>
      </c>
      <c r="C13" s="24" t="s">
        <v>80</v>
      </c>
      <c r="D13" s="20">
        <v>14</v>
      </c>
      <c r="E13" s="26">
        <v>269545594594</v>
      </c>
      <c r="F13" s="26">
        <v>231669128331</v>
      </c>
      <c r="G13" s="26">
        <v>474380936289</v>
      </c>
      <c r="H13" s="26">
        <v>399822219446</v>
      </c>
      <c r="I13" s="232">
        <f>E13/F13</f>
        <v>1.1634938005588882</v>
      </c>
    </row>
    <row r="14" spans="2:9" ht="15.95" customHeight="1" x14ac:dyDescent="0.2">
      <c r="B14" s="27" t="s">
        <v>21</v>
      </c>
      <c r="C14" s="23" t="s">
        <v>81</v>
      </c>
      <c r="D14" s="22"/>
      <c r="E14" s="26">
        <v>0</v>
      </c>
      <c r="F14" s="26"/>
      <c r="G14" s="26">
        <v>0</v>
      </c>
      <c r="H14" s="26" t="s">
        <v>192</v>
      </c>
      <c r="I14" s="232" t="e">
        <f t="shared" ref="I14:I28" si="0">E14/F14</f>
        <v>#DIV/0!</v>
      </c>
    </row>
    <row r="15" spans="2:9" ht="27" customHeight="1" x14ac:dyDescent="0.2">
      <c r="B15" s="28" t="s">
        <v>339</v>
      </c>
      <c r="C15" s="20">
        <v>10</v>
      </c>
      <c r="D15" s="20"/>
      <c r="E15" s="21">
        <v>269545594594</v>
      </c>
      <c r="F15" s="21">
        <v>231669128331</v>
      </c>
      <c r="G15" s="21">
        <v>474380936289</v>
      </c>
      <c r="H15" s="21">
        <v>399822219446</v>
      </c>
      <c r="I15" s="232">
        <f t="shared" si="0"/>
        <v>1.1634938005588882</v>
      </c>
    </row>
    <row r="16" spans="2:9" ht="15.95" customHeight="1" x14ac:dyDescent="0.2">
      <c r="B16" s="27" t="s">
        <v>22</v>
      </c>
      <c r="C16" s="22">
        <v>11</v>
      </c>
      <c r="D16" s="22">
        <v>15</v>
      </c>
      <c r="E16" s="29">
        <v>246590568133</v>
      </c>
      <c r="F16" s="29">
        <v>207792620143</v>
      </c>
      <c r="G16" s="29">
        <v>434392683004</v>
      </c>
      <c r="H16" s="29">
        <v>358520170925</v>
      </c>
      <c r="I16" s="232">
        <f t="shared" si="0"/>
        <v>1.1867147541779866</v>
      </c>
    </row>
    <row r="17" spans="2:11" ht="27" customHeight="1" x14ac:dyDescent="0.2">
      <c r="B17" s="25" t="s">
        <v>338</v>
      </c>
      <c r="C17" s="20">
        <v>20</v>
      </c>
      <c r="D17" s="20"/>
      <c r="E17" s="21">
        <v>22955026461</v>
      </c>
      <c r="F17" s="21">
        <v>23876508188</v>
      </c>
      <c r="G17" s="21">
        <v>39988253285</v>
      </c>
      <c r="H17" s="21">
        <v>41302048521</v>
      </c>
      <c r="I17" s="232">
        <f t="shared" si="0"/>
        <v>0.96140634469058905</v>
      </c>
      <c r="J17" s="142">
        <f>39988253285-G17</f>
        <v>0</v>
      </c>
    </row>
    <row r="18" spans="2:11" ht="15.95" customHeight="1" x14ac:dyDescent="0.2">
      <c r="B18" s="27" t="s">
        <v>23</v>
      </c>
      <c r="C18" s="22">
        <v>21</v>
      </c>
      <c r="D18" s="22"/>
      <c r="E18" s="29">
        <v>348642186</v>
      </c>
      <c r="F18" s="29">
        <v>2283441096</v>
      </c>
      <c r="G18" s="29">
        <v>2022322808</v>
      </c>
      <c r="H18" s="29">
        <v>2445024136</v>
      </c>
      <c r="I18" s="232">
        <f t="shared" si="0"/>
        <v>0.15268280255213554</v>
      </c>
      <c r="J18" s="4"/>
    </row>
    <row r="19" spans="2:11" ht="15.95" customHeight="1" x14ac:dyDescent="0.2">
      <c r="B19" s="27" t="s">
        <v>24</v>
      </c>
      <c r="C19" s="22">
        <v>22</v>
      </c>
      <c r="D19" s="22"/>
      <c r="E19" s="29">
        <v>5467339285</v>
      </c>
      <c r="F19" s="29">
        <v>4923206407</v>
      </c>
      <c r="G19" s="29">
        <v>7987400405</v>
      </c>
      <c r="H19" s="29">
        <v>7768848761</v>
      </c>
      <c r="I19" s="232">
        <f t="shared" si="0"/>
        <v>1.110524083903192</v>
      </c>
    </row>
    <row r="20" spans="2:11" ht="15.95" customHeight="1" x14ac:dyDescent="0.2">
      <c r="B20" s="27" t="s">
        <v>25</v>
      </c>
      <c r="C20" s="22">
        <v>23</v>
      </c>
      <c r="D20" s="22"/>
      <c r="E20" s="29">
        <v>4524922657</v>
      </c>
      <c r="F20" s="29">
        <v>4243206407</v>
      </c>
      <c r="G20" s="29">
        <v>7044983777</v>
      </c>
      <c r="H20" s="29">
        <v>7088848761</v>
      </c>
      <c r="I20" s="232">
        <f t="shared" si="0"/>
        <v>1.0663923040687471</v>
      </c>
    </row>
    <row r="21" spans="2:11" ht="15.95" customHeight="1" x14ac:dyDescent="0.2">
      <c r="B21" s="27" t="s">
        <v>26</v>
      </c>
      <c r="C21" s="22">
        <v>25</v>
      </c>
      <c r="D21" s="22"/>
      <c r="E21" s="29">
        <v>3658697985</v>
      </c>
      <c r="F21" s="29">
        <v>3767851808</v>
      </c>
      <c r="G21" s="29">
        <v>7070031141</v>
      </c>
      <c r="H21" s="29">
        <v>6956638969</v>
      </c>
      <c r="I21" s="232">
        <f t="shared" si="0"/>
        <v>0.97103022396787431</v>
      </c>
    </row>
    <row r="22" spans="2:11" ht="15.95" customHeight="1" x14ac:dyDescent="0.2">
      <c r="B22" s="27" t="s">
        <v>27</v>
      </c>
      <c r="C22" s="22">
        <v>26</v>
      </c>
      <c r="D22" s="22"/>
      <c r="E22" s="29">
        <v>6709082188</v>
      </c>
      <c r="F22" s="29">
        <v>9612945579</v>
      </c>
      <c r="G22" s="29">
        <v>14783302991</v>
      </c>
      <c r="H22" s="29">
        <v>16845810455</v>
      </c>
      <c r="I22" s="232">
        <f t="shared" si="0"/>
        <v>0.69792158218978717</v>
      </c>
    </row>
    <row r="23" spans="2:11" ht="38.25" x14ac:dyDescent="0.2">
      <c r="B23" s="25" t="s">
        <v>485</v>
      </c>
      <c r="C23" s="20">
        <v>30</v>
      </c>
      <c r="D23" s="20"/>
      <c r="E23" s="21">
        <v>7468549189</v>
      </c>
      <c r="F23" s="21">
        <v>7855945490</v>
      </c>
      <c r="G23" s="21">
        <v>12169841556</v>
      </c>
      <c r="H23" s="21">
        <v>12175774472</v>
      </c>
      <c r="I23" s="232">
        <f t="shared" si="0"/>
        <v>0.95068750139711067</v>
      </c>
    </row>
    <row r="24" spans="2:11" ht="15.95" customHeight="1" x14ac:dyDescent="0.2">
      <c r="B24" s="27" t="s">
        <v>28</v>
      </c>
      <c r="C24" s="22">
        <v>31</v>
      </c>
      <c r="D24" s="22"/>
      <c r="E24" s="29">
        <v>2206874471</v>
      </c>
      <c r="F24" s="29">
        <v>372685573</v>
      </c>
      <c r="G24" s="29">
        <v>3570244887</v>
      </c>
      <c r="H24" s="29">
        <v>812480730</v>
      </c>
      <c r="I24" s="232">
        <f t="shared" si="0"/>
        <v>5.9215452136646034</v>
      </c>
    </row>
    <row r="25" spans="2:11" ht="15.95" customHeight="1" x14ac:dyDescent="0.2">
      <c r="B25" s="27" t="s">
        <v>29</v>
      </c>
      <c r="C25" s="22">
        <v>32</v>
      </c>
      <c r="D25" s="22"/>
      <c r="E25" s="29">
        <v>106945354</v>
      </c>
      <c r="F25" s="29">
        <v>7856481</v>
      </c>
      <c r="G25" s="29">
        <v>106945354</v>
      </c>
      <c r="H25" s="29">
        <v>109459531</v>
      </c>
      <c r="I25" s="257">
        <f t="shared" si="0"/>
        <v>13.612373529573864</v>
      </c>
    </row>
    <row r="26" spans="2:11" ht="15.95" customHeight="1" x14ac:dyDescent="0.2">
      <c r="B26" s="27" t="s">
        <v>486</v>
      </c>
      <c r="C26" s="22">
        <v>40</v>
      </c>
      <c r="D26" s="22"/>
      <c r="E26" s="141">
        <v>2099929117</v>
      </c>
      <c r="F26" s="141">
        <v>364829092</v>
      </c>
      <c r="G26" s="141">
        <v>3463299533</v>
      </c>
      <c r="H26" s="141">
        <v>703021199</v>
      </c>
      <c r="I26" s="257">
        <f t="shared" si="0"/>
        <v>5.7559256184536949</v>
      </c>
      <c r="J26" s="258">
        <f>3463299533-G26</f>
        <v>0</v>
      </c>
    </row>
    <row r="27" spans="2:11" ht="25.5" x14ac:dyDescent="0.2">
      <c r="B27" s="25" t="s">
        <v>310</v>
      </c>
      <c r="C27" s="20">
        <v>50</v>
      </c>
      <c r="D27" s="20"/>
      <c r="E27" s="21">
        <v>9568478306</v>
      </c>
      <c r="F27" s="21">
        <v>8220774582</v>
      </c>
      <c r="G27" s="21">
        <v>15633141089</v>
      </c>
      <c r="H27" s="21">
        <v>12878795671</v>
      </c>
      <c r="I27" s="257">
        <f t="shared" si="0"/>
        <v>1.1639387761526629</v>
      </c>
      <c r="J27" s="174">
        <f>15633141089-G27</f>
        <v>0</v>
      </c>
      <c r="K27" s="174"/>
    </row>
    <row r="28" spans="2:11" ht="15.95" customHeight="1" x14ac:dyDescent="0.2">
      <c r="B28" s="27" t="s">
        <v>30</v>
      </c>
      <c r="C28" s="22">
        <v>51</v>
      </c>
      <c r="D28" s="22">
        <v>16</v>
      </c>
      <c r="E28" s="29">
        <v>2147662805</v>
      </c>
      <c r="F28" s="29">
        <v>1457586506</v>
      </c>
      <c r="G28" s="29">
        <v>3162448617</v>
      </c>
      <c r="H28" s="29">
        <v>2504648366</v>
      </c>
      <c r="I28" s="257">
        <f t="shared" si="0"/>
        <v>1.4734376286823281</v>
      </c>
      <c r="J28" s="174"/>
      <c r="K28" s="174"/>
    </row>
    <row r="29" spans="2:11" ht="15.95" customHeight="1" x14ac:dyDescent="0.2">
      <c r="B29" s="27" t="s">
        <v>311</v>
      </c>
      <c r="C29" s="22">
        <v>52</v>
      </c>
      <c r="D29" s="22"/>
      <c r="E29" s="29"/>
      <c r="F29" s="29">
        <v>0</v>
      </c>
      <c r="G29" s="29"/>
      <c r="H29" s="29"/>
      <c r="J29" s="174"/>
      <c r="K29" s="174"/>
    </row>
    <row r="30" spans="2:11" ht="27" customHeight="1" x14ac:dyDescent="0.2">
      <c r="B30" s="25" t="s">
        <v>312</v>
      </c>
      <c r="C30" s="20">
        <v>60</v>
      </c>
      <c r="D30" s="20"/>
      <c r="E30" s="21">
        <v>7420815501</v>
      </c>
      <c r="F30" s="21">
        <v>6763188076</v>
      </c>
      <c r="G30" s="21">
        <v>12470692472</v>
      </c>
      <c r="H30" s="21">
        <v>10374147305</v>
      </c>
      <c r="I30" s="256">
        <f>E30/F30</f>
        <v>1.0972363059566053</v>
      </c>
      <c r="J30" s="174">
        <f>G30-CDKT!E120</f>
        <v>0</v>
      </c>
      <c r="K30" s="174">
        <f>12470692472-G30</f>
        <v>0</v>
      </c>
    </row>
    <row r="31" spans="2:11" ht="15.95" customHeight="1" x14ac:dyDescent="0.2">
      <c r="B31" s="25" t="s">
        <v>313</v>
      </c>
      <c r="C31" s="20">
        <v>70</v>
      </c>
      <c r="D31" s="20">
        <v>17</v>
      </c>
      <c r="E31" s="184">
        <v>1237</v>
      </c>
      <c r="F31" s="184">
        <v>1127</v>
      </c>
      <c r="G31" s="184">
        <v>2078</v>
      </c>
      <c r="H31" s="184">
        <v>1729</v>
      </c>
      <c r="J31" s="174"/>
      <c r="K31" s="174"/>
    </row>
    <row r="32" spans="2:11" ht="15.95" customHeight="1" x14ac:dyDescent="0.2">
      <c r="B32" s="209" t="s">
        <v>487</v>
      </c>
      <c r="C32" s="210">
        <v>71</v>
      </c>
      <c r="E32" s="4"/>
      <c r="F32" s="4"/>
      <c r="G32" s="4"/>
      <c r="H32" s="4"/>
    </row>
    <row r="33" spans="2:10" ht="15.95" customHeight="1" x14ac:dyDescent="0.2">
      <c r="B33" s="209"/>
      <c r="C33" s="210"/>
      <c r="E33" s="233"/>
      <c r="F33" s="4"/>
      <c r="G33" s="4"/>
      <c r="H33" s="4"/>
      <c r="J33" s="255">
        <f>I33/F30</f>
        <v>0</v>
      </c>
    </row>
    <row r="34" spans="2:10" ht="15.95" customHeight="1" x14ac:dyDescent="0.2">
      <c r="E34" s="4"/>
      <c r="F34" s="295" t="s">
        <v>548</v>
      </c>
      <c r="G34" s="295"/>
      <c r="H34" s="295"/>
    </row>
    <row r="35" spans="2:10" ht="15.95" customHeight="1" x14ac:dyDescent="0.2">
      <c r="B35" s="18" t="s">
        <v>348</v>
      </c>
      <c r="D35" s="38" t="s">
        <v>342</v>
      </c>
      <c r="E35" s="4"/>
      <c r="F35" s="296" t="s">
        <v>343</v>
      </c>
      <c r="G35" s="296"/>
      <c r="H35" s="296"/>
    </row>
    <row r="36" spans="2:10" ht="15.95" customHeight="1" x14ac:dyDescent="0.2">
      <c r="E36" s="4"/>
      <c r="F36" s="4"/>
      <c r="G36" s="4"/>
      <c r="H36" s="4"/>
    </row>
    <row r="37" spans="2:10" ht="15.95" customHeight="1" x14ac:dyDescent="0.2">
      <c r="E37" s="15"/>
      <c r="F37" s="15"/>
      <c r="G37" s="15"/>
      <c r="H37" s="5"/>
    </row>
    <row r="38" spans="2:10" ht="15.95" customHeight="1" x14ac:dyDescent="0.2">
      <c r="E38" s="15"/>
      <c r="F38" s="15"/>
      <c r="G38" s="15"/>
      <c r="H38" s="5"/>
    </row>
    <row r="39" spans="2:10" ht="15.95" customHeight="1" x14ac:dyDescent="0.2">
      <c r="E39" s="15"/>
      <c r="F39" s="15"/>
      <c r="G39" s="15"/>
      <c r="H39" s="5"/>
    </row>
    <row r="40" spans="2:10" ht="15.95" customHeight="1" x14ac:dyDescent="0.2">
      <c r="E40" s="15"/>
      <c r="F40" s="15"/>
      <c r="G40" s="15"/>
      <c r="H40" s="5"/>
    </row>
    <row r="41" spans="2:10" ht="15.95" customHeight="1" x14ac:dyDescent="0.2">
      <c r="E41" s="5"/>
      <c r="F41" s="5"/>
      <c r="G41" s="5"/>
    </row>
    <row r="42" spans="2:10" ht="15.95" customHeight="1" x14ac:dyDescent="0.2">
      <c r="B42" s="18" t="s">
        <v>347</v>
      </c>
      <c r="D42" s="38" t="s">
        <v>72</v>
      </c>
      <c r="E42" s="5"/>
      <c r="F42" s="296" t="s">
        <v>71</v>
      </c>
      <c r="G42" s="296"/>
      <c r="H42" s="296"/>
    </row>
    <row r="43" spans="2:10" ht="15" customHeight="1" x14ac:dyDescent="0.2">
      <c r="B43" s="19"/>
      <c r="C43" s="19"/>
      <c r="D43" s="17"/>
      <c r="E43" s="17"/>
      <c r="F43" s="17"/>
      <c r="G43" s="17"/>
    </row>
    <row r="44" spans="2:10" ht="15" customHeight="1" x14ac:dyDescent="0.2">
      <c r="B44" s="19"/>
      <c r="C44" s="19"/>
      <c r="D44" s="17"/>
      <c r="E44" s="17"/>
      <c r="F44" s="17"/>
      <c r="G44" s="17"/>
    </row>
    <row r="45" spans="2:10" ht="15" customHeight="1" x14ac:dyDescent="0.2">
      <c r="B45" s="19"/>
      <c r="C45" s="19"/>
      <c r="D45" s="17"/>
      <c r="E45" s="17"/>
      <c r="F45" s="17"/>
      <c r="G45" s="17"/>
    </row>
    <row r="47" spans="2:10" x14ac:dyDescent="0.2">
      <c r="E47" s="4"/>
    </row>
  </sheetData>
  <mergeCells count="10">
    <mergeCell ref="F34:H34"/>
    <mergeCell ref="F35:H35"/>
    <mergeCell ref="F42:H42"/>
    <mergeCell ref="B5:H5"/>
    <mergeCell ref="B6:H6"/>
    <mergeCell ref="B10:B11"/>
    <mergeCell ref="C10:C11"/>
    <mergeCell ref="D10:D11"/>
    <mergeCell ref="E10:F10"/>
    <mergeCell ref="G10:H10"/>
  </mergeCells>
  <phoneticPr fontId="0" type="noConversion"/>
  <printOptions horizontalCentered="1"/>
  <pageMargins left="0.2" right="0" top="0.65" bottom="0.37" header="0.27" footer="0.2"/>
  <pageSetup paperSize="9" scale="85" firstPageNumber="4"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63"/>
  <sheetViews>
    <sheetView showGridLines="0" tabSelected="1" view="pageBreakPreview" topLeftCell="A42" zoomScaleNormal="100" zoomScaleSheetLayoutView="100" workbookViewId="0">
      <selection activeCell="D43" sqref="D43"/>
    </sheetView>
  </sheetViews>
  <sheetFormatPr defaultRowHeight="12.75" x14ac:dyDescent="0.2"/>
  <cols>
    <col min="1" max="1" width="4.42578125" style="35" customWidth="1"/>
    <col min="2" max="2" width="60.5703125" style="35" customWidth="1"/>
    <col min="3" max="3" width="8.140625" style="35" customWidth="1"/>
    <col min="4" max="4" width="17.42578125" style="35" customWidth="1"/>
    <col min="5" max="5" width="19.5703125" style="35" customWidth="1"/>
    <col min="6" max="6" width="17.7109375" style="167" bestFit="1" customWidth="1"/>
    <col min="7" max="7" width="18.28515625" style="167" bestFit="1" customWidth="1"/>
    <col min="8" max="8" width="17.28515625" style="167" bestFit="1" customWidth="1"/>
    <col min="9" max="9" width="16.5703125" style="167" bestFit="1" customWidth="1"/>
    <col min="10" max="10" width="14.5703125" style="167" bestFit="1" customWidth="1"/>
    <col min="11" max="11" width="15" style="167" bestFit="1" customWidth="1"/>
    <col min="12" max="12" width="17.28515625" style="167" bestFit="1" customWidth="1"/>
    <col min="13" max="13" width="9.140625" style="167"/>
    <col min="14" max="16384" width="9.140625" style="35"/>
  </cols>
  <sheetData>
    <row r="1" spans="2:13" s="30" customFormat="1" x14ac:dyDescent="0.2">
      <c r="B1" s="6" t="s">
        <v>64</v>
      </c>
      <c r="C1" s="7"/>
      <c r="D1" s="7"/>
      <c r="E1" s="7"/>
      <c r="F1" s="163"/>
      <c r="G1" s="163"/>
      <c r="H1" s="163"/>
      <c r="I1" s="166"/>
      <c r="J1" s="166"/>
      <c r="K1" s="166"/>
      <c r="L1" s="166"/>
      <c r="M1" s="166"/>
    </row>
    <row r="2" spans="2:13" s="30" customFormat="1" x14ac:dyDescent="0.2">
      <c r="B2" s="8" t="s">
        <v>344</v>
      </c>
      <c r="C2" s="7"/>
      <c r="D2" s="7"/>
      <c r="E2" s="9" t="s">
        <v>250</v>
      </c>
      <c r="F2" s="164"/>
      <c r="G2" s="164"/>
      <c r="H2" s="164"/>
      <c r="I2" s="166"/>
      <c r="J2" s="166"/>
      <c r="K2" s="166"/>
      <c r="L2" s="166"/>
      <c r="M2" s="166"/>
    </row>
    <row r="3" spans="2:13" s="30" customFormat="1" x14ac:dyDescent="0.2">
      <c r="B3" s="10" t="s">
        <v>346</v>
      </c>
      <c r="C3" s="11"/>
      <c r="D3" s="11"/>
      <c r="E3" s="133" t="s">
        <v>539</v>
      </c>
      <c r="F3" s="165"/>
      <c r="G3" s="165"/>
      <c r="H3" s="165"/>
      <c r="I3" s="166"/>
      <c r="J3" s="166"/>
      <c r="K3" s="166"/>
      <c r="L3" s="166"/>
      <c r="M3" s="166"/>
    </row>
    <row r="4" spans="2:13" s="30" customFormat="1" ht="4.5" customHeight="1" x14ac:dyDescent="0.2">
      <c r="D4" s="15"/>
      <c r="F4" s="166"/>
      <c r="G4" s="166"/>
      <c r="H4" s="166"/>
      <c r="I4" s="166"/>
      <c r="J4" s="166"/>
      <c r="K4" s="166"/>
      <c r="L4" s="166"/>
      <c r="M4" s="166"/>
    </row>
    <row r="5" spans="2:13" s="30" customFormat="1" ht="20.100000000000001" customHeight="1" x14ac:dyDescent="0.25">
      <c r="B5" s="297" t="s">
        <v>65</v>
      </c>
      <c r="C5" s="297"/>
      <c r="D5" s="297"/>
      <c r="E5" s="297"/>
      <c r="F5" s="166"/>
      <c r="G5" s="166"/>
      <c r="H5" s="166"/>
      <c r="I5" s="166"/>
      <c r="J5" s="166"/>
      <c r="K5" s="166"/>
      <c r="L5" s="166"/>
      <c r="M5" s="166"/>
    </row>
    <row r="6" spans="2:13" s="30" customFormat="1" x14ac:dyDescent="0.2">
      <c r="B6" s="298" t="s">
        <v>539</v>
      </c>
      <c r="C6" s="298"/>
      <c r="D6" s="298"/>
      <c r="E6" s="298"/>
      <c r="F6" s="166"/>
      <c r="G6" s="166"/>
      <c r="H6" s="166"/>
      <c r="I6" s="166"/>
      <c r="J6" s="166"/>
      <c r="K6" s="166"/>
      <c r="L6" s="166"/>
      <c r="M6" s="166"/>
    </row>
    <row r="7" spans="2:13" s="30" customFormat="1" x14ac:dyDescent="0.2">
      <c r="B7" s="31"/>
      <c r="C7" s="31"/>
      <c r="D7" s="31"/>
      <c r="E7" s="3" t="s">
        <v>267</v>
      </c>
      <c r="F7" s="166"/>
      <c r="G7" s="166"/>
      <c r="H7" s="166"/>
      <c r="I7" s="166"/>
      <c r="J7" s="166"/>
      <c r="K7" s="166"/>
      <c r="L7" s="166"/>
      <c r="M7" s="166"/>
    </row>
    <row r="8" spans="2:13" s="30" customFormat="1" x14ac:dyDescent="0.2">
      <c r="B8" s="31"/>
      <c r="C8" s="31"/>
      <c r="D8" s="31"/>
      <c r="E8" s="12" t="s">
        <v>268</v>
      </c>
      <c r="F8" s="166"/>
      <c r="G8" s="166"/>
      <c r="H8" s="166"/>
      <c r="I8" s="166"/>
      <c r="J8" s="166"/>
      <c r="K8" s="166"/>
      <c r="L8" s="166"/>
      <c r="M8" s="166"/>
    </row>
    <row r="9" spans="2:13" s="30" customFormat="1" ht="9" customHeight="1" x14ac:dyDescent="0.2">
      <c r="B9" s="32"/>
      <c r="C9" s="32"/>
      <c r="D9" s="32"/>
      <c r="E9" s="32"/>
      <c r="F9" s="166"/>
      <c r="G9" s="166"/>
      <c r="H9" s="166"/>
      <c r="I9" s="166"/>
      <c r="J9" s="166"/>
      <c r="K9" s="166"/>
      <c r="L9" s="166"/>
      <c r="M9" s="166"/>
    </row>
    <row r="10" spans="2:13" s="30" customFormat="1" x14ac:dyDescent="0.2">
      <c r="B10" s="299" t="s">
        <v>66</v>
      </c>
      <c r="C10" s="300" t="s">
        <v>4</v>
      </c>
      <c r="D10" s="302" t="s">
        <v>340</v>
      </c>
      <c r="E10" s="302"/>
      <c r="F10" s="166"/>
      <c r="G10" s="166"/>
      <c r="H10" s="166"/>
      <c r="I10" s="166"/>
      <c r="J10" s="166"/>
      <c r="K10" s="166"/>
      <c r="L10" s="166"/>
      <c r="M10" s="166"/>
    </row>
    <row r="11" spans="2:13" s="30" customFormat="1" x14ac:dyDescent="0.2">
      <c r="B11" s="299"/>
      <c r="C11" s="300"/>
      <c r="D11" s="153" t="s">
        <v>334</v>
      </c>
      <c r="E11" s="153" t="s">
        <v>335</v>
      </c>
      <c r="F11" s="166"/>
      <c r="G11" s="166"/>
      <c r="H11" s="166"/>
      <c r="I11" s="166"/>
      <c r="J11" s="166"/>
      <c r="K11" s="166"/>
      <c r="L11" s="166"/>
      <c r="M11" s="166"/>
    </row>
    <row r="12" spans="2:13" s="30" customFormat="1" ht="6" customHeight="1" x14ac:dyDescent="0.2">
      <c r="B12" s="13"/>
      <c r="C12" s="14"/>
      <c r="D12" s="14"/>
      <c r="E12" s="14"/>
      <c r="F12" s="166"/>
      <c r="G12" s="166"/>
      <c r="H12" s="166"/>
      <c r="I12" s="166"/>
      <c r="J12" s="166"/>
      <c r="K12" s="166"/>
      <c r="L12" s="166"/>
      <c r="M12" s="166"/>
    </row>
    <row r="13" spans="2:13" ht="17.25" customHeight="1" x14ac:dyDescent="0.2">
      <c r="B13" s="25" t="s">
        <v>253</v>
      </c>
      <c r="C13" s="33"/>
      <c r="D13" s="34"/>
      <c r="E13" s="34"/>
    </row>
    <row r="14" spans="2:13" ht="14.45" customHeight="1" x14ac:dyDescent="0.2">
      <c r="B14" s="25" t="s">
        <v>79</v>
      </c>
      <c r="C14" s="33" t="s">
        <v>80</v>
      </c>
      <c r="D14" s="34">
        <v>15633141089</v>
      </c>
      <c r="E14" s="34">
        <v>12878795671</v>
      </c>
    </row>
    <row r="15" spans="2:13" ht="14.45" customHeight="1" x14ac:dyDescent="0.2">
      <c r="B15" s="25" t="s">
        <v>254</v>
      </c>
      <c r="C15" s="33"/>
      <c r="D15" s="34"/>
      <c r="E15" s="34"/>
    </row>
    <row r="16" spans="2:13" ht="14.45" customHeight="1" x14ac:dyDescent="0.2">
      <c r="B16" s="27" t="s">
        <v>472</v>
      </c>
      <c r="C16" s="36" t="s">
        <v>81</v>
      </c>
      <c r="D16" s="135">
        <v>4985343406</v>
      </c>
      <c r="E16" s="135">
        <v>4039221766</v>
      </c>
    </row>
    <row r="17" spans="2:12" ht="14.45" customHeight="1" x14ac:dyDescent="0.2">
      <c r="B17" s="27" t="s">
        <v>255</v>
      </c>
      <c r="C17" s="36" t="s">
        <v>82</v>
      </c>
      <c r="D17" s="136">
        <v>0</v>
      </c>
      <c r="E17" s="136">
        <v>1925401400</v>
      </c>
    </row>
    <row r="18" spans="2:12" ht="27" customHeight="1" x14ac:dyDescent="0.2">
      <c r="B18" s="27" t="s">
        <v>473</v>
      </c>
      <c r="C18" s="36" t="s">
        <v>314</v>
      </c>
      <c r="D18" s="175">
        <v>0</v>
      </c>
      <c r="E18" s="135">
        <v>0</v>
      </c>
    </row>
    <row r="19" spans="2:12" ht="14.45" customHeight="1" x14ac:dyDescent="0.2">
      <c r="B19" s="27" t="s">
        <v>256</v>
      </c>
      <c r="C19" s="36" t="s">
        <v>83</v>
      </c>
      <c r="D19" s="135">
        <v>-5221613521.2000008</v>
      </c>
      <c r="E19" s="135">
        <v>-2300439136</v>
      </c>
    </row>
    <row r="20" spans="2:12" ht="14.45" customHeight="1" x14ac:dyDescent="0.2">
      <c r="B20" s="27" t="s">
        <v>257</v>
      </c>
      <c r="C20" s="36" t="s">
        <v>84</v>
      </c>
      <c r="D20" s="135">
        <v>7044983777</v>
      </c>
      <c r="E20" s="135">
        <v>7088848761</v>
      </c>
    </row>
    <row r="21" spans="2:12" ht="14.45" customHeight="1" x14ac:dyDescent="0.2">
      <c r="B21" s="27" t="s">
        <v>488</v>
      </c>
      <c r="C21" s="36" t="s">
        <v>309</v>
      </c>
      <c r="D21" s="135"/>
      <c r="E21" s="135"/>
    </row>
    <row r="22" spans="2:12" ht="27" customHeight="1" x14ac:dyDescent="0.2">
      <c r="B22" s="25" t="s">
        <v>85</v>
      </c>
      <c r="C22" s="33" t="s">
        <v>86</v>
      </c>
      <c r="D22" s="34">
        <v>22441854750.799999</v>
      </c>
      <c r="E22" s="34">
        <v>23631828462</v>
      </c>
    </row>
    <row r="23" spans="2:12" ht="14.45" customHeight="1" x14ac:dyDescent="0.2">
      <c r="B23" s="27" t="s">
        <v>258</v>
      </c>
      <c r="C23" s="36" t="s">
        <v>87</v>
      </c>
      <c r="D23" s="135">
        <v>-44352639062</v>
      </c>
      <c r="E23" s="135">
        <v>-10339073923</v>
      </c>
    </row>
    <row r="24" spans="2:12" ht="14.45" customHeight="1" x14ac:dyDescent="0.2">
      <c r="B24" s="27" t="s">
        <v>259</v>
      </c>
      <c r="C24" s="36" t="s">
        <v>88</v>
      </c>
      <c r="D24" s="175">
        <v>34042809735</v>
      </c>
      <c r="E24" s="135">
        <v>534575338</v>
      </c>
      <c r="F24" s="167">
        <f>CDKT!E29-CDKT!F29+D24+CDKT!E61</f>
        <v>0</v>
      </c>
      <c r="I24" s="259" t="s">
        <v>553</v>
      </c>
    </row>
    <row r="25" spans="2:12" ht="27" customHeight="1" x14ac:dyDescent="0.2">
      <c r="B25" s="27" t="s">
        <v>260</v>
      </c>
      <c r="C25" s="36" t="s">
        <v>89</v>
      </c>
      <c r="D25" s="175">
        <v>-55732541170</v>
      </c>
      <c r="E25" s="135">
        <v>-56479300979</v>
      </c>
      <c r="F25" s="167">
        <f>CDKT!E21-CDKT!F21+CDKT!E22-CDKT!F22</f>
        <v>44396004139</v>
      </c>
      <c r="G25" s="167">
        <f>(+CDKT!E78-CDKT!F78+CDKT!E79-CDKT!F79)</f>
        <v>-63808204867</v>
      </c>
      <c r="H25" s="167">
        <f>CDKT!E80-CDKT!F80</f>
        <v>7336277836</v>
      </c>
      <c r="I25" s="167">
        <f>-4466032456</f>
        <v>-4466032456</v>
      </c>
      <c r="J25" s="167">
        <f>(CDKT!E81-CDKT!F81)</f>
        <v>-3066466690</v>
      </c>
      <c r="K25" s="167">
        <f>CDKT!E86-CDKT!F86</f>
        <v>2650322646</v>
      </c>
      <c r="L25" s="167">
        <f>CDKT!E82-CDKT!F82</f>
        <v>122630667</v>
      </c>
    </row>
    <row r="26" spans="2:12" ht="14.45" customHeight="1" x14ac:dyDescent="0.2">
      <c r="B26" s="27" t="s">
        <v>261</v>
      </c>
      <c r="C26" s="36" t="s">
        <v>90</v>
      </c>
      <c r="D26" s="175">
        <v>-16632233842</v>
      </c>
      <c r="E26" s="135">
        <v>-745086637</v>
      </c>
    </row>
    <row r="27" spans="2:12" ht="14.45" customHeight="1" x14ac:dyDescent="0.2">
      <c r="B27" s="27" t="s">
        <v>474</v>
      </c>
      <c r="C27" s="36" t="s">
        <v>91</v>
      </c>
      <c r="D27" s="175"/>
      <c r="E27" s="135"/>
    </row>
    <row r="28" spans="2:12" ht="14.45" customHeight="1" x14ac:dyDescent="0.2">
      <c r="B28" s="27" t="s">
        <v>262</v>
      </c>
      <c r="C28" s="36" t="s">
        <v>92</v>
      </c>
      <c r="D28" s="175">
        <v>-6665133623</v>
      </c>
      <c r="E28" s="135">
        <v>-7010898603</v>
      </c>
    </row>
    <row r="29" spans="2:12" ht="14.45" customHeight="1" x14ac:dyDescent="0.2">
      <c r="B29" s="27" t="s">
        <v>263</v>
      </c>
      <c r="C29" s="36" t="s">
        <v>315</v>
      </c>
      <c r="D29" s="175">
        <v>-4466032456</v>
      </c>
      <c r="E29" s="135">
        <v>-11548806543</v>
      </c>
    </row>
    <row r="30" spans="2:12" ht="14.45" customHeight="1" x14ac:dyDescent="0.2">
      <c r="B30" s="27" t="s">
        <v>316</v>
      </c>
      <c r="C30" s="36" t="s">
        <v>93</v>
      </c>
      <c r="D30" s="175"/>
      <c r="E30" s="135"/>
    </row>
    <row r="31" spans="2:12" ht="14.45" customHeight="1" x14ac:dyDescent="0.2">
      <c r="B31" s="27" t="s">
        <v>264</v>
      </c>
      <c r="C31" s="36" t="s">
        <v>489</v>
      </c>
      <c r="D31" s="135">
        <v>-2070824517</v>
      </c>
      <c r="E31" s="135">
        <v>-2251002620</v>
      </c>
    </row>
    <row r="32" spans="2:12" ht="14.45" customHeight="1" x14ac:dyDescent="0.2">
      <c r="B32" s="25" t="s">
        <v>67</v>
      </c>
      <c r="C32" s="33" t="s">
        <v>94</v>
      </c>
      <c r="D32" s="34">
        <v>-73434740184.199997</v>
      </c>
      <c r="E32" s="34">
        <v>-64207765505</v>
      </c>
    </row>
    <row r="33" spans="2:5" ht="14.45" customHeight="1" x14ac:dyDescent="0.2">
      <c r="B33" s="25" t="s">
        <v>265</v>
      </c>
      <c r="C33" s="33"/>
      <c r="D33" s="34"/>
      <c r="E33" s="34"/>
    </row>
    <row r="34" spans="2:5" ht="14.45" customHeight="1" x14ac:dyDescent="0.2">
      <c r="B34" s="27" t="s">
        <v>95</v>
      </c>
      <c r="C34" s="36" t="s">
        <v>96</v>
      </c>
      <c r="D34" s="135">
        <v>-802850000</v>
      </c>
      <c r="E34" s="135">
        <v>-3954090908</v>
      </c>
    </row>
    <row r="35" spans="2:5" ht="14.45" customHeight="1" x14ac:dyDescent="0.2">
      <c r="B35" s="27" t="s">
        <v>97</v>
      </c>
      <c r="C35" s="36" t="s">
        <v>98</v>
      </c>
      <c r="D35" s="135">
        <v>1387384156.5</v>
      </c>
      <c r="E35" s="135"/>
    </row>
    <row r="36" spans="2:5" ht="14.45" customHeight="1" x14ac:dyDescent="0.2">
      <c r="B36" s="27" t="s">
        <v>317</v>
      </c>
      <c r="C36" s="36" t="s">
        <v>318</v>
      </c>
      <c r="D36" s="135">
        <v>0</v>
      </c>
      <c r="E36" s="135">
        <v>0</v>
      </c>
    </row>
    <row r="37" spans="2:5" ht="14.45" customHeight="1" x14ac:dyDescent="0.2">
      <c r="B37" s="27" t="s">
        <v>319</v>
      </c>
      <c r="C37" s="36" t="s">
        <v>320</v>
      </c>
      <c r="D37" s="135">
        <v>0</v>
      </c>
      <c r="E37" s="135">
        <v>0</v>
      </c>
    </row>
    <row r="38" spans="2:5" ht="14.45" customHeight="1" x14ac:dyDescent="0.2">
      <c r="B38" s="27" t="s">
        <v>322</v>
      </c>
      <c r="C38" s="36" t="s">
        <v>99</v>
      </c>
      <c r="D38" s="135">
        <v>0</v>
      </c>
      <c r="E38" s="135">
        <v>0</v>
      </c>
    </row>
    <row r="39" spans="2:5" ht="14.45" customHeight="1" x14ac:dyDescent="0.2">
      <c r="B39" s="27" t="s">
        <v>321</v>
      </c>
      <c r="C39" s="39" t="s">
        <v>324</v>
      </c>
      <c r="D39" s="135">
        <v>10200000000</v>
      </c>
      <c r="E39" s="175">
        <v>1500000000</v>
      </c>
    </row>
    <row r="40" spans="2:5" ht="14.45" customHeight="1" x14ac:dyDescent="0.2">
      <c r="B40" s="27" t="s">
        <v>323</v>
      </c>
      <c r="C40" s="36" t="s">
        <v>100</v>
      </c>
      <c r="D40" s="135">
        <v>2022322808</v>
      </c>
      <c r="E40" s="135">
        <v>2300439136</v>
      </c>
    </row>
    <row r="41" spans="2:5" ht="14.45" customHeight="1" x14ac:dyDescent="0.2">
      <c r="B41" s="25" t="s">
        <v>68</v>
      </c>
      <c r="C41" s="33" t="s">
        <v>101</v>
      </c>
      <c r="D41" s="34">
        <v>12806856964.5</v>
      </c>
      <c r="E41" s="34">
        <v>-153651772</v>
      </c>
    </row>
    <row r="42" spans="2:5" ht="14.45" customHeight="1" x14ac:dyDescent="0.2">
      <c r="B42" s="25" t="s">
        <v>266</v>
      </c>
      <c r="C42" s="33"/>
      <c r="D42" s="34"/>
      <c r="E42" s="34"/>
    </row>
    <row r="43" spans="2:5" ht="14.45" customHeight="1" x14ac:dyDescent="0.2">
      <c r="B43" s="27" t="s">
        <v>102</v>
      </c>
      <c r="C43" s="36" t="s">
        <v>103</v>
      </c>
      <c r="D43" s="135"/>
      <c r="E43" s="135"/>
    </row>
    <row r="44" spans="2:5" ht="26.25" customHeight="1" x14ac:dyDescent="0.2">
      <c r="B44" s="27" t="s">
        <v>475</v>
      </c>
      <c r="C44" s="36" t="s">
        <v>325</v>
      </c>
      <c r="D44" s="135"/>
      <c r="E44" s="135"/>
    </row>
    <row r="45" spans="2:5" ht="14.45" customHeight="1" x14ac:dyDescent="0.2">
      <c r="B45" s="27" t="s">
        <v>476</v>
      </c>
      <c r="C45" s="36" t="s">
        <v>104</v>
      </c>
      <c r="D45" s="135">
        <v>328134555230</v>
      </c>
      <c r="E45" s="135">
        <v>233282789358</v>
      </c>
    </row>
    <row r="46" spans="2:5" ht="14.45" customHeight="1" x14ac:dyDescent="0.2">
      <c r="B46" s="27" t="s">
        <v>477</v>
      </c>
      <c r="C46" s="36" t="s">
        <v>105</v>
      </c>
      <c r="D46" s="135">
        <v>-261957685370</v>
      </c>
      <c r="E46" s="135">
        <v>-167931810442</v>
      </c>
    </row>
    <row r="47" spans="2:5" ht="14.45" customHeight="1" x14ac:dyDescent="0.2">
      <c r="B47" s="27" t="s">
        <v>478</v>
      </c>
      <c r="C47" s="39" t="s">
        <v>328</v>
      </c>
      <c r="D47" s="135"/>
      <c r="E47" s="135"/>
    </row>
    <row r="48" spans="2:5" ht="14.45" customHeight="1" x14ac:dyDescent="0.2">
      <c r="B48" s="27" t="s">
        <v>329</v>
      </c>
      <c r="C48" s="36" t="s">
        <v>106</v>
      </c>
      <c r="D48" s="135">
        <v>-11949790000</v>
      </c>
      <c r="E48" s="135">
        <v>-10808009500</v>
      </c>
    </row>
    <row r="49" spans="2:6" ht="14.45" customHeight="1" x14ac:dyDescent="0.2">
      <c r="B49" s="25" t="s">
        <v>69</v>
      </c>
      <c r="C49" s="33" t="s">
        <v>107</v>
      </c>
      <c r="D49" s="34">
        <v>54227079860</v>
      </c>
      <c r="E49" s="34">
        <v>54542969416</v>
      </c>
    </row>
    <row r="50" spans="2:6" ht="14.45" customHeight="1" x14ac:dyDescent="0.2">
      <c r="B50" s="25" t="s">
        <v>108</v>
      </c>
      <c r="C50" s="33" t="s">
        <v>109</v>
      </c>
      <c r="D50" s="34">
        <v>-6400803359.6999969</v>
      </c>
      <c r="E50" s="34">
        <v>-9818447861</v>
      </c>
    </row>
    <row r="51" spans="2:6" ht="14.45" customHeight="1" x14ac:dyDescent="0.2">
      <c r="B51" s="27" t="s">
        <v>70</v>
      </c>
      <c r="C51" s="36" t="s">
        <v>110</v>
      </c>
      <c r="D51" s="34">
        <v>24064834465</v>
      </c>
      <c r="E51" s="34">
        <v>40568790017</v>
      </c>
    </row>
    <row r="52" spans="2:6" ht="14.45" hidden="1" customHeight="1" x14ac:dyDescent="0.2">
      <c r="B52" s="27" t="s">
        <v>326</v>
      </c>
      <c r="C52" s="36" t="s">
        <v>327</v>
      </c>
      <c r="D52" s="34"/>
      <c r="E52" s="34"/>
    </row>
    <row r="53" spans="2:6" ht="14.45" customHeight="1" x14ac:dyDescent="0.2">
      <c r="B53" s="25" t="s">
        <v>111</v>
      </c>
      <c r="C53" s="33" t="s">
        <v>112</v>
      </c>
      <c r="D53" s="34">
        <v>17664031105.300003</v>
      </c>
      <c r="E53" s="34">
        <v>30750342156</v>
      </c>
      <c r="F53" s="167">
        <f>D53-CDKT!E13</f>
        <v>0.3000030517578125</v>
      </c>
    </row>
    <row r="54" spans="2:6" ht="13.5" customHeight="1" x14ac:dyDescent="0.2">
      <c r="B54" s="25"/>
      <c r="C54" s="33"/>
      <c r="D54" s="161">
        <f>D53-CDKT!E13</f>
        <v>0.3000030517578125</v>
      </c>
      <c r="E54" s="161">
        <f>E53-[2]LCTTGT!$D$53</f>
        <v>0</v>
      </c>
    </row>
    <row r="55" spans="2:6" ht="14.45" customHeight="1" x14ac:dyDescent="0.2">
      <c r="C55" s="295" t="s">
        <v>548</v>
      </c>
      <c r="D55" s="295"/>
      <c r="E55" s="295"/>
    </row>
    <row r="56" spans="2:6" ht="14.45" customHeight="1" x14ac:dyDescent="0.2">
      <c r="B56" s="16" t="s">
        <v>350</v>
      </c>
      <c r="C56" s="1"/>
      <c r="D56" s="296" t="s">
        <v>343</v>
      </c>
      <c r="E56" s="296"/>
      <c r="F56" s="53"/>
    </row>
    <row r="57" spans="2:6" ht="14.45" customHeight="1" x14ac:dyDescent="0.2">
      <c r="B57" s="1"/>
      <c r="C57" s="1"/>
      <c r="D57" s="1"/>
      <c r="E57" s="5"/>
      <c r="F57" s="134"/>
    </row>
    <row r="58" spans="2:6" ht="14.45" customHeight="1" x14ac:dyDescent="0.2">
      <c r="B58" s="1"/>
      <c r="C58" s="1"/>
      <c r="D58" s="1"/>
      <c r="E58" s="5"/>
      <c r="F58" s="134"/>
    </row>
    <row r="59" spans="2:6" ht="14.45" customHeight="1" x14ac:dyDescent="0.2">
      <c r="B59" s="1"/>
      <c r="C59" s="1"/>
      <c r="D59" s="1"/>
      <c r="E59" s="5"/>
      <c r="F59" s="134"/>
    </row>
    <row r="60" spans="2:6" ht="14.45" customHeight="1" x14ac:dyDescent="0.2">
      <c r="B60" s="1"/>
      <c r="C60" s="1"/>
      <c r="D60" s="1"/>
      <c r="E60" s="5"/>
      <c r="F60" s="134"/>
    </row>
    <row r="61" spans="2:6" ht="14.45" customHeight="1" x14ac:dyDescent="0.2">
      <c r="B61" s="1"/>
      <c r="C61" s="1"/>
      <c r="D61" s="1"/>
      <c r="E61" s="5"/>
      <c r="F61" s="134"/>
    </row>
    <row r="62" spans="2:6" ht="14.45" customHeight="1" x14ac:dyDescent="0.2">
      <c r="B62" s="1"/>
      <c r="C62" s="1"/>
      <c r="D62" s="1"/>
      <c r="E62" s="5"/>
      <c r="F62" s="134"/>
    </row>
    <row r="63" spans="2:6" ht="14.45" customHeight="1" x14ac:dyDescent="0.2">
      <c r="B63" s="35" t="s">
        <v>349</v>
      </c>
      <c r="C63" s="1"/>
      <c r="D63" s="296" t="s">
        <v>71</v>
      </c>
      <c r="E63" s="296"/>
      <c r="F63" s="53"/>
    </row>
  </sheetData>
  <mergeCells count="8">
    <mergeCell ref="D56:E56"/>
    <mergeCell ref="D63:E63"/>
    <mergeCell ref="C55:E55"/>
    <mergeCell ref="B6:E6"/>
    <mergeCell ref="B5:E5"/>
    <mergeCell ref="B10:B11"/>
    <mergeCell ref="C10:C11"/>
    <mergeCell ref="D10:E10"/>
  </mergeCells>
  <phoneticPr fontId="0" type="noConversion"/>
  <printOptions horizontalCentered="1"/>
  <pageMargins left="0.46" right="0.22" top="0.4" bottom="0.44" header="0.16" footer="0.2"/>
  <pageSetup paperSize="9" scale="90" firstPageNumber="5" orientation="portrait" useFirstPageNumber="1" horizontalDpi="300" verticalDpi="300"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5"/>
  <sheetViews>
    <sheetView showGridLines="0" view="pageBreakPreview" topLeftCell="A353" zoomScale="106" zoomScaleNormal="100" zoomScaleSheetLayoutView="106" workbookViewId="0">
      <selection activeCell="G399" sqref="G399"/>
    </sheetView>
  </sheetViews>
  <sheetFormatPr defaultRowHeight="12.75" x14ac:dyDescent="0.2"/>
  <cols>
    <col min="1" max="1" width="0.85546875" style="47" customWidth="1"/>
    <col min="2" max="2" width="3.85546875" style="47" customWidth="1"/>
    <col min="3" max="3" width="21" style="47" customWidth="1"/>
    <col min="4" max="4" width="14.28515625" style="47" customWidth="1"/>
    <col min="5" max="5" width="14" style="47" customWidth="1"/>
    <col min="6" max="7" width="15.42578125" style="47" customWidth="1"/>
    <col min="8" max="8" width="0.85546875" style="47" customWidth="1"/>
    <col min="9" max="9" width="15.42578125" style="47" customWidth="1"/>
    <col min="10" max="10" width="17" style="47" customWidth="1"/>
    <col min="11" max="11" width="17.7109375" style="47" customWidth="1"/>
    <col min="12" max="12" width="14.28515625" style="47" customWidth="1"/>
    <col min="13" max="13" width="16.7109375" style="47" customWidth="1"/>
    <col min="14" max="14" width="15.7109375" style="47" customWidth="1"/>
    <col min="15" max="15" width="12.85546875" style="47" customWidth="1"/>
    <col min="16" max="16" width="16" style="47" customWidth="1"/>
    <col min="17" max="16384" width="9.140625" style="47"/>
  </cols>
  <sheetData>
    <row r="1" spans="1:9" ht="15.75" customHeight="1" x14ac:dyDescent="0.2">
      <c r="A1" s="8"/>
      <c r="B1" s="6" t="s">
        <v>64</v>
      </c>
      <c r="C1" s="8"/>
      <c r="D1" s="8"/>
      <c r="E1" s="8"/>
      <c r="F1" s="8"/>
      <c r="G1" s="8"/>
      <c r="H1" s="8"/>
      <c r="I1" s="8"/>
    </row>
    <row r="2" spans="1:9" ht="13.5" customHeight="1" x14ac:dyDescent="0.2">
      <c r="A2" s="8"/>
      <c r="B2" s="8" t="s">
        <v>344</v>
      </c>
      <c r="C2" s="8"/>
      <c r="D2" s="8"/>
      <c r="E2" s="8"/>
      <c r="F2" s="303" t="s">
        <v>250</v>
      </c>
      <c r="G2" s="303"/>
      <c r="H2" s="303"/>
      <c r="I2" s="303"/>
    </row>
    <row r="3" spans="1:9" ht="16.5" customHeight="1" x14ac:dyDescent="0.2">
      <c r="A3" s="8"/>
      <c r="B3" s="10" t="s">
        <v>346</v>
      </c>
      <c r="C3" s="10"/>
      <c r="D3" s="10"/>
      <c r="E3" s="10"/>
      <c r="F3" s="10"/>
      <c r="G3" s="10"/>
      <c r="H3" s="10"/>
      <c r="I3" s="133" t="s">
        <v>539</v>
      </c>
    </row>
    <row r="4" spans="1:9" ht="6.75" customHeight="1" x14ac:dyDescent="0.2">
      <c r="A4" s="8"/>
      <c r="B4" s="8"/>
      <c r="C4" s="8"/>
      <c r="D4" s="8"/>
      <c r="E4" s="8"/>
      <c r="F4" s="8"/>
      <c r="G4" s="8"/>
      <c r="H4" s="8"/>
      <c r="I4" s="8"/>
    </row>
    <row r="5" spans="1:9" ht="15.75" x14ac:dyDescent="0.2">
      <c r="B5" s="40" t="s">
        <v>31</v>
      </c>
      <c r="C5" s="46"/>
      <c r="D5" s="46"/>
      <c r="E5" s="46"/>
      <c r="F5" s="46"/>
      <c r="H5" s="46"/>
      <c r="I5" s="46" t="s">
        <v>249</v>
      </c>
    </row>
    <row r="6" spans="1:9" ht="15" customHeight="1" x14ac:dyDescent="0.2">
      <c r="B6" s="304" t="s">
        <v>248</v>
      </c>
      <c r="C6" s="304"/>
      <c r="D6" s="304"/>
      <c r="E6" s="304"/>
      <c r="F6" s="304"/>
      <c r="G6" s="304"/>
      <c r="H6" s="304"/>
      <c r="I6" s="304"/>
    </row>
    <row r="8" spans="1:9" ht="16.5" customHeight="1" x14ac:dyDescent="0.2">
      <c r="B8" s="46" t="s">
        <v>358</v>
      </c>
      <c r="C8" s="46" t="s">
        <v>359</v>
      </c>
      <c r="D8" s="46"/>
      <c r="E8" s="46"/>
      <c r="F8" s="46"/>
      <c r="G8" s="46"/>
      <c r="H8" s="46"/>
      <c r="I8" s="46"/>
    </row>
    <row r="9" spans="1:9" ht="21" customHeight="1" x14ac:dyDescent="0.2">
      <c r="B9" s="48"/>
      <c r="C9" s="305" t="s">
        <v>360</v>
      </c>
      <c r="D9" s="305"/>
      <c r="E9" s="305"/>
      <c r="F9" s="305"/>
      <c r="G9" s="305"/>
      <c r="H9" s="305"/>
      <c r="I9" s="305"/>
    </row>
    <row r="10" spans="1:9" ht="55.5" customHeight="1" x14ac:dyDescent="0.2">
      <c r="C10" s="306" t="s">
        <v>113</v>
      </c>
      <c r="D10" s="306"/>
      <c r="E10" s="306"/>
      <c r="F10" s="306"/>
      <c r="G10" s="306"/>
      <c r="H10" s="306"/>
      <c r="I10" s="306"/>
    </row>
    <row r="11" spans="1:9" ht="53.25" customHeight="1" x14ac:dyDescent="0.2">
      <c r="C11" s="306" t="s">
        <v>361</v>
      </c>
      <c r="D11" s="306"/>
      <c r="E11" s="306"/>
      <c r="F11" s="306"/>
      <c r="G11" s="306"/>
      <c r="H11" s="306"/>
      <c r="I11" s="306"/>
    </row>
    <row r="12" spans="1:9" ht="19.5" customHeight="1" x14ac:dyDescent="0.2">
      <c r="C12" s="306" t="s">
        <v>114</v>
      </c>
      <c r="D12" s="306"/>
      <c r="E12" s="306"/>
      <c r="F12" s="306"/>
      <c r="G12" s="306"/>
      <c r="H12" s="306"/>
      <c r="I12" s="306"/>
    </row>
    <row r="13" spans="1:9" ht="16.5" customHeight="1" x14ac:dyDescent="0.2">
      <c r="C13" s="306" t="s">
        <v>115</v>
      </c>
      <c r="D13" s="306"/>
      <c r="E13" s="306"/>
      <c r="F13" s="306"/>
      <c r="G13" s="306"/>
      <c r="H13" s="306"/>
      <c r="I13" s="306"/>
    </row>
    <row r="14" spans="1:9" ht="3.75" customHeight="1" x14ac:dyDescent="0.2">
      <c r="C14" s="49"/>
      <c r="D14" s="49"/>
      <c r="E14" s="49"/>
      <c r="F14" s="49"/>
      <c r="G14" s="49"/>
      <c r="H14" s="49"/>
      <c r="I14" s="49"/>
    </row>
    <row r="15" spans="1:9" s="188" customFormat="1" ht="18.75" customHeight="1" x14ac:dyDescent="0.2">
      <c r="C15" s="305" t="s">
        <v>362</v>
      </c>
      <c r="D15" s="305"/>
      <c r="E15" s="305"/>
      <c r="F15" s="305"/>
      <c r="G15" s="305"/>
      <c r="H15" s="305"/>
      <c r="I15" s="305"/>
    </row>
    <row r="16" spans="1:9" s="189" customFormat="1" ht="18.75" customHeight="1" x14ac:dyDescent="0.2">
      <c r="C16" s="310" t="s">
        <v>363</v>
      </c>
      <c r="D16" s="310"/>
      <c r="E16" s="310"/>
      <c r="F16" s="310"/>
      <c r="G16" s="310"/>
      <c r="H16" s="310"/>
      <c r="I16" s="310"/>
    </row>
    <row r="17" spans="2:9" s="189" customFormat="1" ht="18.75" customHeight="1" x14ac:dyDescent="0.2">
      <c r="C17" s="310" t="s">
        <v>364</v>
      </c>
      <c r="D17" s="310"/>
      <c r="E17" s="310"/>
      <c r="F17" s="310"/>
      <c r="G17" s="310"/>
      <c r="H17" s="310"/>
      <c r="I17" s="310"/>
    </row>
    <row r="18" spans="2:9" s="189" customFormat="1" ht="18.75" customHeight="1" x14ac:dyDescent="0.2">
      <c r="C18" s="310" t="s">
        <v>365</v>
      </c>
      <c r="D18" s="310"/>
      <c r="E18" s="310"/>
      <c r="F18" s="310"/>
      <c r="G18" s="310"/>
      <c r="H18" s="310"/>
      <c r="I18" s="310"/>
    </row>
    <row r="19" spans="2:9" s="189" customFormat="1" ht="5.25" customHeight="1" x14ac:dyDescent="0.2">
      <c r="C19" s="186"/>
      <c r="D19" s="186"/>
      <c r="E19" s="186"/>
      <c r="F19" s="186"/>
      <c r="G19" s="186"/>
      <c r="H19" s="186"/>
      <c r="I19" s="186"/>
    </row>
    <row r="20" spans="2:9" ht="18.75" customHeight="1" x14ac:dyDescent="0.2">
      <c r="C20" s="305" t="s">
        <v>366</v>
      </c>
      <c r="D20" s="305"/>
      <c r="E20" s="305"/>
      <c r="F20" s="305"/>
      <c r="G20" s="305"/>
      <c r="H20" s="305"/>
      <c r="I20" s="305"/>
    </row>
    <row r="21" spans="2:9" x14ac:dyDescent="0.2">
      <c r="B21" s="50"/>
      <c r="C21" s="309" t="s">
        <v>251</v>
      </c>
      <c r="D21" s="309"/>
      <c r="E21" s="309"/>
      <c r="F21" s="309"/>
      <c r="G21" s="309"/>
      <c r="H21" s="309"/>
      <c r="I21" s="309"/>
    </row>
    <row r="22" spans="2:9" ht="6" customHeight="1" x14ac:dyDescent="0.2">
      <c r="B22" s="50"/>
      <c r="C22" s="51"/>
      <c r="D22" s="51"/>
      <c r="E22" s="51"/>
      <c r="F22" s="51"/>
      <c r="G22" s="51"/>
      <c r="H22" s="51"/>
      <c r="I22" s="51"/>
    </row>
    <row r="23" spans="2:9" ht="39.75" customHeight="1" x14ac:dyDescent="0.2">
      <c r="C23" s="307" t="s">
        <v>375</v>
      </c>
      <c r="D23" s="308"/>
      <c r="E23" s="308"/>
      <c r="F23" s="308"/>
      <c r="G23" s="308"/>
      <c r="H23" s="308"/>
      <c r="I23" s="308"/>
    </row>
    <row r="24" spans="2:9" ht="42.75" customHeight="1" x14ac:dyDescent="0.2">
      <c r="C24" s="307" t="s">
        <v>376</v>
      </c>
      <c r="D24" s="308"/>
      <c r="E24" s="308"/>
      <c r="F24" s="308"/>
      <c r="G24" s="308"/>
      <c r="H24" s="308"/>
      <c r="I24" s="308"/>
    </row>
    <row r="25" spans="2:9" ht="28.5" customHeight="1" x14ac:dyDescent="0.2">
      <c r="C25" s="307" t="s">
        <v>377</v>
      </c>
      <c r="D25" s="308"/>
      <c r="E25" s="308"/>
      <c r="F25" s="308"/>
      <c r="G25" s="308"/>
      <c r="H25" s="308"/>
      <c r="I25" s="308"/>
    </row>
    <row r="26" spans="2:9" ht="27.75" customHeight="1" x14ac:dyDescent="0.2">
      <c r="C26" s="307" t="s">
        <v>378</v>
      </c>
      <c r="D26" s="308"/>
      <c r="E26" s="308"/>
      <c r="F26" s="308"/>
      <c r="G26" s="308"/>
      <c r="H26" s="308"/>
      <c r="I26" s="308"/>
    </row>
    <row r="27" spans="2:9" ht="15.75" customHeight="1" x14ac:dyDescent="0.2">
      <c r="C27" s="307" t="s">
        <v>379</v>
      </c>
      <c r="D27" s="308"/>
      <c r="E27" s="308"/>
      <c r="F27" s="308"/>
      <c r="G27" s="308"/>
      <c r="H27" s="308"/>
      <c r="I27" s="308"/>
    </row>
    <row r="28" spans="2:9" ht="27.75" customHeight="1" x14ac:dyDescent="0.2">
      <c r="C28" s="307" t="s">
        <v>380</v>
      </c>
      <c r="D28" s="308"/>
      <c r="E28" s="308"/>
      <c r="F28" s="308"/>
      <c r="G28" s="308"/>
      <c r="H28" s="308"/>
      <c r="I28" s="308"/>
    </row>
    <row r="29" spans="2:9" ht="27.75" customHeight="1" x14ac:dyDescent="0.2">
      <c r="C29" s="307" t="s">
        <v>381</v>
      </c>
      <c r="D29" s="308"/>
      <c r="E29" s="308"/>
      <c r="F29" s="308"/>
      <c r="G29" s="308"/>
      <c r="H29" s="308"/>
      <c r="I29" s="308"/>
    </row>
    <row r="30" spans="2:9" ht="29.25" customHeight="1" x14ac:dyDescent="0.2">
      <c r="C30" s="307" t="s">
        <v>382</v>
      </c>
      <c r="D30" s="308"/>
      <c r="E30" s="308"/>
      <c r="F30" s="308"/>
      <c r="G30" s="308"/>
      <c r="H30" s="308"/>
      <c r="I30" s="308"/>
    </row>
    <row r="31" spans="2:9" s="170" customFormat="1" ht="17.25" customHeight="1" x14ac:dyDescent="0.2">
      <c r="C31" s="307" t="s">
        <v>383</v>
      </c>
      <c r="D31" s="308"/>
      <c r="E31" s="308"/>
      <c r="F31" s="308"/>
      <c r="G31" s="308"/>
      <c r="H31" s="308"/>
      <c r="I31" s="308"/>
    </row>
    <row r="32" spans="2:9" s="170" customFormat="1" ht="17.25" customHeight="1" x14ac:dyDescent="0.2">
      <c r="C32" s="314" t="s">
        <v>384</v>
      </c>
      <c r="D32" s="315"/>
      <c r="E32" s="315"/>
      <c r="F32" s="315"/>
      <c r="G32" s="315"/>
      <c r="H32" s="315"/>
      <c r="I32" s="315"/>
    </row>
    <row r="33" spans="2:9" s="170" customFormat="1" ht="66" customHeight="1" x14ac:dyDescent="0.2">
      <c r="C33" s="307" t="s">
        <v>385</v>
      </c>
      <c r="D33" s="308"/>
      <c r="E33" s="308"/>
      <c r="F33" s="308"/>
      <c r="G33" s="308"/>
      <c r="H33" s="308"/>
      <c r="I33" s="308"/>
    </row>
    <row r="34" spans="2:9" s="189" customFormat="1" ht="6" customHeight="1" x14ac:dyDescent="0.2">
      <c r="C34" s="187"/>
      <c r="D34" s="187"/>
      <c r="E34" s="187"/>
      <c r="F34" s="187"/>
      <c r="G34" s="187"/>
      <c r="H34" s="187"/>
      <c r="I34" s="187"/>
    </row>
    <row r="35" spans="2:9" s="189" customFormat="1" ht="18.75" customHeight="1" x14ac:dyDescent="0.2">
      <c r="C35" s="312" t="s">
        <v>367</v>
      </c>
      <c r="D35" s="312"/>
      <c r="E35" s="312"/>
      <c r="F35" s="312"/>
      <c r="G35" s="312"/>
      <c r="H35" s="312"/>
      <c r="I35" s="312"/>
    </row>
    <row r="36" spans="2:9" s="189" customFormat="1" ht="18.75" customHeight="1" x14ac:dyDescent="0.2">
      <c r="C36" s="192" t="s">
        <v>386</v>
      </c>
      <c r="D36" s="190"/>
      <c r="E36" s="190"/>
      <c r="F36" s="190"/>
      <c r="G36" s="190"/>
      <c r="H36" s="190"/>
      <c r="I36" s="190"/>
    </row>
    <row r="37" spans="2:9" s="197" customFormat="1" ht="8.25" customHeight="1" x14ac:dyDescent="0.2">
      <c r="C37" s="192"/>
      <c r="D37" s="191"/>
      <c r="E37" s="191"/>
      <c r="F37" s="191"/>
      <c r="G37" s="191"/>
      <c r="H37" s="191"/>
      <c r="I37" s="191"/>
    </row>
    <row r="38" spans="2:9" s="198" customFormat="1" ht="18" customHeight="1" x14ac:dyDescent="0.2">
      <c r="C38" s="312" t="s">
        <v>479</v>
      </c>
      <c r="D38" s="312"/>
      <c r="E38" s="312"/>
      <c r="F38" s="312"/>
      <c r="G38" s="312"/>
      <c r="H38" s="312"/>
      <c r="I38" s="312"/>
    </row>
    <row r="39" spans="2:9" s="198" customFormat="1" ht="41.25" customHeight="1" x14ac:dyDescent="0.2">
      <c r="C39" s="308" t="s">
        <v>480</v>
      </c>
      <c r="D39" s="308"/>
      <c r="E39" s="308"/>
      <c r="F39" s="308"/>
      <c r="G39" s="308"/>
      <c r="H39" s="308"/>
      <c r="I39" s="308"/>
    </row>
    <row r="40" spans="2:9" s="223" customFormat="1" x14ac:dyDescent="0.2"/>
    <row r="41" spans="2:9" s="188" customFormat="1" ht="18" customHeight="1" x14ac:dyDescent="0.2">
      <c r="B41" s="188" t="s">
        <v>368</v>
      </c>
      <c r="C41" s="312" t="s">
        <v>369</v>
      </c>
      <c r="D41" s="312"/>
      <c r="E41" s="312"/>
      <c r="F41" s="312"/>
      <c r="G41" s="312"/>
      <c r="H41" s="312"/>
      <c r="I41" s="312"/>
    </row>
    <row r="42" spans="2:9" ht="18.75" customHeight="1" x14ac:dyDescent="0.2">
      <c r="B42" s="53"/>
      <c r="C42" s="316" t="s">
        <v>117</v>
      </c>
      <c r="D42" s="316"/>
      <c r="E42" s="316"/>
      <c r="F42" s="316"/>
      <c r="G42" s="316"/>
      <c r="H42" s="316"/>
      <c r="I42" s="316"/>
    </row>
    <row r="43" spans="2:9" ht="19.5" customHeight="1" x14ac:dyDescent="0.2">
      <c r="C43" s="313" t="s">
        <v>118</v>
      </c>
      <c r="D43" s="313"/>
      <c r="E43" s="313"/>
      <c r="F43" s="313"/>
      <c r="G43" s="313"/>
      <c r="H43" s="313"/>
      <c r="I43" s="313"/>
    </row>
    <row r="44" spans="2:9" ht="18" customHeight="1" x14ac:dyDescent="0.2">
      <c r="B44" s="52"/>
      <c r="C44" s="316" t="s">
        <v>388</v>
      </c>
      <c r="D44" s="316"/>
      <c r="E44" s="316"/>
      <c r="F44" s="316"/>
      <c r="G44" s="316"/>
      <c r="H44" s="316"/>
      <c r="I44" s="316"/>
    </row>
    <row r="45" spans="2:9" ht="40.5" customHeight="1" x14ac:dyDescent="0.2">
      <c r="C45" s="308" t="s">
        <v>116</v>
      </c>
      <c r="D45" s="308"/>
      <c r="E45" s="308"/>
      <c r="F45" s="308"/>
      <c r="G45" s="308"/>
      <c r="H45" s="308"/>
      <c r="I45" s="308"/>
    </row>
    <row r="46" spans="2:9" s="223" customFormat="1" x14ac:dyDescent="0.2"/>
    <row r="47" spans="2:9" s="188" customFormat="1" ht="18" customHeight="1" x14ac:dyDescent="0.2">
      <c r="B47" s="188" t="s">
        <v>370</v>
      </c>
      <c r="C47" s="312" t="s">
        <v>371</v>
      </c>
      <c r="D47" s="312"/>
      <c r="E47" s="312"/>
      <c r="F47" s="312"/>
      <c r="G47" s="312"/>
      <c r="H47" s="312"/>
      <c r="I47" s="312"/>
    </row>
    <row r="48" spans="2:9" s="188" customFormat="1" ht="18" customHeight="1" x14ac:dyDescent="0.2">
      <c r="C48" s="312" t="s">
        <v>389</v>
      </c>
      <c r="D48" s="312"/>
      <c r="E48" s="312"/>
      <c r="F48" s="312"/>
      <c r="G48" s="312"/>
      <c r="H48" s="312"/>
      <c r="I48" s="312"/>
    </row>
    <row r="49" spans="2:9" s="189" customFormat="1" ht="29.25" customHeight="1" x14ac:dyDescent="0.2">
      <c r="C49" s="308" t="s">
        <v>372</v>
      </c>
      <c r="D49" s="308"/>
      <c r="E49" s="308"/>
      <c r="F49" s="308"/>
      <c r="G49" s="308"/>
      <c r="H49" s="308"/>
      <c r="I49" s="308"/>
    </row>
    <row r="50" spans="2:9" s="188" customFormat="1" ht="18.75" customHeight="1" x14ac:dyDescent="0.2">
      <c r="C50" s="311" t="s">
        <v>390</v>
      </c>
      <c r="D50" s="311"/>
      <c r="E50" s="311"/>
      <c r="F50" s="311"/>
      <c r="G50" s="311"/>
      <c r="H50" s="311"/>
      <c r="I50" s="311"/>
    </row>
    <row r="51" spans="2:9" s="189" customFormat="1" ht="54.75" customHeight="1" x14ac:dyDescent="0.2">
      <c r="C51" s="308" t="s">
        <v>373</v>
      </c>
      <c r="D51" s="308"/>
      <c r="E51" s="308"/>
      <c r="F51" s="308"/>
      <c r="G51" s="308"/>
      <c r="H51" s="308"/>
      <c r="I51" s="308"/>
    </row>
    <row r="52" spans="2:9" s="223" customFormat="1" x14ac:dyDescent="0.2"/>
    <row r="53" spans="2:9" s="188" customFormat="1" ht="18.75" customHeight="1" x14ac:dyDescent="0.2">
      <c r="B53" s="188" t="s">
        <v>374</v>
      </c>
      <c r="C53" s="311" t="s">
        <v>481</v>
      </c>
      <c r="D53" s="311"/>
      <c r="E53" s="311"/>
      <c r="F53" s="311"/>
      <c r="G53" s="311"/>
      <c r="H53" s="311"/>
      <c r="I53" s="311"/>
    </row>
    <row r="54" spans="2:9" ht="15" customHeight="1" x14ac:dyDescent="0.2">
      <c r="C54" s="313" t="s">
        <v>120</v>
      </c>
      <c r="D54" s="313"/>
      <c r="E54" s="313"/>
      <c r="F54" s="313"/>
      <c r="G54" s="313"/>
      <c r="H54" s="313"/>
      <c r="I54" s="313"/>
    </row>
    <row r="55" spans="2:9" ht="6" customHeight="1" x14ac:dyDescent="0.2">
      <c r="C55" s="49"/>
      <c r="D55" s="49"/>
      <c r="E55" s="49"/>
      <c r="F55" s="49"/>
      <c r="G55" s="49"/>
      <c r="H55" s="49"/>
      <c r="I55" s="49"/>
    </row>
    <row r="56" spans="2:9" ht="15.75" customHeight="1" x14ac:dyDescent="0.2">
      <c r="C56" s="316" t="s">
        <v>121</v>
      </c>
      <c r="D56" s="316"/>
      <c r="E56" s="316"/>
      <c r="F56" s="316"/>
      <c r="G56" s="316"/>
      <c r="H56" s="316"/>
      <c r="I56" s="316"/>
    </row>
    <row r="57" spans="2:9" ht="71.25" customHeight="1" x14ac:dyDescent="0.2">
      <c r="C57" s="313" t="s">
        <v>122</v>
      </c>
      <c r="D57" s="313"/>
      <c r="E57" s="313"/>
      <c r="F57" s="313"/>
      <c r="G57" s="313"/>
      <c r="H57" s="313"/>
      <c r="I57" s="313"/>
    </row>
    <row r="58" spans="2:9" ht="18" customHeight="1" x14ac:dyDescent="0.2">
      <c r="C58" s="316" t="s">
        <v>123</v>
      </c>
      <c r="D58" s="316"/>
      <c r="E58" s="316"/>
      <c r="F58" s="316"/>
      <c r="G58" s="316"/>
      <c r="H58" s="316"/>
      <c r="I58" s="316"/>
    </row>
    <row r="59" spans="2:9" ht="19.5" customHeight="1" x14ac:dyDescent="0.2">
      <c r="C59" s="319" t="s">
        <v>124</v>
      </c>
      <c r="D59" s="319"/>
      <c r="E59" s="319"/>
      <c r="F59" s="319"/>
      <c r="G59" s="319"/>
      <c r="H59" s="319"/>
      <c r="I59" s="319"/>
    </row>
    <row r="60" spans="2:9" ht="16.5" customHeight="1" x14ac:dyDescent="0.2">
      <c r="C60" s="318" t="s">
        <v>125</v>
      </c>
      <c r="D60" s="318"/>
      <c r="E60" s="318"/>
      <c r="F60" s="318"/>
      <c r="G60" s="318"/>
      <c r="H60" s="318"/>
      <c r="I60" s="318"/>
    </row>
    <row r="61" spans="2:9" ht="30" customHeight="1" x14ac:dyDescent="0.2">
      <c r="C61" s="313" t="s">
        <v>126</v>
      </c>
      <c r="D61" s="313"/>
      <c r="E61" s="313"/>
      <c r="F61" s="313"/>
      <c r="G61" s="313"/>
      <c r="H61" s="313"/>
      <c r="I61" s="313"/>
    </row>
    <row r="62" spans="2:9" ht="27.75" customHeight="1" x14ac:dyDescent="0.2">
      <c r="C62" s="313" t="s">
        <v>127</v>
      </c>
      <c r="D62" s="313"/>
      <c r="E62" s="313"/>
      <c r="F62" s="313"/>
      <c r="G62" s="313"/>
      <c r="H62" s="313"/>
      <c r="I62" s="313"/>
    </row>
    <row r="63" spans="2:9" ht="6" customHeight="1" x14ac:dyDescent="0.2">
      <c r="C63" s="313"/>
      <c r="D63" s="313"/>
      <c r="E63" s="313"/>
      <c r="F63" s="313"/>
      <c r="G63" s="313"/>
      <c r="H63" s="313"/>
      <c r="I63" s="313"/>
    </row>
    <row r="64" spans="2:9" ht="15.75" customHeight="1" x14ac:dyDescent="0.2">
      <c r="C64" s="318" t="s">
        <v>128</v>
      </c>
      <c r="D64" s="318"/>
      <c r="E64" s="318"/>
      <c r="F64" s="318"/>
      <c r="G64" s="318"/>
      <c r="H64" s="318"/>
      <c r="I64" s="318"/>
    </row>
    <row r="65" spans="2:9" ht="30" customHeight="1" x14ac:dyDescent="0.2">
      <c r="C65" s="313" t="s">
        <v>129</v>
      </c>
      <c r="D65" s="313"/>
      <c r="E65" s="313"/>
      <c r="F65" s="313"/>
      <c r="G65" s="313"/>
      <c r="H65" s="313"/>
      <c r="I65" s="313"/>
    </row>
    <row r="66" spans="2:9" ht="29.25" customHeight="1" x14ac:dyDescent="0.2">
      <c r="C66" s="313" t="s">
        <v>130</v>
      </c>
      <c r="D66" s="313"/>
      <c r="E66" s="313"/>
      <c r="F66" s="313"/>
      <c r="G66" s="313"/>
      <c r="H66" s="313"/>
      <c r="I66" s="313"/>
    </row>
    <row r="67" spans="2:9" ht="6.75" customHeight="1" x14ac:dyDescent="0.2">
      <c r="C67" s="313"/>
      <c r="D67" s="313"/>
      <c r="E67" s="313"/>
      <c r="F67" s="313"/>
      <c r="G67" s="313"/>
      <c r="H67" s="313"/>
      <c r="I67" s="313"/>
    </row>
    <row r="68" spans="2:9" ht="16.5" customHeight="1" x14ac:dyDescent="0.2">
      <c r="C68" s="319" t="s">
        <v>131</v>
      </c>
      <c r="D68" s="319"/>
      <c r="E68" s="319"/>
      <c r="F68" s="319"/>
      <c r="G68" s="319"/>
      <c r="H68" s="319"/>
      <c r="I68" s="319"/>
    </row>
    <row r="69" spans="2:9" ht="15" customHeight="1" x14ac:dyDescent="0.2">
      <c r="C69" s="313" t="s">
        <v>132</v>
      </c>
      <c r="D69" s="313"/>
      <c r="E69" s="313"/>
      <c r="F69" s="313"/>
      <c r="G69" s="313"/>
      <c r="H69" s="313"/>
      <c r="I69" s="313"/>
    </row>
    <row r="70" spans="2:9" ht="6.75" customHeight="1" x14ac:dyDescent="0.2">
      <c r="C70" s="313"/>
      <c r="D70" s="313"/>
      <c r="E70" s="313"/>
      <c r="F70" s="313"/>
      <c r="G70" s="313"/>
      <c r="H70" s="313"/>
      <c r="I70" s="313"/>
    </row>
    <row r="71" spans="2:9" ht="19.5" customHeight="1" x14ac:dyDescent="0.2">
      <c r="B71" s="54"/>
      <c r="C71" s="316" t="s">
        <v>174</v>
      </c>
      <c r="D71" s="316"/>
      <c r="E71" s="316"/>
      <c r="F71" s="316"/>
      <c r="G71" s="316"/>
      <c r="H71" s="316"/>
      <c r="I71" s="316"/>
    </row>
    <row r="72" spans="2:9" x14ac:dyDescent="0.2">
      <c r="C72" s="313" t="s">
        <v>133</v>
      </c>
      <c r="D72" s="313"/>
      <c r="E72" s="313"/>
      <c r="F72" s="313"/>
      <c r="G72" s="313"/>
      <c r="H72" s="313"/>
      <c r="I72" s="313"/>
    </row>
    <row r="73" spans="2:9" ht="6" customHeight="1" x14ac:dyDescent="0.2">
      <c r="C73" s="313"/>
      <c r="D73" s="313"/>
      <c r="E73" s="313"/>
      <c r="F73" s="313"/>
      <c r="G73" s="313"/>
      <c r="H73" s="313"/>
      <c r="I73" s="313"/>
    </row>
    <row r="74" spans="2:9" ht="20.25" customHeight="1" x14ac:dyDescent="0.2">
      <c r="C74" s="316" t="s">
        <v>134</v>
      </c>
      <c r="D74" s="316"/>
      <c r="E74" s="316"/>
      <c r="F74" s="316"/>
      <c r="G74" s="316"/>
      <c r="H74" s="316"/>
      <c r="I74" s="316"/>
    </row>
    <row r="75" spans="2:9" ht="42" customHeight="1" x14ac:dyDescent="0.2">
      <c r="C75" s="313" t="s">
        <v>135</v>
      </c>
      <c r="D75" s="313"/>
      <c r="E75" s="313"/>
      <c r="F75" s="313"/>
      <c r="G75" s="313"/>
      <c r="H75" s="313"/>
      <c r="I75" s="313"/>
    </row>
    <row r="76" spans="2:9" ht="5.25" customHeight="1" x14ac:dyDescent="0.2">
      <c r="C76" s="313"/>
      <c r="D76" s="313"/>
      <c r="E76" s="313"/>
      <c r="F76" s="313"/>
      <c r="G76" s="313"/>
      <c r="H76" s="313"/>
      <c r="I76" s="313"/>
    </row>
    <row r="77" spans="2:9" ht="18" customHeight="1" x14ac:dyDescent="0.2">
      <c r="C77" s="316" t="s">
        <v>74</v>
      </c>
      <c r="D77" s="316"/>
      <c r="E77" s="316"/>
      <c r="F77" s="316"/>
      <c r="G77" s="316"/>
      <c r="H77" s="316"/>
      <c r="I77" s="316"/>
    </row>
    <row r="78" spans="2:9" ht="92.25" customHeight="1" x14ac:dyDescent="0.2">
      <c r="C78" s="313" t="s">
        <v>136</v>
      </c>
      <c r="D78" s="313"/>
      <c r="E78" s="313"/>
      <c r="F78" s="313"/>
      <c r="G78" s="313"/>
      <c r="H78" s="313"/>
      <c r="I78" s="313"/>
    </row>
    <row r="79" spans="2:9" ht="42" customHeight="1" x14ac:dyDescent="0.2">
      <c r="C79" s="313" t="s">
        <v>137</v>
      </c>
      <c r="D79" s="313"/>
      <c r="E79" s="313"/>
      <c r="F79" s="313"/>
      <c r="G79" s="313"/>
      <c r="H79" s="313"/>
      <c r="I79" s="313"/>
    </row>
    <row r="80" spans="2:9" ht="5.25" customHeight="1" x14ac:dyDescent="0.2">
      <c r="C80" s="313"/>
      <c r="D80" s="313"/>
      <c r="E80" s="313"/>
      <c r="F80" s="313"/>
      <c r="G80" s="313"/>
      <c r="H80" s="313"/>
      <c r="I80" s="313"/>
    </row>
    <row r="81" spans="3:9" ht="19.5" customHeight="1" x14ac:dyDescent="0.2">
      <c r="C81" s="320" t="s">
        <v>138</v>
      </c>
      <c r="D81" s="320"/>
      <c r="E81" s="320"/>
      <c r="F81" s="320"/>
      <c r="G81" s="320"/>
      <c r="H81" s="320"/>
      <c r="I81" s="320"/>
    </row>
    <row r="82" spans="3:9" ht="18" customHeight="1" x14ac:dyDescent="0.2">
      <c r="C82" s="313" t="s">
        <v>139</v>
      </c>
      <c r="D82" s="313"/>
      <c r="E82" s="313"/>
      <c r="F82" s="313"/>
      <c r="G82" s="313"/>
      <c r="H82" s="313"/>
      <c r="I82" s="313"/>
    </row>
    <row r="83" spans="3:9" ht="41.25" customHeight="1" x14ac:dyDescent="0.2">
      <c r="C83" s="313" t="s">
        <v>140</v>
      </c>
      <c r="D83" s="313"/>
      <c r="E83" s="313"/>
      <c r="F83" s="313"/>
      <c r="G83" s="313"/>
      <c r="H83" s="313"/>
      <c r="I83" s="313"/>
    </row>
    <row r="84" spans="3:9" ht="28.5" customHeight="1" x14ac:dyDescent="0.2">
      <c r="C84" s="313" t="s">
        <v>141</v>
      </c>
      <c r="D84" s="313"/>
      <c r="E84" s="313"/>
      <c r="F84" s="313"/>
      <c r="G84" s="313"/>
      <c r="H84" s="313"/>
      <c r="I84" s="313"/>
    </row>
    <row r="85" spans="3:9" ht="5.25" customHeight="1" x14ac:dyDescent="0.2">
      <c r="C85" s="49"/>
      <c r="D85" s="49"/>
      <c r="E85" s="49"/>
      <c r="F85" s="49"/>
      <c r="G85" s="49"/>
      <c r="H85" s="49"/>
      <c r="I85" s="49"/>
    </row>
    <row r="86" spans="3:9" ht="15" customHeight="1" x14ac:dyDescent="0.2">
      <c r="C86" s="49"/>
      <c r="D86" s="82"/>
      <c r="E86" s="49"/>
      <c r="F86" s="55"/>
      <c r="G86" s="56" t="s">
        <v>387</v>
      </c>
      <c r="H86" s="57"/>
      <c r="I86" s="57"/>
    </row>
    <row r="87" spans="3:9" ht="15" customHeight="1" x14ac:dyDescent="0.2">
      <c r="C87" s="49"/>
      <c r="D87" s="82"/>
      <c r="E87" s="49"/>
      <c r="F87" s="58"/>
      <c r="G87" s="59" t="s">
        <v>145</v>
      </c>
      <c r="H87" s="57"/>
      <c r="I87" s="57"/>
    </row>
    <row r="88" spans="3:9" ht="15" customHeight="1" x14ac:dyDescent="0.2">
      <c r="C88" s="321" t="s">
        <v>142</v>
      </c>
      <c r="D88" s="321"/>
      <c r="E88" s="321"/>
      <c r="F88" s="321"/>
      <c r="G88" s="60" t="s">
        <v>274</v>
      </c>
      <c r="H88" s="61"/>
      <c r="I88" s="62"/>
    </row>
    <row r="89" spans="3:9" ht="15" customHeight="1" x14ac:dyDescent="0.2">
      <c r="C89" s="321" t="s">
        <v>143</v>
      </c>
      <c r="D89" s="321"/>
      <c r="E89" s="321"/>
      <c r="F89" s="321"/>
      <c r="G89" s="60" t="s">
        <v>275</v>
      </c>
      <c r="H89" s="61"/>
      <c r="I89" s="62"/>
    </row>
    <row r="90" spans="3:9" ht="15" customHeight="1" x14ac:dyDescent="0.2">
      <c r="C90" s="321" t="s">
        <v>144</v>
      </c>
      <c r="D90" s="321"/>
      <c r="E90" s="321"/>
      <c r="F90" s="321"/>
      <c r="G90" s="60" t="s">
        <v>276</v>
      </c>
      <c r="H90" s="61"/>
      <c r="I90" s="62"/>
    </row>
    <row r="91" spans="3:9" ht="15" customHeight="1" x14ac:dyDescent="0.2">
      <c r="C91" s="321" t="s">
        <v>279</v>
      </c>
      <c r="D91" s="321"/>
      <c r="E91" s="321"/>
      <c r="F91" s="321"/>
      <c r="G91" s="60" t="s">
        <v>277</v>
      </c>
      <c r="H91" s="61"/>
      <c r="I91" s="62"/>
    </row>
    <row r="92" spans="3:9" ht="4.5" customHeight="1" x14ac:dyDescent="0.2">
      <c r="C92" s="313"/>
      <c r="D92" s="313"/>
      <c r="E92" s="313"/>
      <c r="F92" s="313"/>
      <c r="G92" s="313"/>
      <c r="H92" s="313"/>
      <c r="I92" s="313"/>
    </row>
    <row r="93" spans="3:9" ht="15.75" customHeight="1" x14ac:dyDescent="0.2">
      <c r="C93" s="316" t="s">
        <v>146</v>
      </c>
      <c r="D93" s="316"/>
      <c r="E93" s="316"/>
      <c r="F93" s="316"/>
      <c r="G93" s="316"/>
      <c r="H93" s="316"/>
      <c r="I93" s="316"/>
    </row>
    <row r="94" spans="3:9" ht="40.5" customHeight="1" x14ac:dyDescent="0.2">
      <c r="C94" s="313" t="s">
        <v>147</v>
      </c>
      <c r="D94" s="313"/>
      <c r="E94" s="313"/>
      <c r="F94" s="313"/>
      <c r="G94" s="313"/>
      <c r="H94" s="313"/>
      <c r="I94" s="313"/>
    </row>
    <row r="95" spans="3:9" ht="4.5" customHeight="1" x14ac:dyDescent="0.2">
      <c r="C95" s="313"/>
      <c r="D95" s="313"/>
      <c r="E95" s="313"/>
      <c r="F95" s="313"/>
      <c r="G95" s="313"/>
      <c r="H95" s="313"/>
      <c r="I95" s="313"/>
    </row>
    <row r="96" spans="3:9" ht="16.5" customHeight="1" x14ac:dyDescent="0.2">
      <c r="C96" s="316" t="s">
        <v>148</v>
      </c>
      <c r="D96" s="316"/>
      <c r="E96" s="316"/>
      <c r="F96" s="316"/>
      <c r="G96" s="316"/>
      <c r="H96" s="316"/>
      <c r="I96" s="316"/>
    </row>
    <row r="97" spans="3:9" ht="68.25" customHeight="1" x14ac:dyDescent="0.2">
      <c r="C97" s="313" t="s">
        <v>330</v>
      </c>
      <c r="D97" s="313"/>
      <c r="E97" s="313"/>
      <c r="F97" s="313"/>
      <c r="G97" s="313"/>
      <c r="H97" s="313"/>
      <c r="I97" s="313"/>
    </row>
    <row r="98" spans="3:9" ht="3.75" customHeight="1" x14ac:dyDescent="0.2">
      <c r="C98" s="49"/>
      <c r="D98" s="49"/>
      <c r="E98" s="49"/>
      <c r="F98" s="49"/>
      <c r="G98" s="49"/>
      <c r="H98" s="49"/>
      <c r="I98" s="49"/>
    </row>
    <row r="99" spans="3:9" ht="15.75" customHeight="1" x14ac:dyDescent="0.2">
      <c r="C99" s="316" t="s">
        <v>1</v>
      </c>
      <c r="D99" s="316"/>
      <c r="E99" s="316"/>
      <c r="F99" s="316"/>
      <c r="G99" s="316"/>
      <c r="H99" s="316"/>
      <c r="I99" s="316"/>
    </row>
    <row r="100" spans="3:9" ht="18.75" customHeight="1" x14ac:dyDescent="0.2">
      <c r="C100" s="313" t="s">
        <v>149</v>
      </c>
      <c r="D100" s="313"/>
      <c r="E100" s="313"/>
      <c r="F100" s="313"/>
      <c r="G100" s="313"/>
      <c r="H100" s="313"/>
      <c r="I100" s="313"/>
    </row>
    <row r="101" spans="3:9" ht="30" customHeight="1" x14ac:dyDescent="0.2">
      <c r="C101" s="313" t="s">
        <v>150</v>
      </c>
      <c r="D101" s="313"/>
      <c r="E101" s="313"/>
      <c r="F101" s="313"/>
      <c r="G101" s="313"/>
      <c r="H101" s="313"/>
      <c r="I101" s="313"/>
    </row>
    <row r="102" spans="3:9" ht="29.25" customHeight="1" x14ac:dyDescent="0.2">
      <c r="C102" s="313" t="s">
        <v>151</v>
      </c>
      <c r="D102" s="313"/>
      <c r="E102" s="313"/>
      <c r="F102" s="313"/>
      <c r="G102" s="313"/>
      <c r="H102" s="313"/>
      <c r="I102" s="313"/>
    </row>
    <row r="103" spans="3:9" ht="16.5" customHeight="1" x14ac:dyDescent="0.2">
      <c r="C103" s="313" t="s">
        <v>152</v>
      </c>
      <c r="D103" s="313"/>
      <c r="E103" s="313"/>
      <c r="F103" s="313"/>
      <c r="G103" s="313"/>
      <c r="H103" s="313"/>
      <c r="I103" s="313"/>
    </row>
    <row r="104" spans="3:9" ht="17.25" customHeight="1" x14ac:dyDescent="0.2">
      <c r="C104" s="313" t="s">
        <v>153</v>
      </c>
      <c r="D104" s="313"/>
      <c r="E104" s="313"/>
      <c r="F104" s="313"/>
      <c r="G104" s="313"/>
      <c r="H104" s="313"/>
      <c r="I104" s="313"/>
    </row>
    <row r="105" spans="3:9" x14ac:dyDescent="0.2">
      <c r="C105" s="313" t="s">
        <v>154</v>
      </c>
      <c r="D105" s="313"/>
      <c r="E105" s="313"/>
      <c r="F105" s="313"/>
      <c r="G105" s="313"/>
      <c r="H105" s="313"/>
      <c r="I105" s="313"/>
    </row>
    <row r="106" spans="3:9" ht="6.75" customHeight="1" x14ac:dyDescent="0.2">
      <c r="C106" s="49"/>
      <c r="D106" s="49"/>
      <c r="E106" s="49"/>
      <c r="F106" s="49"/>
      <c r="G106" s="49"/>
      <c r="H106" s="49"/>
      <c r="I106" s="49"/>
    </row>
    <row r="107" spans="3:9" ht="54" customHeight="1" x14ac:dyDescent="0.2">
      <c r="C107" s="313" t="s">
        <v>155</v>
      </c>
      <c r="D107" s="313"/>
      <c r="E107" s="313"/>
      <c r="F107" s="313"/>
      <c r="G107" s="313"/>
      <c r="H107" s="313"/>
      <c r="I107" s="313"/>
    </row>
    <row r="108" spans="3:9" ht="18.75" customHeight="1" x14ac:dyDescent="0.2">
      <c r="C108" s="313" t="s">
        <v>156</v>
      </c>
      <c r="D108" s="313"/>
      <c r="E108" s="313"/>
      <c r="F108" s="313"/>
      <c r="G108" s="313"/>
      <c r="H108" s="313"/>
      <c r="I108" s="313"/>
    </row>
    <row r="109" spans="3:9" ht="18.75" customHeight="1" x14ac:dyDescent="0.2">
      <c r="C109" s="313" t="s">
        <v>157</v>
      </c>
      <c r="D109" s="313"/>
      <c r="E109" s="313"/>
      <c r="F109" s="313"/>
      <c r="G109" s="313"/>
      <c r="H109" s="313"/>
      <c r="I109" s="313"/>
    </row>
    <row r="110" spans="3:9" ht="18.75" customHeight="1" x14ac:dyDescent="0.2">
      <c r="C110" s="313" t="s">
        <v>158</v>
      </c>
      <c r="D110" s="313"/>
      <c r="E110" s="313"/>
      <c r="F110" s="313"/>
      <c r="G110" s="313"/>
      <c r="H110" s="313"/>
      <c r="I110" s="313"/>
    </row>
    <row r="111" spans="3:9" ht="16.5" customHeight="1" x14ac:dyDescent="0.2">
      <c r="C111" s="313" t="s">
        <v>159</v>
      </c>
      <c r="D111" s="313"/>
      <c r="E111" s="313"/>
      <c r="F111" s="313"/>
      <c r="G111" s="313"/>
      <c r="H111" s="313"/>
      <c r="I111" s="313"/>
    </row>
    <row r="112" spans="3:9" ht="4.5" customHeight="1" x14ac:dyDescent="0.2">
      <c r="C112" s="49"/>
      <c r="D112" s="49"/>
      <c r="E112" s="49"/>
      <c r="F112" s="49"/>
      <c r="G112" s="49"/>
      <c r="H112" s="49"/>
      <c r="I112" s="49"/>
    </row>
    <row r="113" spans="2:9" ht="78" customHeight="1" x14ac:dyDescent="0.2">
      <c r="C113" s="313" t="s">
        <v>160</v>
      </c>
      <c r="D113" s="313"/>
      <c r="E113" s="313"/>
      <c r="F113" s="313"/>
      <c r="G113" s="313"/>
      <c r="H113" s="313"/>
      <c r="I113" s="313"/>
    </row>
    <row r="114" spans="2:9" ht="3.75" customHeight="1" x14ac:dyDescent="0.2">
      <c r="C114" s="49"/>
      <c r="D114" s="49"/>
      <c r="E114" s="49"/>
      <c r="F114" s="49"/>
      <c r="G114" s="49"/>
      <c r="H114" s="49"/>
      <c r="I114" s="49"/>
    </row>
    <row r="115" spans="2:9" ht="29.25" customHeight="1" x14ac:dyDescent="0.2">
      <c r="C115" s="313" t="s">
        <v>161</v>
      </c>
      <c r="D115" s="313"/>
      <c r="E115" s="313"/>
      <c r="F115" s="313"/>
      <c r="G115" s="313"/>
      <c r="H115" s="313"/>
      <c r="I115" s="313"/>
    </row>
    <row r="116" spans="2:9" ht="27" customHeight="1" x14ac:dyDescent="0.2">
      <c r="C116" s="313" t="s">
        <v>162</v>
      </c>
      <c r="D116" s="313"/>
      <c r="E116" s="313"/>
      <c r="F116" s="313"/>
      <c r="G116" s="313"/>
      <c r="H116" s="313"/>
      <c r="I116" s="313"/>
    </row>
    <row r="117" spans="2:9" ht="15" customHeight="1" x14ac:dyDescent="0.2">
      <c r="C117" s="313" t="s">
        <v>163</v>
      </c>
      <c r="D117" s="313"/>
      <c r="E117" s="313"/>
      <c r="F117" s="313"/>
      <c r="G117" s="313"/>
      <c r="H117" s="313"/>
      <c r="I117" s="313"/>
    </row>
    <row r="118" spans="2:9" ht="5.25" customHeight="1" x14ac:dyDescent="0.2">
      <c r="C118" s="49"/>
      <c r="D118" s="49"/>
      <c r="E118" s="49"/>
      <c r="F118" s="49"/>
      <c r="G118" s="49"/>
      <c r="H118" s="49"/>
      <c r="I118" s="49"/>
    </row>
    <row r="119" spans="2:9" x14ac:dyDescent="0.2">
      <c r="C119" s="52" t="s">
        <v>164</v>
      </c>
      <c r="D119" s="49"/>
      <c r="E119" s="49"/>
      <c r="F119" s="49"/>
      <c r="G119" s="49"/>
      <c r="H119" s="49"/>
      <c r="I119" s="49"/>
    </row>
    <row r="120" spans="2:9" ht="6" customHeight="1" x14ac:dyDescent="0.2">
      <c r="C120" s="52"/>
      <c r="D120" s="49"/>
      <c r="E120" s="49"/>
      <c r="F120" s="49"/>
      <c r="G120" s="49"/>
      <c r="H120" s="49"/>
      <c r="I120" s="49"/>
    </row>
    <row r="121" spans="2:9" ht="80.25" customHeight="1" x14ac:dyDescent="0.2">
      <c r="C121" s="313" t="s">
        <v>331</v>
      </c>
      <c r="D121" s="313"/>
      <c r="E121" s="313"/>
      <c r="F121" s="313"/>
      <c r="G121" s="313"/>
      <c r="H121" s="313"/>
      <c r="I121" s="313"/>
    </row>
    <row r="122" spans="2:9" ht="29.25" customHeight="1" x14ac:dyDescent="0.2">
      <c r="C122" s="313" t="s">
        <v>165</v>
      </c>
      <c r="D122" s="313"/>
      <c r="E122" s="313"/>
      <c r="F122" s="313"/>
      <c r="G122" s="313"/>
      <c r="H122" s="313"/>
      <c r="I122" s="313"/>
    </row>
    <row r="123" spans="2:9" ht="6" customHeight="1" x14ac:dyDescent="0.2">
      <c r="C123" s="49"/>
      <c r="D123" s="49"/>
      <c r="E123" s="49"/>
      <c r="F123" s="49"/>
      <c r="G123" s="49"/>
      <c r="H123" s="49"/>
      <c r="I123" s="49"/>
    </row>
    <row r="124" spans="2:9" ht="17.25" customHeight="1" x14ac:dyDescent="0.2">
      <c r="B124" s="63"/>
      <c r="C124" s="52" t="s">
        <v>0</v>
      </c>
      <c r="D124" s="49"/>
      <c r="E124" s="49"/>
      <c r="F124" s="49"/>
      <c r="G124" s="49"/>
      <c r="H124" s="49"/>
      <c r="I124" s="49"/>
    </row>
    <row r="125" spans="2:9" ht="15.75" customHeight="1" x14ac:dyDescent="0.2">
      <c r="C125" s="313" t="s">
        <v>166</v>
      </c>
      <c r="D125" s="313"/>
      <c r="E125" s="313"/>
      <c r="F125" s="313"/>
      <c r="G125" s="313"/>
      <c r="H125" s="313"/>
      <c r="I125" s="313"/>
    </row>
    <row r="126" spans="2:9" ht="6" customHeight="1" x14ac:dyDescent="0.2">
      <c r="C126" s="64"/>
      <c r="D126" s="64"/>
      <c r="E126" s="64"/>
      <c r="F126" s="64"/>
      <c r="G126" s="64"/>
      <c r="H126" s="64"/>
      <c r="I126" s="64"/>
    </row>
    <row r="127" spans="2:9" ht="16.5" customHeight="1" x14ac:dyDescent="0.2">
      <c r="C127" s="316" t="s">
        <v>255</v>
      </c>
      <c r="D127" s="316"/>
      <c r="E127" s="316"/>
      <c r="F127" s="316"/>
      <c r="G127" s="316"/>
      <c r="H127" s="316"/>
      <c r="I127" s="316"/>
    </row>
    <row r="128" spans="2:9" ht="40.5" customHeight="1" x14ac:dyDescent="0.2">
      <c r="C128" s="313" t="s">
        <v>278</v>
      </c>
      <c r="D128" s="313"/>
      <c r="E128" s="313"/>
      <c r="F128" s="313"/>
      <c r="G128" s="313"/>
      <c r="H128" s="313"/>
      <c r="I128" s="313"/>
    </row>
    <row r="129" spans="2:9" ht="5.25" customHeight="1" x14ac:dyDescent="0.2">
      <c r="C129" s="64"/>
      <c r="D129" s="64"/>
      <c r="E129" s="64"/>
      <c r="F129" s="64"/>
      <c r="G129" s="64"/>
      <c r="H129" s="64"/>
      <c r="I129" s="64"/>
    </row>
    <row r="130" spans="2:9" ht="16.5" customHeight="1" x14ac:dyDescent="0.2">
      <c r="C130" s="316" t="s">
        <v>167</v>
      </c>
      <c r="D130" s="316"/>
      <c r="E130" s="316"/>
      <c r="F130" s="316"/>
      <c r="G130" s="316"/>
      <c r="H130" s="316"/>
      <c r="I130" s="316"/>
    </row>
    <row r="131" spans="2:9" ht="17.25" customHeight="1" x14ac:dyDescent="0.2">
      <c r="C131" s="313" t="s">
        <v>168</v>
      </c>
      <c r="D131" s="313"/>
      <c r="E131" s="313"/>
      <c r="F131" s="313"/>
      <c r="G131" s="313"/>
      <c r="H131" s="313"/>
      <c r="I131" s="313"/>
    </row>
    <row r="132" spans="2:9" ht="59.25" customHeight="1" x14ac:dyDescent="0.2">
      <c r="C132" s="313" t="s">
        <v>169</v>
      </c>
      <c r="D132" s="313"/>
      <c r="E132" s="313"/>
      <c r="F132" s="313"/>
      <c r="G132" s="313"/>
      <c r="H132" s="313"/>
      <c r="I132" s="313"/>
    </row>
    <row r="133" spans="2:9" ht="72.75" customHeight="1" x14ac:dyDescent="0.2">
      <c r="C133" s="313" t="s">
        <v>170</v>
      </c>
      <c r="D133" s="313"/>
      <c r="E133" s="313"/>
      <c r="F133" s="313"/>
      <c r="G133" s="313"/>
      <c r="H133" s="313"/>
      <c r="I133" s="313"/>
    </row>
    <row r="134" spans="2:9" ht="54.75" customHeight="1" x14ac:dyDescent="0.2">
      <c r="C134" s="313" t="s">
        <v>171</v>
      </c>
      <c r="D134" s="313"/>
      <c r="E134" s="313"/>
      <c r="F134" s="313"/>
      <c r="G134" s="313"/>
      <c r="H134" s="313"/>
      <c r="I134" s="313"/>
    </row>
    <row r="135" spans="2:9" ht="60" customHeight="1" x14ac:dyDescent="0.2">
      <c r="C135" s="313" t="s">
        <v>172</v>
      </c>
      <c r="D135" s="313"/>
      <c r="E135" s="313"/>
      <c r="F135" s="313"/>
      <c r="G135" s="313"/>
      <c r="H135" s="313"/>
      <c r="I135" s="313"/>
    </row>
    <row r="136" spans="2:9" ht="43.5" customHeight="1" x14ac:dyDescent="0.2">
      <c r="C136" s="313" t="s">
        <v>173</v>
      </c>
      <c r="D136" s="313"/>
      <c r="E136" s="313"/>
      <c r="F136" s="313"/>
      <c r="G136" s="313"/>
      <c r="H136" s="313"/>
      <c r="I136" s="313"/>
    </row>
    <row r="137" spans="2:9" ht="17.25" customHeight="1" x14ac:dyDescent="0.2">
      <c r="C137" s="313" t="s">
        <v>2</v>
      </c>
      <c r="D137" s="313"/>
      <c r="E137" s="313"/>
      <c r="F137" s="313"/>
      <c r="G137" s="313"/>
      <c r="H137" s="313"/>
      <c r="I137" s="313"/>
    </row>
    <row r="138" spans="2:9" s="223" customFormat="1" ht="14.25" customHeight="1" x14ac:dyDescent="0.2"/>
    <row r="139" spans="2:9" ht="20.25" customHeight="1" x14ac:dyDescent="0.2">
      <c r="B139" s="46" t="s">
        <v>391</v>
      </c>
      <c r="C139" s="316" t="s">
        <v>119</v>
      </c>
      <c r="D139" s="316"/>
      <c r="E139" s="316"/>
      <c r="F139" s="316"/>
      <c r="G139" s="316"/>
      <c r="H139" s="316"/>
      <c r="I139" s="316"/>
    </row>
    <row r="140" spans="2:9" s="222" customFormat="1" ht="18" customHeight="1" x14ac:dyDescent="0.2">
      <c r="C140" s="312" t="s">
        <v>389</v>
      </c>
      <c r="D140" s="312"/>
      <c r="E140" s="312"/>
      <c r="F140" s="312"/>
      <c r="G140" s="312"/>
      <c r="H140" s="312"/>
      <c r="I140" s="312"/>
    </row>
    <row r="141" spans="2:9" s="223" customFormat="1" ht="55.5" customHeight="1" x14ac:dyDescent="0.2">
      <c r="C141" s="308" t="s">
        <v>536</v>
      </c>
      <c r="D141" s="308"/>
      <c r="E141" s="308"/>
      <c r="F141" s="308"/>
      <c r="G141" s="308"/>
      <c r="H141" s="308"/>
      <c r="I141" s="308"/>
    </row>
    <row r="142" spans="2:9" s="223" customFormat="1" ht="20.25" customHeight="1" x14ac:dyDescent="0.2">
      <c r="B142" s="222"/>
      <c r="C142" s="316" t="s">
        <v>535</v>
      </c>
      <c r="D142" s="316"/>
      <c r="E142" s="316"/>
      <c r="F142" s="316"/>
      <c r="G142" s="316"/>
      <c r="H142" s="316"/>
      <c r="I142" s="316"/>
    </row>
    <row r="143" spans="2:9" s="170" customFormat="1" ht="72" customHeight="1" x14ac:dyDescent="0.2">
      <c r="B143" s="169"/>
      <c r="C143" s="317" t="s">
        <v>352</v>
      </c>
      <c r="D143" s="317"/>
      <c r="E143" s="317"/>
      <c r="F143" s="317"/>
      <c r="G143" s="317"/>
      <c r="H143" s="317"/>
      <c r="I143" s="317"/>
    </row>
    <row r="144" spans="2:9" s="169" customFormat="1" ht="15" customHeight="1" x14ac:dyDescent="0.2">
      <c r="C144" s="316" t="s">
        <v>353</v>
      </c>
      <c r="D144" s="316"/>
      <c r="E144" s="316"/>
      <c r="F144" s="316"/>
      <c r="G144" s="316"/>
      <c r="H144" s="316"/>
      <c r="I144" s="316"/>
    </row>
    <row r="145" spans="2:11" ht="69.75" customHeight="1" x14ac:dyDescent="0.2">
      <c r="C145" s="317" t="s">
        <v>354</v>
      </c>
      <c r="D145" s="317"/>
      <c r="E145" s="317"/>
      <c r="F145" s="317"/>
      <c r="G145" s="317"/>
      <c r="H145" s="317"/>
      <c r="I145" s="317"/>
    </row>
    <row r="146" spans="2:11" s="223" customFormat="1" x14ac:dyDescent="0.2"/>
    <row r="147" spans="2:11" s="197" customFormat="1" ht="20.25" customHeight="1" x14ac:dyDescent="0.2">
      <c r="B147" s="196" t="s">
        <v>392</v>
      </c>
      <c r="C147" s="316" t="s">
        <v>393</v>
      </c>
      <c r="D147" s="316"/>
      <c r="E147" s="316"/>
      <c r="F147" s="316"/>
      <c r="G147" s="316"/>
      <c r="H147" s="316"/>
      <c r="I147" s="316"/>
    </row>
    <row r="148" spans="2:11" s="197" customFormat="1" x14ac:dyDescent="0.2">
      <c r="C148" s="193"/>
      <c r="D148" s="193"/>
      <c r="E148" s="193"/>
      <c r="F148" s="193"/>
      <c r="G148" s="193"/>
      <c r="H148" s="193"/>
      <c r="I148" s="193"/>
    </row>
    <row r="149" spans="2:11" x14ac:dyDescent="0.2">
      <c r="B149" s="65" t="s">
        <v>394</v>
      </c>
      <c r="C149" s="322" t="s">
        <v>175</v>
      </c>
      <c r="D149" s="322"/>
      <c r="E149" s="322"/>
      <c r="F149" s="322"/>
      <c r="G149" s="322"/>
      <c r="H149" s="322"/>
      <c r="I149" s="322"/>
    </row>
    <row r="150" spans="2:11" ht="15" customHeight="1" x14ac:dyDescent="0.2">
      <c r="G150" s="83">
        <v>42185</v>
      </c>
      <c r="H150" s="84"/>
      <c r="I150" s="83">
        <v>42005</v>
      </c>
    </row>
    <row r="151" spans="2:11" ht="15" customHeight="1" x14ac:dyDescent="0.2">
      <c r="B151" s="8"/>
      <c r="C151" s="8"/>
      <c r="D151" s="8"/>
      <c r="E151" s="8"/>
      <c r="F151" s="8"/>
      <c r="G151" s="43" t="s">
        <v>32</v>
      </c>
      <c r="H151" s="43"/>
      <c r="I151" s="43" t="s">
        <v>32</v>
      </c>
    </row>
    <row r="152" spans="2:11" ht="15" customHeight="1" x14ac:dyDescent="0.2">
      <c r="C152" s="69" t="s">
        <v>176</v>
      </c>
      <c r="G152" s="41">
        <f>4577884020</f>
        <v>4577884020</v>
      </c>
      <c r="H152" s="41"/>
      <c r="I152" s="177">
        <f>1633929749</f>
        <v>1633929749</v>
      </c>
    </row>
    <row r="153" spans="2:11" ht="15" customHeight="1" x14ac:dyDescent="0.2">
      <c r="C153" s="69" t="s">
        <v>395</v>
      </c>
      <c r="G153" s="41">
        <v>12585462585</v>
      </c>
      <c r="H153" s="41"/>
      <c r="I153" s="177">
        <f>22430904716</f>
        <v>22430904716</v>
      </c>
    </row>
    <row r="154" spans="2:11" s="197" customFormat="1" ht="15" customHeight="1" x14ac:dyDescent="0.2">
      <c r="C154" s="194" t="s">
        <v>396</v>
      </c>
      <c r="G154" s="41"/>
      <c r="H154" s="41"/>
      <c r="I154" s="41"/>
    </row>
    <row r="155" spans="2:11" ht="15" customHeight="1" thickBot="1" x14ac:dyDescent="0.25">
      <c r="C155" s="70" t="s">
        <v>500</v>
      </c>
      <c r="G155" s="45">
        <f>SUM(G152:G154)</f>
        <v>17163346605</v>
      </c>
      <c r="H155" s="45">
        <f>SUM(H152:H154)</f>
        <v>0</v>
      </c>
      <c r="I155" s="45">
        <f>SUM(I152:I154)</f>
        <v>24064834465</v>
      </c>
      <c r="J155" s="47">
        <f>I155-CDKT!F13</f>
        <v>0</v>
      </c>
      <c r="K155" s="47">
        <f>G155-CDKT!E14</f>
        <v>0</v>
      </c>
    </row>
    <row r="156" spans="2:11" s="223" customFormat="1" ht="13.5" thickTop="1" x14ac:dyDescent="0.2">
      <c r="C156" s="219"/>
      <c r="D156" s="219"/>
      <c r="E156" s="219"/>
      <c r="F156" s="219"/>
      <c r="G156" s="219"/>
      <c r="H156" s="219"/>
      <c r="I156" s="219"/>
    </row>
    <row r="157" spans="2:11" s="197" customFormat="1" ht="15" customHeight="1" x14ac:dyDescent="0.2">
      <c r="B157" s="195" t="s">
        <v>499</v>
      </c>
      <c r="C157" s="322" t="s">
        <v>523</v>
      </c>
      <c r="D157" s="322"/>
      <c r="E157" s="322"/>
      <c r="F157" s="322"/>
      <c r="G157" s="322"/>
      <c r="H157" s="322"/>
      <c r="I157" s="322"/>
    </row>
    <row r="158" spans="2:11" s="197" customFormat="1" ht="15" customHeight="1" x14ac:dyDescent="0.2">
      <c r="G158" s="83">
        <v>42185</v>
      </c>
      <c r="H158" s="201"/>
      <c r="I158" s="83">
        <v>42005</v>
      </c>
    </row>
    <row r="159" spans="2:11" s="197" customFormat="1" ht="15" customHeight="1" x14ac:dyDescent="0.2">
      <c r="C159" s="8"/>
      <c r="D159" s="8"/>
      <c r="E159" s="8"/>
      <c r="F159" s="8"/>
      <c r="G159" s="43" t="s">
        <v>32</v>
      </c>
      <c r="H159" s="43"/>
      <c r="I159" s="43" t="s">
        <v>32</v>
      </c>
    </row>
    <row r="160" spans="2:11" s="196" customFormat="1" ht="15" customHeight="1" x14ac:dyDescent="0.2">
      <c r="C160" s="6" t="s">
        <v>490</v>
      </c>
      <c r="D160" s="6"/>
      <c r="E160" s="6"/>
      <c r="F160" s="6"/>
      <c r="G160" s="43"/>
      <c r="H160" s="43"/>
      <c r="I160" s="43"/>
    </row>
    <row r="161" spans="2:11" s="202" customFormat="1" ht="15" customHeight="1" x14ac:dyDescent="0.2">
      <c r="C161" s="8" t="s">
        <v>491</v>
      </c>
      <c r="D161" s="8"/>
      <c r="E161" s="8"/>
      <c r="F161" s="8"/>
      <c r="G161" s="112">
        <f>328311004</f>
        <v>328311004</v>
      </c>
      <c r="H161" s="112"/>
      <c r="I161" s="112">
        <f>177888771</f>
        <v>177888771</v>
      </c>
    </row>
    <row r="162" spans="2:11" s="202" customFormat="1" ht="15" customHeight="1" x14ac:dyDescent="0.2">
      <c r="C162" s="8" t="s">
        <v>492</v>
      </c>
      <c r="D162" s="8"/>
      <c r="E162" s="8"/>
      <c r="F162" s="8"/>
      <c r="G162" s="112">
        <f>52221738</f>
        <v>52221738</v>
      </c>
      <c r="H162" s="112"/>
      <c r="I162" s="112">
        <f>53174220</f>
        <v>53174220</v>
      </c>
    </row>
    <row r="163" spans="2:11" s="202" customFormat="1" ht="15" customHeight="1" x14ac:dyDescent="0.2">
      <c r="C163" s="8" t="s">
        <v>493</v>
      </c>
      <c r="D163" s="8"/>
      <c r="E163" s="8"/>
      <c r="F163" s="8"/>
      <c r="G163" s="112">
        <f>SUM(G164:G167)</f>
        <v>1896960344</v>
      </c>
      <c r="H163" s="112"/>
      <c r="I163" s="112">
        <f>SUM(I164:I167)</f>
        <v>2174511187</v>
      </c>
    </row>
    <row r="164" spans="2:11" s="203" customFormat="1" ht="15" customHeight="1" x14ac:dyDescent="0.2">
      <c r="C164" s="214" t="s">
        <v>495</v>
      </c>
      <c r="D164" s="215"/>
      <c r="E164" s="215"/>
      <c r="F164" s="215"/>
      <c r="G164" s="216">
        <v>120000000</v>
      </c>
      <c r="H164" s="217"/>
      <c r="I164" s="216">
        <v>120000000</v>
      </c>
    </row>
    <row r="165" spans="2:11" s="203" customFormat="1" ht="15" customHeight="1" x14ac:dyDescent="0.2">
      <c r="C165" s="214" t="s">
        <v>496</v>
      </c>
      <c r="D165" s="215"/>
      <c r="E165" s="215"/>
      <c r="F165" s="215"/>
      <c r="G165" s="216">
        <v>290000800</v>
      </c>
      <c r="H165" s="217"/>
      <c r="I165" s="216">
        <v>290000800</v>
      </c>
    </row>
    <row r="166" spans="2:11" s="203" customFormat="1" ht="15" customHeight="1" x14ac:dyDescent="0.2">
      <c r="C166" s="214" t="s">
        <v>497</v>
      </c>
      <c r="D166" s="215"/>
      <c r="E166" s="215"/>
      <c r="F166" s="215"/>
      <c r="G166" s="217">
        <f>400000000</f>
        <v>400000000</v>
      </c>
      <c r="H166" s="217"/>
      <c r="I166" s="217">
        <f>400000000</f>
        <v>400000000</v>
      </c>
    </row>
    <row r="167" spans="2:11" s="203" customFormat="1" ht="15" customHeight="1" x14ac:dyDescent="0.2">
      <c r="C167" s="218" t="s">
        <v>494</v>
      </c>
      <c r="G167" s="203">
        <f>1086959544</f>
        <v>1086959544</v>
      </c>
      <c r="I167" s="203">
        <v>1364510387</v>
      </c>
    </row>
    <row r="168" spans="2:11" s="202" customFormat="1" ht="15" customHeight="1" x14ac:dyDescent="0.2">
      <c r="C168" s="8" t="s">
        <v>33</v>
      </c>
      <c r="D168" s="8"/>
      <c r="E168" s="8"/>
      <c r="F168" s="8"/>
      <c r="G168" s="112">
        <v>1856946325</v>
      </c>
      <c r="H168" s="112"/>
      <c r="I168" s="112">
        <v>1768310910</v>
      </c>
    </row>
    <row r="169" spans="2:11" s="197" customFormat="1" ht="15" customHeight="1" thickBot="1" x14ac:dyDescent="0.25">
      <c r="C169" s="220" t="s">
        <v>500</v>
      </c>
      <c r="G169" s="45">
        <f>G161+G162+G163+G168</f>
        <v>4134439411</v>
      </c>
      <c r="H169" s="85"/>
      <c r="I169" s="45">
        <f>I161+I162+I163+I168</f>
        <v>4173885088</v>
      </c>
      <c r="J169" s="197">
        <f>I169-CDKT!F26</f>
        <v>0</v>
      </c>
      <c r="K169" s="197">
        <f>G169-CDKT!E26</f>
        <v>0</v>
      </c>
    </row>
    <row r="170" spans="2:11" s="202" customFormat="1" ht="8.25" customHeight="1" thickTop="1" x14ac:dyDescent="0.2">
      <c r="C170" s="200"/>
      <c r="G170" s="43"/>
      <c r="H170" s="85"/>
      <c r="I170" s="43"/>
    </row>
    <row r="171" spans="2:11" s="197" customFormat="1" ht="15" customHeight="1" x14ac:dyDescent="0.2">
      <c r="C171" s="6" t="s">
        <v>498</v>
      </c>
      <c r="G171" s="43"/>
      <c r="H171" s="85"/>
      <c r="I171" s="43"/>
    </row>
    <row r="172" spans="2:11" s="197" customFormat="1" ht="15" customHeight="1" x14ac:dyDescent="0.2">
      <c r="C172" s="199" t="s">
        <v>503</v>
      </c>
      <c r="G172" s="112">
        <f>13667695000</f>
        <v>13667695000</v>
      </c>
      <c r="H172" s="112"/>
      <c r="I172" s="112">
        <f>13667695000</f>
        <v>13667695000</v>
      </c>
    </row>
    <row r="173" spans="2:11" s="234" customFormat="1" ht="15" customHeight="1" x14ac:dyDescent="0.2">
      <c r="C173" s="235" t="s">
        <v>543</v>
      </c>
      <c r="G173" s="112">
        <f>CDKT!E45-G172</f>
        <v>228410000</v>
      </c>
      <c r="H173" s="112"/>
      <c r="I173" s="112">
        <v>232329400</v>
      </c>
    </row>
    <row r="174" spans="2:11" s="197" customFormat="1" ht="15" customHeight="1" thickBot="1" x14ac:dyDescent="0.25">
      <c r="C174" s="220" t="s">
        <v>500</v>
      </c>
      <c r="G174" s="45">
        <f>SUM(G172:G173)</f>
        <v>13896105000</v>
      </c>
      <c r="H174" s="85"/>
      <c r="I174" s="45">
        <f>SUM(I172:I173)</f>
        <v>13900024400</v>
      </c>
      <c r="J174" s="197">
        <f>G174-CDKT!E45</f>
        <v>0</v>
      </c>
      <c r="K174" s="197">
        <f>I174-CDKT!F45</f>
        <v>0</v>
      </c>
    </row>
    <row r="175" spans="2:11" s="223" customFormat="1" ht="13.5" thickTop="1" x14ac:dyDescent="0.2">
      <c r="C175" s="219"/>
      <c r="D175" s="219"/>
      <c r="E175" s="219"/>
      <c r="F175" s="219"/>
      <c r="G175" s="219"/>
      <c r="H175" s="219"/>
      <c r="I175" s="219"/>
    </row>
    <row r="176" spans="2:11" ht="15" customHeight="1" x14ac:dyDescent="0.2">
      <c r="B176" s="65" t="s">
        <v>501</v>
      </c>
      <c r="C176" s="322" t="s">
        <v>177</v>
      </c>
      <c r="D176" s="322"/>
      <c r="E176" s="322"/>
      <c r="F176" s="322"/>
      <c r="G176" s="322"/>
      <c r="H176" s="322"/>
      <c r="I176" s="322"/>
    </row>
    <row r="177" spans="2:11" ht="15" customHeight="1" x14ac:dyDescent="0.2">
      <c r="B177" s="66"/>
      <c r="G177" s="83">
        <v>42185</v>
      </c>
      <c r="H177" s="201"/>
      <c r="I177" s="83">
        <v>42005</v>
      </c>
    </row>
    <row r="178" spans="2:11" ht="15" customHeight="1" x14ac:dyDescent="0.2">
      <c r="B178" s="67"/>
      <c r="C178" s="8"/>
      <c r="D178" s="8"/>
      <c r="E178" s="8"/>
      <c r="F178" s="8"/>
      <c r="G178" s="43" t="s">
        <v>32</v>
      </c>
      <c r="H178" s="43"/>
      <c r="I178" s="43" t="s">
        <v>32</v>
      </c>
    </row>
    <row r="179" spans="2:11" ht="15" customHeight="1" x14ac:dyDescent="0.2">
      <c r="B179" s="68"/>
      <c r="C179" s="323" t="s">
        <v>34</v>
      </c>
      <c r="D179" s="323"/>
      <c r="E179" s="323"/>
      <c r="F179" s="323"/>
      <c r="G179" s="41">
        <f>3561135208</f>
        <v>3561135208</v>
      </c>
      <c r="H179" s="41"/>
      <c r="I179" s="177">
        <f>3211434402</f>
        <v>3211434402</v>
      </c>
    </row>
    <row r="180" spans="2:11" ht="15" customHeight="1" x14ac:dyDescent="0.2">
      <c r="B180" s="68"/>
      <c r="C180" s="323" t="s">
        <v>35</v>
      </c>
      <c r="D180" s="323"/>
      <c r="E180" s="323"/>
      <c r="F180" s="323"/>
      <c r="G180" s="41">
        <f>183743176</f>
        <v>183743176</v>
      </c>
      <c r="H180" s="41"/>
      <c r="I180" s="177">
        <f>335542667</f>
        <v>335542667</v>
      </c>
    </row>
    <row r="181" spans="2:11" ht="15" customHeight="1" x14ac:dyDescent="0.2">
      <c r="B181" s="68"/>
      <c r="C181" s="323" t="s">
        <v>36</v>
      </c>
      <c r="D181" s="323"/>
      <c r="E181" s="323"/>
      <c r="F181" s="323"/>
      <c r="G181" s="41">
        <f>107663442312-145980118</f>
        <v>107517462194</v>
      </c>
      <c r="H181" s="41"/>
      <c r="I181" s="177">
        <f>141733247585</f>
        <v>141733247585</v>
      </c>
    </row>
    <row r="182" spans="2:11" ht="15" customHeight="1" x14ac:dyDescent="0.2">
      <c r="B182" s="68"/>
      <c r="C182" s="323" t="s">
        <v>37</v>
      </c>
      <c r="D182" s="323"/>
      <c r="E182" s="323"/>
      <c r="F182" s="323"/>
      <c r="G182" s="41">
        <f>5428979</f>
        <v>5428979</v>
      </c>
      <c r="H182" s="41"/>
      <c r="I182" s="177">
        <f>176334756</f>
        <v>176334756</v>
      </c>
    </row>
    <row r="183" spans="2:11" ht="15" customHeight="1" thickBot="1" x14ac:dyDescent="0.25">
      <c r="B183" s="68"/>
      <c r="C183" s="220" t="s">
        <v>500</v>
      </c>
      <c r="D183" s="71"/>
      <c r="E183" s="71"/>
      <c r="F183" s="71"/>
      <c r="G183" s="45">
        <f>SUM(G179:G182)</f>
        <v>111267769557</v>
      </c>
      <c r="H183" s="84"/>
      <c r="I183" s="45">
        <f>SUM(I179:I182)</f>
        <v>145456559410</v>
      </c>
      <c r="J183" s="47">
        <f>G183-CDKT!E29</f>
        <v>0</v>
      </c>
      <c r="K183" s="47">
        <f>I183-CDKT!F29</f>
        <v>0</v>
      </c>
    </row>
    <row r="184" spans="2:11" s="223" customFormat="1" ht="13.5" thickTop="1" x14ac:dyDescent="0.2">
      <c r="C184" s="219"/>
      <c r="D184" s="219"/>
      <c r="E184" s="219"/>
      <c r="F184" s="219"/>
      <c r="G184" s="219"/>
      <c r="H184" s="219"/>
      <c r="I184" s="219"/>
    </row>
    <row r="185" spans="2:11" ht="15" customHeight="1" x14ac:dyDescent="0.2">
      <c r="B185" s="65" t="s">
        <v>502</v>
      </c>
      <c r="C185" s="322" t="s">
        <v>504</v>
      </c>
      <c r="D185" s="322"/>
      <c r="E185" s="322"/>
      <c r="F185" s="322"/>
      <c r="G185" s="322"/>
      <c r="H185" s="322"/>
      <c r="I185" s="322"/>
    </row>
    <row r="186" spans="2:11" ht="6.75" customHeight="1" x14ac:dyDescent="0.2"/>
    <row r="187" spans="2:11" ht="15" customHeight="1" x14ac:dyDescent="0.2">
      <c r="C187" s="84"/>
      <c r="D187" s="84" t="s">
        <v>38</v>
      </c>
      <c r="E187" s="89" t="s">
        <v>39</v>
      </c>
      <c r="F187" s="89" t="s">
        <v>40</v>
      </c>
      <c r="G187" s="84" t="s">
        <v>41</v>
      </c>
      <c r="H187" s="324" t="s">
        <v>42</v>
      </c>
      <c r="I187" s="324"/>
    </row>
    <row r="188" spans="2:11" ht="15" customHeight="1" x14ac:dyDescent="0.2">
      <c r="C188" s="84"/>
      <c r="D188" s="84" t="s">
        <v>252</v>
      </c>
      <c r="E188" s="89" t="s">
        <v>43</v>
      </c>
      <c r="F188" s="89" t="s">
        <v>44</v>
      </c>
      <c r="G188" s="84" t="s">
        <v>45</v>
      </c>
      <c r="H188" s="324" t="s">
        <v>46</v>
      </c>
      <c r="I188" s="324"/>
    </row>
    <row r="189" spans="2:11" ht="15" customHeight="1" x14ac:dyDescent="0.2">
      <c r="C189" s="43"/>
      <c r="D189" s="87" t="s">
        <v>32</v>
      </c>
      <c r="E189" s="90" t="s">
        <v>47</v>
      </c>
      <c r="F189" s="90" t="s">
        <v>48</v>
      </c>
      <c r="G189" s="87" t="s">
        <v>47</v>
      </c>
      <c r="H189" s="325" t="s">
        <v>32</v>
      </c>
      <c r="I189" s="325"/>
    </row>
    <row r="190" spans="2:11" ht="15" customHeight="1" x14ac:dyDescent="0.2">
      <c r="C190" s="65" t="s">
        <v>180</v>
      </c>
      <c r="D190" s="41"/>
      <c r="E190" s="42"/>
      <c r="F190" s="42"/>
      <c r="G190" s="41"/>
      <c r="H190" s="91"/>
      <c r="I190" s="91"/>
    </row>
    <row r="191" spans="2:11" ht="15" customHeight="1" x14ac:dyDescent="0.2">
      <c r="C191" s="92" t="s">
        <v>505</v>
      </c>
      <c r="D191" s="145">
        <v>16386331049</v>
      </c>
      <c r="E191" s="145">
        <v>30868584207</v>
      </c>
      <c r="F191" s="145">
        <v>40071220604</v>
      </c>
      <c r="G191" s="145">
        <v>175163146</v>
      </c>
      <c r="H191" s="145">
        <v>2763653160</v>
      </c>
      <c r="I191" s="145">
        <f>SUM(D191:G191)</f>
        <v>87501299006</v>
      </c>
      <c r="J191" s="47">
        <f>I191-CDKT!F49</f>
        <v>0</v>
      </c>
    </row>
    <row r="192" spans="2:11" ht="15" customHeight="1" x14ac:dyDescent="0.2">
      <c r="C192" s="92" t="s">
        <v>178</v>
      </c>
      <c r="D192" s="145" t="s">
        <v>192</v>
      </c>
      <c r="E192" s="145">
        <f>739000000</f>
        <v>739000000</v>
      </c>
      <c r="F192" s="145" t="s">
        <v>192</v>
      </c>
      <c r="G192" s="145"/>
      <c r="H192" s="145"/>
      <c r="I192" s="145">
        <f>SUM(D192:G192)</f>
        <v>739000000</v>
      </c>
    </row>
    <row r="193" spans="3:16" ht="15" customHeight="1" x14ac:dyDescent="0.2">
      <c r="C193" s="92" t="s">
        <v>179</v>
      </c>
      <c r="D193" s="145" t="s">
        <v>192</v>
      </c>
      <c r="E193" s="145">
        <f>-814869250</f>
        <v>-814869250</v>
      </c>
      <c r="F193" s="145">
        <f>-2834307838</f>
        <v>-2834307838</v>
      </c>
      <c r="G193" s="145" t="s">
        <v>192</v>
      </c>
      <c r="H193" s="145">
        <f>SUM(D193:G193)</f>
        <v>-3649177088</v>
      </c>
      <c r="I193" s="145">
        <f>SUM(D193:G193)</f>
        <v>-3649177088</v>
      </c>
    </row>
    <row r="194" spans="3:16" x14ac:dyDescent="0.2">
      <c r="C194" s="92"/>
      <c r="D194" s="93"/>
      <c r="E194" s="94"/>
      <c r="F194" s="94"/>
      <c r="G194" s="93"/>
      <c r="H194" s="147"/>
      <c r="I194" s="93"/>
    </row>
    <row r="195" spans="3:16" ht="15" customHeight="1" x14ac:dyDescent="0.2">
      <c r="C195" s="95" t="s">
        <v>541</v>
      </c>
      <c r="D195" s="148">
        <f>SUM(D191:D193)</f>
        <v>16386331049</v>
      </c>
      <c r="E195" s="148">
        <f>SUM(E191:E193)</f>
        <v>30792714957</v>
      </c>
      <c r="F195" s="148">
        <f>SUM(F191:F193)</f>
        <v>37236912766</v>
      </c>
      <c r="G195" s="148">
        <f>SUM(G191:G193)</f>
        <v>175163146</v>
      </c>
      <c r="H195" s="148" t="e">
        <f>H191+H192+H193+#REF!+#REF!</f>
        <v>#REF!</v>
      </c>
      <c r="I195" s="148">
        <f>SUM(I191:I193)</f>
        <v>84591121918</v>
      </c>
      <c r="J195" s="47">
        <f>I195-CDKT!E49</f>
        <v>0</v>
      </c>
    </row>
    <row r="196" spans="3:16" x14ac:dyDescent="0.2">
      <c r="C196" s="96"/>
      <c r="D196" s="78"/>
      <c r="E196" s="79"/>
      <c r="F196" s="79">
        <f>37236912766-F195</f>
        <v>0</v>
      </c>
      <c r="G196" s="78">
        <f>175163146-G195</f>
        <v>0</v>
      </c>
      <c r="H196" s="97"/>
      <c r="I196" s="97"/>
    </row>
    <row r="197" spans="3:16" ht="15" customHeight="1" x14ac:dyDescent="0.2">
      <c r="C197" s="95" t="s">
        <v>181</v>
      </c>
      <c r="D197" s="76"/>
      <c r="E197" s="77"/>
      <c r="F197" s="77"/>
      <c r="G197" s="76"/>
      <c r="H197" s="98"/>
      <c r="I197" s="98"/>
    </row>
    <row r="198" spans="3:16" ht="15" customHeight="1" x14ac:dyDescent="0.2">
      <c r="C198" s="92" t="s">
        <v>505</v>
      </c>
      <c r="D198" s="145">
        <v>6127091213</v>
      </c>
      <c r="E198" s="145">
        <v>20449326103</v>
      </c>
      <c r="F198" s="145">
        <v>18700394572</v>
      </c>
      <c r="G198" s="145">
        <v>126046287</v>
      </c>
      <c r="H198" s="92"/>
      <c r="I198" s="145">
        <f>SUM(D198:G198)</f>
        <v>45402858175</v>
      </c>
      <c r="J198" s="47">
        <f>I198+CDKT!F50</f>
        <v>0</v>
      </c>
    </row>
    <row r="199" spans="3:16" ht="15" customHeight="1" x14ac:dyDescent="0.2">
      <c r="C199" s="92" t="s">
        <v>49</v>
      </c>
      <c r="D199" s="145">
        <v>376093812</v>
      </c>
      <c r="E199" s="145">
        <v>1607180469</v>
      </c>
      <c r="F199" s="145">
        <v>2994625650</v>
      </c>
      <c r="G199" s="145">
        <v>7443475</v>
      </c>
      <c r="H199" s="92"/>
      <c r="I199" s="145">
        <f>SUM(D199:G199)</f>
        <v>4985343406</v>
      </c>
      <c r="J199" s="47">
        <f>3539888870+123283330+854970333+467200873-I199</f>
        <v>0</v>
      </c>
      <c r="K199" s="41"/>
      <c r="L199" s="41"/>
      <c r="M199" s="42"/>
      <c r="N199" s="41"/>
      <c r="O199" s="41"/>
    </row>
    <row r="200" spans="3:16" ht="15" customHeight="1" x14ac:dyDescent="0.2">
      <c r="C200" s="92" t="s">
        <v>179</v>
      </c>
      <c r="D200" s="145" t="s">
        <v>192</v>
      </c>
      <c r="E200" s="145">
        <f>-814869250</f>
        <v>-814869250</v>
      </c>
      <c r="F200" s="145">
        <f>-2294986230</f>
        <v>-2294986230</v>
      </c>
      <c r="G200" s="145" t="s">
        <v>192</v>
      </c>
      <c r="H200" s="92">
        <f>SUM(D200:G200)</f>
        <v>-3109855480</v>
      </c>
      <c r="I200" s="145">
        <f>SUM(D200:G200)</f>
        <v>-3109855480</v>
      </c>
      <c r="K200" s="41"/>
      <c r="L200" s="42"/>
      <c r="M200" s="42"/>
      <c r="N200" s="41"/>
      <c r="O200" s="69"/>
      <c r="P200" s="69"/>
    </row>
    <row r="201" spans="3:16" x14ac:dyDescent="0.2">
      <c r="C201" s="92"/>
      <c r="D201" s="93"/>
      <c r="E201" s="94"/>
      <c r="F201" s="94"/>
      <c r="G201" s="94"/>
      <c r="H201" s="99"/>
      <c r="I201" s="94"/>
    </row>
    <row r="202" spans="3:16" ht="15" customHeight="1" x14ac:dyDescent="0.2">
      <c r="C202" s="95" t="s">
        <v>541</v>
      </c>
      <c r="D202" s="148">
        <f>SUM(D198:D200)</f>
        <v>6503185025</v>
      </c>
      <c r="E202" s="148">
        <f>SUM(E198:E200)</f>
        <v>21241637322</v>
      </c>
      <c r="F202" s="148">
        <f>SUM(F198:F200)</f>
        <v>19400033992</v>
      </c>
      <c r="G202" s="148">
        <f>SUM(G198:G200)</f>
        <v>133489762</v>
      </c>
      <c r="H202" s="148" t="e">
        <f>H198+H199+H200+#REF!+#REF!</f>
        <v>#REF!</v>
      </c>
      <c r="I202" s="148">
        <f>SUM(I198:I200)</f>
        <v>47278346101</v>
      </c>
      <c r="J202" s="47">
        <f>I202+CDKT!E50</f>
        <v>0</v>
      </c>
    </row>
    <row r="203" spans="3:16" ht="9" customHeight="1" x14ac:dyDescent="0.2">
      <c r="C203" s="95"/>
      <c r="D203" s="78"/>
      <c r="E203" s="78"/>
      <c r="F203" s="78"/>
      <c r="G203" s="78"/>
      <c r="H203" s="80"/>
      <c r="I203" s="78"/>
    </row>
    <row r="204" spans="3:16" ht="15" customHeight="1" x14ac:dyDescent="0.2">
      <c r="C204" s="95" t="s">
        <v>182</v>
      </c>
      <c r="D204" s="76"/>
      <c r="E204" s="77"/>
      <c r="F204" s="77"/>
      <c r="G204" s="76"/>
      <c r="H204" s="98"/>
      <c r="I204" s="98"/>
    </row>
    <row r="205" spans="3:16" ht="15" customHeight="1" x14ac:dyDescent="0.2">
      <c r="C205" s="95" t="s">
        <v>541</v>
      </c>
      <c r="D205" s="148">
        <f>D195-D202</f>
        <v>9883146024</v>
      </c>
      <c r="E205" s="148">
        <f>E195-E202</f>
        <v>9551077635</v>
      </c>
      <c r="F205" s="148">
        <f>F195-F202</f>
        <v>17836878774</v>
      </c>
      <c r="G205" s="148">
        <f>G195-G202</f>
        <v>41673384</v>
      </c>
      <c r="H205" s="148"/>
      <c r="I205" s="148">
        <f>I195-I202</f>
        <v>37312775817</v>
      </c>
      <c r="J205" s="47">
        <f>I205-CDKT!E48</f>
        <v>0</v>
      </c>
    </row>
    <row r="206" spans="3:16" ht="3.75" customHeight="1" x14ac:dyDescent="0.2">
      <c r="C206" s="95"/>
      <c r="D206" s="100"/>
      <c r="E206" s="100"/>
      <c r="F206" s="100"/>
      <c r="G206" s="100"/>
      <c r="H206" s="101"/>
      <c r="I206" s="100"/>
    </row>
    <row r="207" spans="3:16" ht="15" customHeight="1" x14ac:dyDescent="0.2">
      <c r="C207" s="95" t="s">
        <v>505</v>
      </c>
      <c r="D207" s="148">
        <f>D191-D198</f>
        <v>10259239836</v>
      </c>
      <c r="E207" s="148">
        <f>E191-E198</f>
        <v>10419258104</v>
      </c>
      <c r="F207" s="148">
        <f>F191-F198</f>
        <v>21370826032</v>
      </c>
      <c r="G207" s="148">
        <f>G191-G198</f>
        <v>49116859</v>
      </c>
      <c r="H207" s="148"/>
      <c r="I207" s="148">
        <f>I191-I198</f>
        <v>42098440831</v>
      </c>
      <c r="J207" s="47">
        <f>I207-CDKT!F48</f>
        <v>0</v>
      </c>
    </row>
    <row r="208" spans="3:16" s="223" customFormat="1" x14ac:dyDescent="0.2">
      <c r="C208" s="219"/>
      <c r="D208" s="219"/>
      <c r="E208" s="219"/>
      <c r="F208" s="219"/>
      <c r="G208" s="219"/>
      <c r="H208" s="219"/>
      <c r="I208" s="219"/>
    </row>
    <row r="209" spans="2:10" x14ac:dyDescent="0.2">
      <c r="B209" s="65" t="s">
        <v>506</v>
      </c>
      <c r="C209" s="322" t="s">
        <v>287</v>
      </c>
      <c r="D209" s="322"/>
      <c r="E209" s="322"/>
      <c r="F209" s="322"/>
      <c r="G209" s="322"/>
      <c r="H209" s="322"/>
      <c r="I209" s="322"/>
    </row>
    <row r="210" spans="2:10" x14ac:dyDescent="0.2">
      <c r="E210" s="84"/>
      <c r="F210" s="131" t="s">
        <v>283</v>
      </c>
      <c r="G210" s="89" t="s">
        <v>284</v>
      </c>
      <c r="H210" s="324" t="s">
        <v>42</v>
      </c>
      <c r="I210" s="324"/>
    </row>
    <row r="211" spans="2:10" x14ac:dyDescent="0.2">
      <c r="E211" s="43"/>
      <c r="F211" s="131" t="s">
        <v>285</v>
      </c>
      <c r="G211" s="89" t="s">
        <v>286</v>
      </c>
      <c r="H211" s="324" t="s">
        <v>46</v>
      </c>
      <c r="I211" s="324"/>
    </row>
    <row r="212" spans="2:10" x14ac:dyDescent="0.2">
      <c r="C212" s="8"/>
      <c r="D212" s="8"/>
      <c r="E212" s="43"/>
      <c r="F212" s="132" t="s">
        <v>32</v>
      </c>
      <c r="G212" s="90" t="s">
        <v>47</v>
      </c>
      <c r="H212" s="325" t="s">
        <v>32</v>
      </c>
      <c r="I212" s="325"/>
    </row>
    <row r="213" spans="2:10" x14ac:dyDescent="0.2">
      <c r="C213" s="65" t="s">
        <v>180</v>
      </c>
      <c r="D213" s="68"/>
      <c r="E213" s="112"/>
      <c r="F213" s="41"/>
      <c r="G213" s="42"/>
      <c r="H213" s="91"/>
      <c r="I213" s="91"/>
    </row>
    <row r="214" spans="2:10" x14ac:dyDescent="0.2">
      <c r="C214" s="69" t="s">
        <v>505</v>
      </c>
      <c r="D214" s="68"/>
      <c r="E214" s="112"/>
      <c r="F214" s="136">
        <v>1404000000</v>
      </c>
      <c r="G214" s="136">
        <v>102000000</v>
      </c>
      <c r="H214" s="69"/>
      <c r="I214" s="136">
        <f>SUM(F214:G214)</f>
        <v>1506000000</v>
      </c>
      <c r="J214" s="47">
        <f>I214-CDKT!F55</f>
        <v>0</v>
      </c>
    </row>
    <row r="215" spans="2:10" x14ac:dyDescent="0.2">
      <c r="C215" s="69" t="s">
        <v>178</v>
      </c>
      <c r="D215" s="68"/>
      <c r="E215" s="112"/>
      <c r="F215" s="136" t="s">
        <v>192</v>
      </c>
      <c r="G215" s="136">
        <f>63850000</f>
        <v>63850000</v>
      </c>
      <c r="I215" s="136">
        <f t="shared" ref="I215:I217" si="0">SUM(F215:G215)</f>
        <v>63850000</v>
      </c>
    </row>
    <row r="216" spans="2:10" x14ac:dyDescent="0.2">
      <c r="C216" s="69" t="s">
        <v>179</v>
      </c>
      <c r="D216" s="68"/>
      <c r="E216" s="112"/>
      <c r="F216" s="136" t="s">
        <v>192</v>
      </c>
      <c r="G216" s="136" t="s">
        <v>192</v>
      </c>
      <c r="H216" s="8"/>
      <c r="I216" s="136">
        <f t="shared" si="0"/>
        <v>0</v>
      </c>
    </row>
    <row r="217" spans="2:10" x14ac:dyDescent="0.2">
      <c r="C217" s="69" t="s">
        <v>75</v>
      </c>
      <c r="D217" s="68"/>
      <c r="E217" s="112"/>
      <c r="F217" s="136" t="s">
        <v>192</v>
      </c>
      <c r="G217" s="136" t="s">
        <v>192</v>
      </c>
      <c r="H217" s="10"/>
      <c r="I217" s="136">
        <f t="shared" si="0"/>
        <v>0</v>
      </c>
    </row>
    <row r="218" spans="2:10" x14ac:dyDescent="0.2">
      <c r="C218" s="65" t="s">
        <v>541</v>
      </c>
      <c r="D218" s="68"/>
      <c r="E218" s="43">
        <f>E214+E215+E216+E217</f>
        <v>0</v>
      </c>
      <c r="F218" s="149">
        <f>SUM(F214:F217)</f>
        <v>1404000000</v>
      </c>
      <c r="G218" s="149">
        <f>SUM(G214:G217)</f>
        <v>165850000</v>
      </c>
      <c r="H218" s="149"/>
      <c r="I218" s="149">
        <f>SUM(I214:I217)</f>
        <v>1569850000</v>
      </c>
      <c r="J218" s="47">
        <f>I218-CDKT!E55</f>
        <v>0</v>
      </c>
    </row>
    <row r="219" spans="2:10" ht="6" customHeight="1" x14ac:dyDescent="0.2">
      <c r="C219" s="70"/>
      <c r="D219" s="68"/>
      <c r="E219" s="43"/>
      <c r="F219" s="131"/>
      <c r="G219" s="89"/>
      <c r="H219" s="8"/>
      <c r="I219" s="8"/>
    </row>
    <row r="220" spans="2:10" x14ac:dyDescent="0.2">
      <c r="C220" s="65" t="s">
        <v>181</v>
      </c>
      <c r="D220" s="68"/>
      <c r="E220" s="43"/>
      <c r="F220" s="131"/>
      <c r="G220" s="89"/>
    </row>
    <row r="221" spans="2:10" x14ac:dyDescent="0.2">
      <c r="C221" s="69" t="s">
        <v>505</v>
      </c>
      <c r="D221" s="68"/>
      <c r="E221" s="112"/>
      <c r="F221" s="136"/>
      <c r="G221" s="136">
        <v>102000000</v>
      </c>
      <c r="H221" s="136"/>
      <c r="I221" s="136">
        <f t="shared" ref="I221:I224" si="1">SUM(F221:G221)</f>
        <v>102000000</v>
      </c>
      <c r="J221" s="47">
        <f>I221+CDKT!F56</f>
        <v>0</v>
      </c>
    </row>
    <row r="222" spans="2:10" x14ac:dyDescent="0.2">
      <c r="C222" s="69" t="s">
        <v>49</v>
      </c>
      <c r="D222" s="68"/>
      <c r="E222" s="112"/>
      <c r="F222" s="136" t="s">
        <v>192</v>
      </c>
      <c r="G222" s="136">
        <f>8690694</f>
        <v>8690694</v>
      </c>
      <c r="H222" s="136"/>
      <c r="I222" s="136">
        <f t="shared" si="1"/>
        <v>8690694</v>
      </c>
    </row>
    <row r="223" spans="2:10" x14ac:dyDescent="0.2">
      <c r="C223" s="69" t="s">
        <v>179</v>
      </c>
      <c r="D223" s="68"/>
      <c r="E223" s="112"/>
      <c r="F223" s="136" t="s">
        <v>192</v>
      </c>
      <c r="G223" s="136" t="s">
        <v>192</v>
      </c>
      <c r="H223" s="136"/>
      <c r="I223" s="136">
        <f t="shared" si="1"/>
        <v>0</v>
      </c>
    </row>
    <row r="224" spans="2:10" x14ac:dyDescent="0.2">
      <c r="C224" s="69" t="s">
        <v>50</v>
      </c>
      <c r="D224" s="68"/>
      <c r="E224" s="112"/>
      <c r="F224" s="136" t="s">
        <v>192</v>
      </c>
      <c r="G224" s="136" t="s">
        <v>192</v>
      </c>
      <c r="H224" s="136"/>
      <c r="I224" s="136">
        <f t="shared" si="1"/>
        <v>0</v>
      </c>
    </row>
    <row r="225" spans="2:12" x14ac:dyDescent="0.2">
      <c r="C225" s="65" t="s">
        <v>541</v>
      </c>
      <c r="D225" s="68"/>
      <c r="E225" s="43">
        <f>SUM(E221:E224)</f>
        <v>0</v>
      </c>
      <c r="F225" s="149">
        <f>SUM(F221:F224)</f>
        <v>0</v>
      </c>
      <c r="G225" s="149">
        <f>SUM(G221:G224)</f>
        <v>110690694</v>
      </c>
      <c r="H225" s="149"/>
      <c r="I225" s="149">
        <f>SUM(I221:I224)</f>
        <v>110690694</v>
      </c>
      <c r="J225" s="47">
        <f>I225+CDKT!E56</f>
        <v>0</v>
      </c>
    </row>
    <row r="226" spans="2:12" ht="5.25" customHeight="1" x14ac:dyDescent="0.2">
      <c r="C226" s="65"/>
      <c r="D226" s="68"/>
      <c r="E226" s="43"/>
      <c r="F226" s="102"/>
      <c r="G226" s="102"/>
      <c r="H226" s="103"/>
      <c r="I226" s="102"/>
    </row>
    <row r="227" spans="2:12" x14ac:dyDescent="0.2">
      <c r="C227" s="65" t="s">
        <v>182</v>
      </c>
      <c r="D227" s="68"/>
      <c r="E227" s="43"/>
      <c r="F227" s="87"/>
      <c r="G227" s="87"/>
      <c r="H227" s="104"/>
      <c r="I227" s="87"/>
    </row>
    <row r="228" spans="2:12" x14ac:dyDescent="0.2">
      <c r="C228" s="65" t="s">
        <v>541</v>
      </c>
      <c r="D228" s="68"/>
      <c r="E228" s="43">
        <f>E218-E225</f>
        <v>0</v>
      </c>
      <c r="F228" s="149">
        <f>F218-F225</f>
        <v>1404000000</v>
      </c>
      <c r="G228" s="149">
        <f>G218-G225</f>
        <v>55159306</v>
      </c>
      <c r="H228" s="149"/>
      <c r="I228" s="149">
        <f>I218-I225</f>
        <v>1459159306</v>
      </c>
      <c r="J228" s="47">
        <f>I228-CDKT!E54</f>
        <v>0</v>
      </c>
    </row>
    <row r="229" spans="2:12" ht="5.25" customHeight="1" x14ac:dyDescent="0.2">
      <c r="C229" s="65"/>
      <c r="D229" s="68"/>
      <c r="E229" s="43"/>
      <c r="F229" s="43"/>
      <c r="G229" s="43"/>
      <c r="H229" s="44"/>
      <c r="I229" s="44"/>
    </row>
    <row r="230" spans="2:12" x14ac:dyDescent="0.2">
      <c r="C230" s="65" t="s">
        <v>505</v>
      </c>
      <c r="D230" s="68"/>
      <c r="E230" s="43">
        <f>E214-E221</f>
        <v>0</v>
      </c>
      <c r="F230" s="149">
        <f>F214-F221</f>
        <v>1404000000</v>
      </c>
      <c r="G230" s="149">
        <f>G214-G221</f>
        <v>0</v>
      </c>
      <c r="H230" s="149"/>
      <c r="I230" s="149">
        <f>I214-I221</f>
        <v>1404000000</v>
      </c>
      <c r="J230" s="47">
        <f>I230-CDKT!F54</f>
        <v>0</v>
      </c>
    </row>
    <row r="231" spans="2:12" s="223" customFormat="1" x14ac:dyDescent="0.2">
      <c r="C231" s="219"/>
      <c r="D231" s="219"/>
      <c r="E231" s="219"/>
      <c r="F231" s="219"/>
      <c r="G231" s="219"/>
      <c r="H231" s="219"/>
      <c r="I231" s="219"/>
    </row>
    <row r="232" spans="2:12" x14ac:dyDescent="0.2">
      <c r="B232" s="65" t="s">
        <v>508</v>
      </c>
      <c r="C232" s="322" t="s">
        <v>183</v>
      </c>
      <c r="D232" s="322"/>
      <c r="E232" s="322"/>
      <c r="F232" s="322"/>
      <c r="G232" s="322"/>
      <c r="H232" s="322"/>
      <c r="I232" s="322"/>
    </row>
    <row r="233" spans="2:12" ht="6.75" customHeight="1" x14ac:dyDescent="0.2">
      <c r="B233" s="65"/>
      <c r="C233" s="70"/>
      <c r="D233" s="70"/>
      <c r="E233" s="70"/>
      <c r="F233" s="70"/>
      <c r="G233" s="70"/>
      <c r="H233" s="70"/>
      <c r="I233" s="70"/>
    </row>
    <row r="234" spans="2:12" ht="15.75" customHeight="1" x14ac:dyDescent="0.2">
      <c r="D234" s="327" t="s">
        <v>184</v>
      </c>
      <c r="E234" s="327" t="s">
        <v>185</v>
      </c>
      <c r="F234" s="327" t="s">
        <v>186</v>
      </c>
      <c r="G234" s="327" t="s">
        <v>542</v>
      </c>
      <c r="H234" s="213"/>
      <c r="I234" s="327" t="s">
        <v>507</v>
      </c>
    </row>
    <row r="235" spans="2:12" x14ac:dyDescent="0.2">
      <c r="C235" s="8"/>
      <c r="D235" s="327"/>
      <c r="E235" s="327"/>
      <c r="F235" s="327"/>
      <c r="G235" s="327"/>
      <c r="H235" s="43"/>
      <c r="I235" s="327"/>
    </row>
    <row r="236" spans="2:12" x14ac:dyDescent="0.2">
      <c r="C236" s="8"/>
      <c r="D236" s="105"/>
      <c r="E236" s="211"/>
      <c r="F236" s="105"/>
      <c r="G236" s="43" t="s">
        <v>187</v>
      </c>
      <c r="H236" s="43"/>
      <c r="I236" s="43" t="s">
        <v>187</v>
      </c>
    </row>
    <row r="237" spans="2:12" x14ac:dyDescent="0.2">
      <c r="C237" s="328" t="s">
        <v>280</v>
      </c>
      <c r="D237" s="106" t="s">
        <v>188</v>
      </c>
      <c r="E237" s="144">
        <v>0.51</v>
      </c>
      <c r="F237" s="144">
        <v>0.51</v>
      </c>
      <c r="G237" s="41">
        <v>0</v>
      </c>
      <c r="H237" s="41"/>
      <c r="I237" s="41">
        <v>10200000000</v>
      </c>
      <c r="J237" s="143"/>
    </row>
    <row r="238" spans="2:12" ht="25.5" customHeight="1" x14ac:dyDescent="0.2">
      <c r="C238" s="328"/>
      <c r="D238" s="212"/>
      <c r="K238" s="8"/>
    </row>
    <row r="239" spans="2:12" ht="13.5" thickBot="1" x14ac:dyDescent="0.25">
      <c r="C239" s="220" t="s">
        <v>500</v>
      </c>
      <c r="G239" s="45">
        <f>SUM(G237:G238)</f>
        <v>0</v>
      </c>
      <c r="I239" s="45">
        <f>SUM(I237:I238)</f>
        <v>10200000000</v>
      </c>
      <c r="J239" s="47">
        <f>G239-CDKT!E64</f>
        <v>0</v>
      </c>
      <c r="K239" s="43">
        <f>SUM(K237:K238)</f>
        <v>0</v>
      </c>
      <c r="L239" s="234">
        <f>I239-CDKT!F64</f>
        <v>0</v>
      </c>
    </row>
    <row r="240" spans="2:12" s="223" customFormat="1" ht="13.5" thickTop="1" x14ac:dyDescent="0.2">
      <c r="C240" s="219"/>
      <c r="D240" s="219"/>
      <c r="E240" s="219"/>
      <c r="F240" s="219"/>
      <c r="G240" s="219"/>
      <c r="H240" s="219"/>
      <c r="I240" s="219"/>
      <c r="K240" s="8"/>
    </row>
    <row r="241" spans="2:11" ht="15" customHeight="1" x14ac:dyDescent="0.2">
      <c r="B241" s="65" t="s">
        <v>510</v>
      </c>
      <c r="C241" s="222" t="s">
        <v>509</v>
      </c>
      <c r="D241" s="223"/>
      <c r="E241" s="219"/>
      <c r="F241" s="219"/>
      <c r="G241" s="219"/>
      <c r="H241" s="219"/>
      <c r="I241" s="219"/>
    </row>
    <row r="242" spans="2:11" ht="15" customHeight="1" x14ac:dyDescent="0.2">
      <c r="F242" s="296" t="s">
        <v>190</v>
      </c>
      <c r="G242" s="83">
        <v>42185</v>
      </c>
      <c r="H242" s="201"/>
      <c r="I242" s="83">
        <v>42005</v>
      </c>
    </row>
    <row r="243" spans="2:11" x14ac:dyDescent="0.2">
      <c r="C243" s="8"/>
      <c r="D243" s="8"/>
      <c r="E243" s="8"/>
      <c r="F243" s="296"/>
      <c r="G243" s="43" t="s">
        <v>32</v>
      </c>
      <c r="H243" s="43"/>
      <c r="I243" s="43" t="s">
        <v>32</v>
      </c>
    </row>
    <row r="244" spans="2:11" ht="15" customHeight="1" x14ac:dyDescent="0.2">
      <c r="C244" s="69" t="s">
        <v>189</v>
      </c>
      <c r="D244" s="71"/>
      <c r="E244" s="71"/>
      <c r="F244" s="108">
        <v>5.0000000000000001E-3</v>
      </c>
      <c r="G244" s="41">
        <v>250000000</v>
      </c>
      <c r="H244" s="41"/>
      <c r="I244" s="41">
        <v>250000000</v>
      </c>
    </row>
    <row r="245" spans="2:11" ht="15" customHeight="1" x14ac:dyDescent="0.2">
      <c r="C245" s="69" t="s">
        <v>281</v>
      </c>
      <c r="D245" s="71"/>
      <c r="E245" s="71"/>
      <c r="F245" s="107">
        <v>0.1</v>
      </c>
      <c r="G245" s="41">
        <v>5000000000</v>
      </c>
      <c r="H245" s="41"/>
      <c r="I245" s="41">
        <v>5000000000</v>
      </c>
    </row>
    <row r="246" spans="2:11" ht="15" customHeight="1" thickBot="1" x14ac:dyDescent="0.25">
      <c r="C246" s="220" t="s">
        <v>500</v>
      </c>
      <c r="D246" s="65"/>
      <c r="E246" s="65"/>
      <c r="F246" s="65"/>
      <c r="G246" s="45">
        <f>SUM(G244:G245)</f>
        <v>5250000000</v>
      </c>
      <c r="H246" s="84"/>
      <c r="I246" s="45">
        <f>SUM(I244:I245)</f>
        <v>5250000000</v>
      </c>
      <c r="J246" s="47">
        <f>I246-CDKT!F66</f>
        <v>0</v>
      </c>
      <c r="K246" s="47">
        <f>G246-CDKT!E66</f>
        <v>0</v>
      </c>
    </row>
    <row r="247" spans="2:11" s="223" customFormat="1" ht="13.5" thickTop="1" x14ac:dyDescent="0.2">
      <c r="C247" s="219"/>
      <c r="D247" s="219"/>
      <c r="E247" s="219"/>
      <c r="F247" s="219"/>
      <c r="G247" s="219"/>
      <c r="H247" s="219"/>
      <c r="I247" s="219"/>
    </row>
    <row r="248" spans="2:11" ht="15" customHeight="1" x14ac:dyDescent="0.2">
      <c r="B248" s="65" t="s">
        <v>511</v>
      </c>
      <c r="C248" s="322" t="s">
        <v>520</v>
      </c>
      <c r="D248" s="322"/>
      <c r="E248" s="322"/>
      <c r="F248" s="322"/>
      <c r="G248" s="322"/>
      <c r="H248" s="322"/>
      <c r="I248" s="322"/>
    </row>
    <row r="249" spans="2:11" ht="15" customHeight="1" x14ac:dyDescent="0.2">
      <c r="B249" s="66"/>
      <c r="C249" s="68"/>
      <c r="D249" s="68"/>
      <c r="E249" s="68"/>
      <c r="F249" s="68"/>
      <c r="G249" s="83">
        <v>42185</v>
      </c>
      <c r="H249" s="201"/>
      <c r="I249" s="83">
        <v>42005</v>
      </c>
    </row>
    <row r="250" spans="2:11" ht="15" customHeight="1" x14ac:dyDescent="0.2">
      <c r="B250" s="66"/>
      <c r="C250" s="109"/>
      <c r="D250" s="109"/>
      <c r="E250" s="109"/>
      <c r="F250" s="109"/>
      <c r="G250" s="43" t="s">
        <v>32</v>
      </c>
      <c r="H250" s="43"/>
      <c r="I250" s="43" t="s">
        <v>32</v>
      </c>
    </row>
    <row r="251" spans="2:11" s="222" customFormat="1" ht="15" customHeight="1" x14ac:dyDescent="0.2">
      <c r="B251" s="72"/>
      <c r="C251" s="115" t="s">
        <v>490</v>
      </c>
      <c r="D251" s="115"/>
      <c r="E251" s="115"/>
      <c r="F251" s="115"/>
      <c r="G251" s="43"/>
      <c r="H251" s="43"/>
      <c r="I251" s="43"/>
    </row>
    <row r="252" spans="2:11" s="227" customFormat="1" ht="15" customHeight="1" x14ac:dyDescent="0.2">
      <c r="B252" s="226"/>
      <c r="C252" s="326" t="s">
        <v>521</v>
      </c>
      <c r="D252" s="326"/>
      <c r="E252" s="326"/>
      <c r="F252" s="326"/>
      <c r="G252" s="228">
        <v>12510676811</v>
      </c>
      <c r="H252" s="180"/>
      <c r="I252" s="228">
        <f>4026031977-I253</f>
        <v>3167463929</v>
      </c>
    </row>
    <row r="253" spans="2:11" s="227" customFormat="1" ht="15" customHeight="1" x14ac:dyDescent="0.2">
      <c r="B253" s="226"/>
      <c r="C253" s="326" t="s">
        <v>522</v>
      </c>
      <c r="D253" s="326"/>
      <c r="E253" s="326"/>
      <c r="F253" s="326"/>
      <c r="G253" s="228">
        <f>174016161+963737773</f>
        <v>1137753934</v>
      </c>
      <c r="H253" s="180"/>
      <c r="I253" s="228">
        <f>317635937+540932111</f>
        <v>858568048</v>
      </c>
    </row>
    <row r="254" spans="2:11" s="222" customFormat="1" ht="15" customHeight="1" thickBot="1" x14ac:dyDescent="0.25">
      <c r="B254" s="72"/>
      <c r="C254" s="220" t="s">
        <v>500</v>
      </c>
      <c r="D254" s="115"/>
      <c r="E254" s="115"/>
      <c r="F254" s="115"/>
      <c r="G254" s="45">
        <f>SUM(G252:G253)</f>
        <v>13648430745</v>
      </c>
      <c r="H254" s="221"/>
      <c r="I254" s="45">
        <f>SUM(I252:I253)</f>
        <v>4026031977</v>
      </c>
      <c r="J254" s="222">
        <f>G254-CDKT!E33</f>
        <v>0</v>
      </c>
      <c r="K254" s="222">
        <f>I254-CDKT!F33</f>
        <v>0</v>
      </c>
    </row>
    <row r="255" spans="2:11" s="222" customFormat="1" ht="15" customHeight="1" thickTop="1" x14ac:dyDescent="0.2">
      <c r="B255" s="72"/>
      <c r="C255" s="115"/>
      <c r="D255" s="115"/>
      <c r="E255" s="115"/>
      <c r="F255" s="115"/>
      <c r="G255" s="43"/>
      <c r="H255" s="43"/>
      <c r="I255" s="43"/>
    </row>
    <row r="256" spans="2:11" s="222" customFormat="1" ht="15" customHeight="1" x14ac:dyDescent="0.2">
      <c r="B256" s="72"/>
      <c r="C256" s="115" t="s">
        <v>498</v>
      </c>
      <c r="D256" s="115"/>
      <c r="E256" s="115"/>
      <c r="F256" s="115"/>
      <c r="G256" s="43"/>
      <c r="H256" s="43"/>
      <c r="I256" s="43"/>
    </row>
    <row r="257" spans="2:11" s="198" customFormat="1" ht="15" customHeight="1" x14ac:dyDescent="0.2">
      <c r="C257" s="326" t="s">
        <v>193</v>
      </c>
      <c r="D257" s="326"/>
      <c r="E257" s="326"/>
      <c r="F257" s="326"/>
      <c r="G257" s="229">
        <v>32140427519</v>
      </c>
      <c r="H257" s="177"/>
      <c r="I257" s="177">
        <v>25094105830</v>
      </c>
    </row>
    <row r="258" spans="2:11" s="198" customFormat="1" ht="15" customHeight="1" x14ac:dyDescent="0.2">
      <c r="C258" s="326" t="s">
        <v>194</v>
      </c>
      <c r="D258" s="326"/>
      <c r="E258" s="326"/>
      <c r="F258" s="326"/>
      <c r="G258" s="230">
        <f>64897522+99373369</f>
        <v>164270891</v>
      </c>
      <c r="H258" s="177"/>
      <c r="I258" s="177">
        <f>632001248-100241935-153521250-177480557</f>
        <v>200757506</v>
      </c>
    </row>
    <row r="259" spans="2:11" ht="15" customHeight="1" thickBot="1" x14ac:dyDescent="0.25">
      <c r="C259" s="322" t="s">
        <v>500</v>
      </c>
      <c r="D259" s="322"/>
      <c r="E259" s="322"/>
      <c r="F259" s="322"/>
      <c r="G259" s="45">
        <f>SUM(G257:G258)</f>
        <v>32304698410</v>
      </c>
      <c r="H259" s="84"/>
      <c r="I259" s="45">
        <f>SUM(I257:I258)</f>
        <v>25294863336</v>
      </c>
      <c r="J259" s="47">
        <f>I259-CDKT!F70</f>
        <v>0</v>
      </c>
      <c r="K259" s="47">
        <f>G259-CDKT!E70</f>
        <v>0</v>
      </c>
    </row>
    <row r="260" spans="2:11" ht="13.5" thickTop="1" x14ac:dyDescent="0.2">
      <c r="C260" s="71"/>
      <c r="D260" s="71"/>
      <c r="E260" s="71"/>
      <c r="F260" s="71"/>
    </row>
    <row r="261" spans="2:11" ht="15" customHeight="1" x14ac:dyDescent="0.2">
      <c r="B261" s="65" t="s">
        <v>512</v>
      </c>
      <c r="C261" s="322" t="s">
        <v>199</v>
      </c>
      <c r="D261" s="322"/>
      <c r="E261" s="322"/>
      <c r="F261" s="322"/>
      <c r="G261" s="322"/>
      <c r="H261" s="322"/>
      <c r="I261" s="322"/>
    </row>
    <row r="262" spans="2:11" ht="15" customHeight="1" x14ac:dyDescent="0.2">
      <c r="C262" s="68"/>
      <c r="D262" s="68"/>
      <c r="E262" s="68"/>
      <c r="F262" s="68"/>
      <c r="G262" s="83">
        <v>42185</v>
      </c>
      <c r="H262" s="201"/>
      <c r="I262" s="83">
        <v>42005</v>
      </c>
    </row>
    <row r="263" spans="2:11" ht="15" customHeight="1" x14ac:dyDescent="0.2">
      <c r="C263" s="109"/>
      <c r="D263" s="109"/>
      <c r="E263" s="109"/>
      <c r="F263" s="109"/>
      <c r="G263" s="43" t="s">
        <v>32</v>
      </c>
      <c r="H263" s="43"/>
      <c r="I263" s="43" t="s">
        <v>32</v>
      </c>
    </row>
    <row r="264" spans="2:11" ht="15" customHeight="1" x14ac:dyDescent="0.2">
      <c r="C264" s="323" t="s">
        <v>53</v>
      </c>
      <c r="D264" s="323"/>
      <c r="E264" s="323"/>
      <c r="F264" s="323"/>
      <c r="G264" s="41">
        <f>12226341847</f>
        <v>12226341847</v>
      </c>
      <c r="H264" s="41"/>
      <c r="I264" s="41">
        <v>3724970226</v>
      </c>
    </row>
    <row r="265" spans="2:11" ht="15" customHeight="1" x14ac:dyDescent="0.2">
      <c r="C265" s="323" t="s">
        <v>54</v>
      </c>
      <c r="D265" s="323"/>
      <c r="E265" s="323"/>
      <c r="F265" s="323"/>
      <c r="G265" s="41">
        <f>2674865538</f>
        <v>2674865538</v>
      </c>
      <c r="H265" s="41"/>
      <c r="I265" s="41">
        <v>3978449377</v>
      </c>
    </row>
    <row r="266" spans="2:11" ht="15" customHeight="1" x14ac:dyDescent="0.2">
      <c r="C266" s="323" t="s">
        <v>76</v>
      </c>
      <c r="D266" s="323"/>
      <c r="E266" s="323"/>
      <c r="F266" s="323"/>
      <c r="G266" s="41">
        <f>87368272</f>
        <v>87368272</v>
      </c>
      <c r="H266" s="41"/>
      <c r="I266" s="41">
        <v>83520218</v>
      </c>
    </row>
    <row r="267" spans="2:11" ht="15" customHeight="1" x14ac:dyDescent="0.2">
      <c r="C267" s="323" t="s">
        <v>55</v>
      </c>
      <c r="D267" s="323"/>
      <c r="E267" s="323"/>
      <c r="F267" s="323"/>
      <c r="G267" s="41">
        <f>152605926</f>
        <v>152605926</v>
      </c>
      <c r="H267" s="41"/>
      <c r="I267" s="41">
        <v>53172326</v>
      </c>
    </row>
    <row r="268" spans="2:11" ht="15" customHeight="1" x14ac:dyDescent="0.2">
      <c r="C268" s="323" t="s">
        <v>200</v>
      </c>
      <c r="D268" s="323"/>
      <c r="E268" s="323"/>
      <c r="F268" s="323"/>
      <c r="G268" s="41">
        <f>27154400+25269751+14215500</f>
        <v>66639651</v>
      </c>
      <c r="H268" s="41"/>
      <c r="I268" s="41">
        <v>31431251</v>
      </c>
    </row>
    <row r="269" spans="2:11" ht="15" customHeight="1" thickBot="1" x14ac:dyDescent="0.25">
      <c r="C269" s="322" t="s">
        <v>500</v>
      </c>
      <c r="D269" s="322"/>
      <c r="E269" s="322"/>
      <c r="F269" s="322"/>
      <c r="G269" s="45">
        <f>SUM(G264:G268)</f>
        <v>15207821234</v>
      </c>
      <c r="H269" s="84"/>
      <c r="I269" s="45">
        <f>SUM(I264:I268)</f>
        <v>7871543398</v>
      </c>
      <c r="J269" s="47">
        <f>I269-CDKT!F80</f>
        <v>0</v>
      </c>
      <c r="K269" s="47">
        <f>G269-CDKT!E80</f>
        <v>0</v>
      </c>
    </row>
    <row r="270" spans="2:11" s="223" customFormat="1" ht="15" customHeight="1" thickTop="1" x14ac:dyDescent="0.2">
      <c r="C270" s="220"/>
      <c r="D270" s="220"/>
      <c r="E270" s="220"/>
      <c r="F270" s="220"/>
      <c r="G270" s="43"/>
      <c r="H270" s="221"/>
      <c r="I270" s="43"/>
    </row>
    <row r="271" spans="2:11" ht="15" customHeight="1" x14ac:dyDescent="0.2">
      <c r="B271" s="65" t="s">
        <v>191</v>
      </c>
      <c r="C271" s="322" t="s">
        <v>524</v>
      </c>
      <c r="D271" s="322"/>
      <c r="E271" s="322"/>
      <c r="F271" s="322"/>
      <c r="G271" s="322"/>
      <c r="H271" s="322"/>
      <c r="I271" s="322"/>
    </row>
    <row r="272" spans="2:11" ht="15" customHeight="1" x14ac:dyDescent="0.2">
      <c r="C272" s="68"/>
      <c r="D272" s="68"/>
      <c r="E272" s="68"/>
      <c r="F272" s="68"/>
      <c r="G272" s="83">
        <v>42185</v>
      </c>
      <c r="H272" s="201"/>
      <c r="I272" s="83">
        <v>42005</v>
      </c>
    </row>
    <row r="273" spans="2:11" ht="15" customHeight="1" x14ac:dyDescent="0.2">
      <c r="C273" s="109"/>
      <c r="D273" s="109"/>
      <c r="E273" s="109"/>
      <c r="F273" s="109"/>
      <c r="G273" s="43" t="s">
        <v>32</v>
      </c>
      <c r="H273" s="43"/>
      <c r="I273" s="43" t="s">
        <v>32</v>
      </c>
    </row>
    <row r="274" spans="2:11" s="222" customFormat="1" ht="15" customHeight="1" x14ac:dyDescent="0.2">
      <c r="C274" s="115" t="s">
        <v>525</v>
      </c>
      <c r="D274" s="115"/>
      <c r="E274" s="115"/>
      <c r="F274" s="115"/>
      <c r="G274" s="43"/>
      <c r="H274" s="43"/>
      <c r="I274" s="43"/>
    </row>
    <row r="275" spans="2:11" ht="15" customHeight="1" x14ac:dyDescent="0.2">
      <c r="C275" s="323" t="s">
        <v>201</v>
      </c>
      <c r="D275" s="323"/>
      <c r="E275" s="323"/>
      <c r="F275" s="323"/>
      <c r="G275" s="41">
        <v>55421810431</v>
      </c>
      <c r="H275" s="41"/>
      <c r="I275" s="41">
        <v>55702823204</v>
      </c>
    </row>
    <row r="276" spans="2:11" ht="15" customHeight="1" x14ac:dyDescent="0.2">
      <c r="C276" s="323" t="s">
        <v>0</v>
      </c>
      <c r="D276" s="323"/>
      <c r="E276" s="323"/>
      <c r="F276" s="323"/>
      <c r="G276" s="41">
        <v>544190127</v>
      </c>
      <c r="H276" s="41"/>
      <c r="I276" s="41">
        <v>140546687</v>
      </c>
    </row>
    <row r="277" spans="2:11" ht="15" customHeight="1" thickBot="1" x14ac:dyDescent="0.25">
      <c r="C277" s="322" t="s">
        <v>500</v>
      </c>
      <c r="D277" s="322"/>
      <c r="E277" s="322"/>
      <c r="F277" s="322"/>
      <c r="G277" s="45">
        <f>SUM(G275:G276)</f>
        <v>55966000558</v>
      </c>
      <c r="H277" s="84"/>
      <c r="I277" s="45">
        <f>SUM(I275:I276)</f>
        <v>55843369891</v>
      </c>
      <c r="J277" s="47">
        <f>I277-CDKT!F82</f>
        <v>0</v>
      </c>
      <c r="K277" s="47">
        <f>G277-CDKT!E82</f>
        <v>0</v>
      </c>
    </row>
    <row r="278" spans="2:11" s="170" customFormat="1" ht="13.5" thickTop="1" x14ac:dyDescent="0.2">
      <c r="C278" s="173"/>
      <c r="D278" s="173"/>
      <c r="E278" s="173"/>
      <c r="F278" s="173"/>
    </row>
    <row r="279" spans="2:11" ht="15" customHeight="1" x14ac:dyDescent="0.2">
      <c r="B279" s="65" t="s">
        <v>526</v>
      </c>
      <c r="C279" s="322" t="s">
        <v>514</v>
      </c>
      <c r="D279" s="322"/>
      <c r="E279" s="322"/>
      <c r="F279" s="322"/>
      <c r="G279" s="322"/>
      <c r="H279" s="322"/>
      <c r="I279" s="322"/>
    </row>
    <row r="280" spans="2:11" ht="15" customHeight="1" x14ac:dyDescent="0.2">
      <c r="B280" s="70"/>
      <c r="C280" s="70"/>
      <c r="D280" s="70"/>
      <c r="E280" s="70"/>
      <c r="F280" s="70"/>
      <c r="G280" s="83">
        <v>42185</v>
      </c>
      <c r="H280" s="201"/>
      <c r="I280" s="83">
        <v>42005</v>
      </c>
    </row>
    <row r="281" spans="2:11" ht="15" customHeight="1" x14ac:dyDescent="0.2">
      <c r="B281" s="70"/>
      <c r="C281" s="111"/>
      <c r="D281" s="111"/>
      <c r="E281" s="111"/>
      <c r="F281" s="111"/>
      <c r="G281" s="43" t="s">
        <v>32</v>
      </c>
      <c r="H281" s="43"/>
      <c r="I281" s="43" t="s">
        <v>32</v>
      </c>
    </row>
    <row r="282" spans="2:11" s="6" customFormat="1" ht="15" customHeight="1" x14ac:dyDescent="0.2">
      <c r="B282" s="111"/>
      <c r="C282" s="111" t="s">
        <v>513</v>
      </c>
      <c r="D282" s="111"/>
      <c r="E282" s="111"/>
      <c r="F282" s="111"/>
      <c r="G282" s="43"/>
      <c r="H282" s="43"/>
      <c r="I282" s="43"/>
    </row>
    <row r="283" spans="2:11" ht="15" customHeight="1" x14ac:dyDescent="0.2">
      <c r="B283" s="70"/>
      <c r="C283" s="323" t="s">
        <v>202</v>
      </c>
      <c r="D283" s="323"/>
      <c r="E283" s="323"/>
      <c r="F283" s="323"/>
      <c r="G283" s="41">
        <f>3601169000</f>
        <v>3601169000</v>
      </c>
      <c r="H283" s="41"/>
      <c r="I283" s="41">
        <v>1367591663</v>
      </c>
    </row>
    <row r="284" spans="2:11" ht="15" customHeight="1" x14ac:dyDescent="0.2">
      <c r="B284" s="70"/>
      <c r="C284" s="323" t="s">
        <v>203</v>
      </c>
      <c r="D284" s="323"/>
      <c r="E284" s="323"/>
      <c r="F284" s="323"/>
      <c r="G284" s="41">
        <f>448383666</f>
        <v>448383666</v>
      </c>
      <c r="H284" s="41"/>
      <c r="I284" s="41">
        <v>631234291</v>
      </c>
    </row>
    <row r="285" spans="2:11" ht="15" customHeight="1" x14ac:dyDescent="0.2">
      <c r="B285" s="70"/>
      <c r="C285" s="323" t="s">
        <v>56</v>
      </c>
      <c r="D285" s="323"/>
      <c r="E285" s="323"/>
      <c r="F285" s="323"/>
      <c r="G285" s="41">
        <f>27001330</f>
        <v>27001330</v>
      </c>
      <c r="H285" s="41"/>
      <c r="I285" s="41">
        <v>19786716</v>
      </c>
      <c r="J285" s="47">
        <f>27001330-G285</f>
        <v>0</v>
      </c>
    </row>
    <row r="286" spans="2:11" s="250" customFormat="1" ht="15" customHeight="1" x14ac:dyDescent="0.2">
      <c r="B286" s="251"/>
      <c r="C286" s="323" t="s">
        <v>544</v>
      </c>
      <c r="D286" s="323"/>
      <c r="E286" s="323"/>
      <c r="F286" s="323"/>
      <c r="G286" s="41">
        <f>477805246</f>
        <v>477805246</v>
      </c>
      <c r="H286" s="41"/>
      <c r="I286" s="41"/>
      <c r="J286" s="250">
        <f>477805246-G286</f>
        <v>0</v>
      </c>
    </row>
    <row r="287" spans="2:11" ht="15" customHeight="1" x14ac:dyDescent="0.2">
      <c r="B287" s="70"/>
      <c r="C287" s="323" t="s">
        <v>57</v>
      </c>
      <c r="D287" s="323"/>
      <c r="E287" s="323"/>
      <c r="F287" s="323"/>
      <c r="G287" s="41">
        <v>128345442</v>
      </c>
      <c r="H287" s="41"/>
      <c r="I287" s="41">
        <v>29588787</v>
      </c>
      <c r="J287" s="47">
        <f>128345442-G287</f>
        <v>0</v>
      </c>
    </row>
    <row r="288" spans="2:11" ht="15" customHeight="1" x14ac:dyDescent="0.2">
      <c r="C288" s="69" t="s">
        <v>73</v>
      </c>
      <c r="D288" s="69"/>
      <c r="E288" s="69"/>
      <c r="F288" s="69"/>
      <c r="G288" s="41">
        <f>56389214</f>
        <v>56389214</v>
      </c>
      <c r="H288" s="41"/>
      <c r="I288" s="41">
        <v>12093189</v>
      </c>
      <c r="J288" s="47">
        <f>56389214-G288</f>
        <v>0</v>
      </c>
    </row>
    <row r="289" spans="1:16" ht="15" customHeight="1" x14ac:dyDescent="0.2">
      <c r="C289" s="47" t="s">
        <v>204</v>
      </c>
      <c r="G289" s="157">
        <f>223666811</f>
        <v>223666811</v>
      </c>
      <c r="I289" s="170">
        <v>173456811</v>
      </c>
    </row>
    <row r="290" spans="1:16" ht="15" customHeight="1" x14ac:dyDescent="0.2">
      <c r="C290" s="323" t="s">
        <v>205</v>
      </c>
      <c r="D290" s="323"/>
      <c r="E290" s="323"/>
      <c r="F290" s="323"/>
      <c r="G290" s="157">
        <v>29226000</v>
      </c>
      <c r="I290" s="170">
        <v>107912606</v>
      </c>
    </row>
    <row r="291" spans="1:16" ht="15" customHeight="1" thickBot="1" x14ac:dyDescent="0.25">
      <c r="C291" s="322" t="s">
        <v>500</v>
      </c>
      <c r="D291" s="322"/>
      <c r="E291" s="322"/>
      <c r="F291" s="322"/>
      <c r="G291" s="45">
        <f>SUM(G283:G290)</f>
        <v>4991986709</v>
      </c>
      <c r="H291" s="84"/>
      <c r="I291" s="45">
        <f>SUM(I283:I290)</f>
        <v>2341664063</v>
      </c>
      <c r="J291" s="47">
        <f>I291-CDKT!F86</f>
        <v>0</v>
      </c>
      <c r="K291" s="47">
        <f>G291-CDKT!E86</f>
        <v>0</v>
      </c>
    </row>
    <row r="292" spans="1:16" s="223" customFormat="1" ht="15" customHeight="1" thickTop="1" x14ac:dyDescent="0.2">
      <c r="C292" s="220"/>
      <c r="D292" s="220"/>
      <c r="E292" s="220"/>
      <c r="F292" s="220"/>
      <c r="G292" s="43"/>
      <c r="H292" s="221"/>
      <c r="I292" s="43"/>
    </row>
    <row r="293" spans="1:16" s="170" customFormat="1" x14ac:dyDescent="0.2">
      <c r="A293" s="47"/>
      <c r="B293" s="172" t="s">
        <v>527</v>
      </c>
      <c r="C293" s="322" t="s">
        <v>529</v>
      </c>
      <c r="D293" s="322"/>
      <c r="E293" s="322"/>
      <c r="F293" s="322"/>
      <c r="G293" s="322"/>
      <c r="H293" s="322"/>
      <c r="I293" s="322"/>
      <c r="L293" s="47"/>
      <c r="M293" s="47"/>
      <c r="N293" s="47"/>
      <c r="O293" s="47"/>
      <c r="P293" s="47"/>
    </row>
    <row r="294" spans="1:16" s="170" customFormat="1" x14ac:dyDescent="0.2">
      <c r="A294" s="47"/>
      <c r="C294" s="68"/>
      <c r="D294" s="68"/>
      <c r="E294" s="68"/>
      <c r="F294" s="68"/>
      <c r="G294" s="83">
        <v>42185</v>
      </c>
      <c r="H294" s="201"/>
      <c r="I294" s="83">
        <v>42005</v>
      </c>
      <c r="L294" s="47"/>
      <c r="M294" s="47"/>
      <c r="N294" s="47"/>
      <c r="O294" s="47"/>
      <c r="P294" s="47"/>
    </row>
    <row r="295" spans="1:16" s="170" customFormat="1" x14ac:dyDescent="0.2">
      <c r="A295" s="47"/>
      <c r="C295" s="171"/>
      <c r="D295" s="171"/>
      <c r="E295" s="171"/>
      <c r="F295" s="171"/>
      <c r="G295" s="43" t="s">
        <v>32</v>
      </c>
      <c r="H295" s="43"/>
      <c r="I295" s="43" t="s">
        <v>32</v>
      </c>
      <c r="L295" s="47"/>
      <c r="M295" s="47"/>
      <c r="N295" s="47"/>
      <c r="O295" s="47"/>
      <c r="P295" s="47"/>
    </row>
    <row r="296" spans="1:16" s="222" customFormat="1" x14ac:dyDescent="0.2">
      <c r="C296" s="115" t="s">
        <v>490</v>
      </c>
      <c r="D296" s="115"/>
      <c r="E296" s="115"/>
      <c r="F296" s="115"/>
      <c r="G296" s="43"/>
      <c r="H296" s="43"/>
      <c r="I296" s="43"/>
    </row>
    <row r="297" spans="1:16" s="170" customFormat="1" ht="15" customHeight="1" x14ac:dyDescent="0.2">
      <c r="A297" s="47"/>
      <c r="C297" s="329" t="s">
        <v>52</v>
      </c>
      <c r="D297" s="329"/>
      <c r="E297" s="329"/>
      <c r="F297" s="329"/>
      <c r="G297" s="41">
        <v>164246359691</v>
      </c>
      <c r="H297" s="41"/>
      <c r="I297" s="41">
        <v>95529489831</v>
      </c>
      <c r="L297" s="47"/>
      <c r="M297" s="47"/>
      <c r="N297" s="47"/>
      <c r="O297" s="47"/>
      <c r="P297" s="47"/>
    </row>
    <row r="298" spans="1:16" s="170" customFormat="1" x14ac:dyDescent="0.2">
      <c r="A298" s="47"/>
      <c r="C298" s="329" t="s">
        <v>537</v>
      </c>
      <c r="D298" s="329"/>
      <c r="E298" s="329"/>
      <c r="F298" s="329"/>
      <c r="G298" s="41">
        <f>1980000000</f>
        <v>1980000000</v>
      </c>
      <c r="H298" s="86"/>
      <c r="I298" s="41">
        <v>3530000000</v>
      </c>
      <c r="L298" s="47"/>
      <c r="M298" s="47"/>
      <c r="N298" s="47"/>
      <c r="O298" s="47"/>
      <c r="P298" s="47"/>
    </row>
    <row r="299" spans="1:16" ht="15" customHeight="1" thickBot="1" x14ac:dyDescent="0.25">
      <c r="C299" s="322" t="s">
        <v>500</v>
      </c>
      <c r="D299" s="322"/>
      <c r="E299" s="322"/>
      <c r="F299" s="322"/>
      <c r="G299" s="45">
        <f>SUM(G297:G298)</f>
        <v>166226359691</v>
      </c>
      <c r="H299" s="84"/>
      <c r="I299" s="45">
        <f>SUM(I297:I298)</f>
        <v>99059489831</v>
      </c>
      <c r="J299" s="47">
        <f>I299-CDKT!F87</f>
        <v>0</v>
      </c>
      <c r="K299" s="47">
        <f>G299-CDKT!E87</f>
        <v>0</v>
      </c>
    </row>
    <row r="300" spans="1:16" s="223" customFormat="1" ht="15" customHeight="1" thickTop="1" x14ac:dyDescent="0.2">
      <c r="C300" s="220"/>
      <c r="D300" s="220"/>
      <c r="E300" s="220"/>
      <c r="F300" s="220"/>
      <c r="G300" s="43"/>
      <c r="H300" s="221"/>
      <c r="I300" s="43"/>
    </row>
    <row r="301" spans="1:16" ht="10.5" customHeight="1" x14ac:dyDescent="0.2">
      <c r="C301" s="71"/>
      <c r="D301" s="71"/>
      <c r="E301" s="71"/>
      <c r="F301" s="71"/>
      <c r="G301" s="43"/>
      <c r="H301" s="84"/>
      <c r="I301" s="43"/>
    </row>
    <row r="302" spans="1:16" ht="15" customHeight="1" x14ac:dyDescent="0.2">
      <c r="C302" s="69" t="s">
        <v>195</v>
      </c>
      <c r="D302" s="71"/>
      <c r="E302" s="71"/>
      <c r="F302" s="71"/>
      <c r="G302" s="83">
        <v>42185</v>
      </c>
      <c r="H302" s="201"/>
      <c r="I302" s="83">
        <v>42005</v>
      </c>
    </row>
    <row r="303" spans="1:16" ht="15" customHeight="1" x14ac:dyDescent="0.2">
      <c r="C303" s="71"/>
      <c r="D303" s="71"/>
      <c r="E303" s="71"/>
      <c r="F303" s="71"/>
      <c r="G303" s="43" t="s">
        <v>32</v>
      </c>
      <c r="H303" s="43"/>
      <c r="I303" s="43" t="s">
        <v>32</v>
      </c>
    </row>
    <row r="304" spans="1:16" ht="15" customHeight="1" x14ac:dyDescent="0.2">
      <c r="C304" s="323" t="s">
        <v>197</v>
      </c>
      <c r="D304" s="323"/>
      <c r="E304" s="323"/>
      <c r="F304" s="323"/>
      <c r="G304" s="41">
        <f>47435171846</f>
        <v>47435171846</v>
      </c>
      <c r="H304" s="41"/>
      <c r="I304" s="41">
        <v>43833739558</v>
      </c>
    </row>
    <row r="305" spans="1:11" ht="15" customHeight="1" x14ac:dyDescent="0.2">
      <c r="C305" s="323" t="s">
        <v>196</v>
      </c>
      <c r="D305" s="323"/>
      <c r="E305" s="323"/>
      <c r="F305" s="323"/>
      <c r="G305" s="41">
        <f>55100387450</f>
        <v>55100387450</v>
      </c>
      <c r="H305" s="41"/>
      <c r="I305" s="41">
        <v>27186329789</v>
      </c>
    </row>
    <row r="306" spans="1:11" ht="15" customHeight="1" x14ac:dyDescent="0.2">
      <c r="C306" s="323" t="s">
        <v>198</v>
      </c>
      <c r="D306" s="323"/>
      <c r="E306" s="323"/>
      <c r="F306" s="323"/>
      <c r="G306" s="41">
        <f>31563428616</f>
        <v>31563428616</v>
      </c>
      <c r="H306" s="41"/>
      <c r="I306" s="41">
        <v>15116818984</v>
      </c>
    </row>
    <row r="307" spans="1:11" s="139" customFormat="1" ht="15" customHeight="1" x14ac:dyDescent="0.2">
      <c r="C307" s="323" t="s">
        <v>336</v>
      </c>
      <c r="D307" s="323"/>
      <c r="E307" s="323"/>
      <c r="F307" s="323"/>
      <c r="G307" s="41">
        <f>30147371779</f>
        <v>30147371779</v>
      </c>
      <c r="H307" s="41"/>
      <c r="I307" s="41">
        <v>9392601500</v>
      </c>
    </row>
    <row r="308" spans="1:11" ht="15" customHeight="1" thickBot="1" x14ac:dyDescent="0.25">
      <c r="C308" s="322" t="s">
        <v>500</v>
      </c>
      <c r="D308" s="322"/>
      <c r="E308" s="322"/>
      <c r="F308" s="322"/>
      <c r="G308" s="45">
        <f>SUM(G304:G307)</f>
        <v>164246359691</v>
      </c>
      <c r="H308" s="84"/>
      <c r="I308" s="45">
        <f>SUM(I304:I307)</f>
        <v>95529489831</v>
      </c>
      <c r="J308" s="47">
        <f>I308-I297</f>
        <v>0</v>
      </c>
      <c r="K308" s="47">
        <f>G308-G297</f>
        <v>0</v>
      </c>
    </row>
    <row r="309" spans="1:11" ht="12" customHeight="1" thickTop="1" x14ac:dyDescent="0.2">
      <c r="C309" s="70"/>
      <c r="D309" s="70"/>
      <c r="E309" s="70"/>
      <c r="F309" s="70"/>
      <c r="G309" s="43"/>
      <c r="H309" s="84"/>
      <c r="I309" s="43"/>
    </row>
    <row r="311" spans="1:11" s="222" customFormat="1" x14ac:dyDescent="0.2">
      <c r="C311" s="222" t="s">
        <v>498</v>
      </c>
    </row>
    <row r="312" spans="1:11" ht="15" customHeight="1" x14ac:dyDescent="0.2">
      <c r="A312" s="157">
        <v>5440000000</v>
      </c>
      <c r="B312" s="68"/>
      <c r="C312" s="323" t="s">
        <v>206</v>
      </c>
      <c r="D312" s="323"/>
      <c r="E312" s="323"/>
      <c r="F312" s="323"/>
      <c r="G312" s="41">
        <f>2605000000</f>
        <v>2605000000</v>
      </c>
      <c r="H312" s="41"/>
      <c r="I312" s="41">
        <f>3595000000</f>
        <v>3595000000</v>
      </c>
    </row>
    <row r="313" spans="1:11" ht="15" customHeight="1" thickBot="1" x14ac:dyDescent="0.25">
      <c r="C313" s="70" t="s">
        <v>51</v>
      </c>
      <c r="D313" s="68"/>
      <c r="E313" s="68"/>
      <c r="F313" s="68"/>
      <c r="G313" s="45">
        <f>SUM(G312:G312)</f>
        <v>2605000000</v>
      </c>
      <c r="H313" s="84"/>
      <c r="I313" s="45">
        <f>SUM(I312:I312)</f>
        <v>3595000000</v>
      </c>
    </row>
    <row r="314" spans="1:11" ht="9.75" customHeight="1" thickTop="1" x14ac:dyDescent="0.2"/>
    <row r="315" spans="1:11" ht="12.75" customHeight="1" x14ac:dyDescent="0.2"/>
    <row r="316" spans="1:11" ht="15" customHeight="1" x14ac:dyDescent="0.2">
      <c r="C316" s="47" t="s">
        <v>207</v>
      </c>
    </row>
    <row r="317" spans="1:11" ht="15" customHeight="1" x14ac:dyDescent="0.2">
      <c r="G317" s="83">
        <v>42185</v>
      </c>
      <c r="H317" s="201"/>
      <c r="I317" s="83">
        <v>42005</v>
      </c>
    </row>
    <row r="318" spans="1:11" ht="15" customHeight="1" x14ac:dyDescent="0.2">
      <c r="G318" s="43" t="s">
        <v>32</v>
      </c>
      <c r="H318" s="43"/>
      <c r="I318" s="43" t="s">
        <v>32</v>
      </c>
    </row>
    <row r="319" spans="1:11" ht="15" customHeight="1" x14ac:dyDescent="0.2">
      <c r="C319" s="47" t="s">
        <v>208</v>
      </c>
      <c r="G319" s="177">
        <v>1980000000</v>
      </c>
      <c r="H319" s="177"/>
      <c r="I319" s="177">
        <v>3530000000</v>
      </c>
    </row>
    <row r="320" spans="1:11" ht="15" customHeight="1" x14ac:dyDescent="0.2">
      <c r="C320" s="47" t="s">
        <v>209</v>
      </c>
      <c r="G320" s="177">
        <v>1980000000</v>
      </c>
      <c r="H320" s="177"/>
      <c r="I320" s="177">
        <v>1980000000</v>
      </c>
    </row>
    <row r="321" spans="2:11" ht="15" customHeight="1" x14ac:dyDescent="0.2">
      <c r="C321" s="47" t="s">
        <v>210</v>
      </c>
      <c r="G321" s="177">
        <v>625000000</v>
      </c>
      <c r="H321" s="177"/>
      <c r="I321" s="177">
        <v>1615000000</v>
      </c>
    </row>
    <row r="322" spans="2:11" ht="14.25" customHeight="1" x14ac:dyDescent="0.2">
      <c r="G322" s="179">
        <f>SUM(G319:G321)</f>
        <v>4585000000</v>
      </c>
      <c r="H322" s="180"/>
      <c r="I322" s="179">
        <f>SUM(I319:I321)</f>
        <v>7125000000</v>
      </c>
    </row>
    <row r="323" spans="2:11" ht="15" customHeight="1" x14ac:dyDescent="0.2">
      <c r="C323" s="47" t="s">
        <v>211</v>
      </c>
      <c r="G323" s="180"/>
      <c r="H323" s="181"/>
      <c r="I323" s="180"/>
    </row>
    <row r="324" spans="2:11" ht="15" customHeight="1" x14ac:dyDescent="0.2">
      <c r="C324" s="47" t="s">
        <v>212</v>
      </c>
      <c r="G324" s="177">
        <f>G298</f>
        <v>1980000000</v>
      </c>
      <c r="H324" s="181"/>
      <c r="I324" s="177">
        <f>I298</f>
        <v>3530000000</v>
      </c>
    </row>
    <row r="325" spans="2:11" ht="15" customHeight="1" thickBot="1" x14ac:dyDescent="0.25">
      <c r="C325" s="46" t="s">
        <v>213</v>
      </c>
      <c r="G325" s="182">
        <f>G322-G324</f>
        <v>2605000000</v>
      </c>
      <c r="H325" s="181"/>
      <c r="I325" s="182">
        <f>I322-I324</f>
        <v>3595000000</v>
      </c>
      <c r="J325" s="47">
        <f>I325-CDKT!F100</f>
        <v>0</v>
      </c>
      <c r="K325" s="47">
        <f>G325-CDKT!E100</f>
        <v>0</v>
      </c>
    </row>
    <row r="326" spans="2:11" ht="13.5" thickTop="1" x14ac:dyDescent="0.2">
      <c r="C326" s="46"/>
      <c r="G326" s="43"/>
      <c r="H326" s="84"/>
      <c r="I326" s="43"/>
    </row>
    <row r="327" spans="2:11" ht="15" customHeight="1" x14ac:dyDescent="0.2">
      <c r="B327" s="65" t="s">
        <v>528</v>
      </c>
      <c r="C327" s="322" t="s">
        <v>232</v>
      </c>
      <c r="D327" s="322"/>
      <c r="E327" s="322"/>
      <c r="F327" s="322"/>
      <c r="G327" s="322"/>
      <c r="H327" s="322"/>
      <c r="I327" s="322"/>
    </row>
    <row r="328" spans="2:11" x14ac:dyDescent="0.2">
      <c r="B328" s="72"/>
      <c r="C328" s="72"/>
      <c r="D328" s="72"/>
      <c r="E328" s="72"/>
      <c r="F328" s="72"/>
      <c r="G328" s="72"/>
    </row>
    <row r="329" spans="2:11" ht="15" customHeight="1" x14ac:dyDescent="0.2">
      <c r="B329" s="65"/>
      <c r="C329" s="46" t="s">
        <v>214</v>
      </c>
      <c r="D329" s="65"/>
      <c r="E329" s="65"/>
      <c r="F329" s="65"/>
      <c r="G329" s="65"/>
    </row>
    <row r="330" spans="2:11" ht="15" customHeight="1" x14ac:dyDescent="0.2">
      <c r="C330" s="88"/>
      <c r="D330" s="113"/>
      <c r="G330" s="73" t="s">
        <v>516</v>
      </c>
      <c r="I330" s="113" t="s">
        <v>217</v>
      </c>
    </row>
    <row r="331" spans="2:11" ht="15" customHeight="1" x14ac:dyDescent="0.2">
      <c r="C331" s="88"/>
      <c r="D331" s="335" t="s">
        <v>515</v>
      </c>
      <c r="E331" s="73" t="s">
        <v>215</v>
      </c>
      <c r="F331" s="113" t="s">
        <v>216</v>
      </c>
      <c r="G331" s="73" t="s">
        <v>517</v>
      </c>
      <c r="I331" s="113" t="s">
        <v>218</v>
      </c>
    </row>
    <row r="332" spans="2:11" ht="15" customHeight="1" x14ac:dyDescent="0.2">
      <c r="C332" s="88"/>
      <c r="D332" s="336"/>
      <c r="E332" s="74" t="s">
        <v>58</v>
      </c>
      <c r="F332" s="114" t="s">
        <v>59</v>
      </c>
      <c r="G332" s="74" t="s">
        <v>518</v>
      </c>
      <c r="H332" s="10"/>
      <c r="I332" s="114" t="s">
        <v>219</v>
      </c>
    </row>
    <row r="333" spans="2:11" ht="15" customHeight="1" x14ac:dyDescent="0.2">
      <c r="C333" s="115"/>
      <c r="D333" s="116" t="s">
        <v>47</v>
      </c>
      <c r="E333" s="75" t="s">
        <v>47</v>
      </c>
      <c r="F333" s="116" t="s">
        <v>47</v>
      </c>
      <c r="G333" s="75" t="s">
        <v>47</v>
      </c>
      <c r="H333" s="8"/>
      <c r="I333" s="116" t="s">
        <v>47</v>
      </c>
    </row>
    <row r="334" spans="2:11" ht="15" customHeight="1" x14ac:dyDescent="0.2">
      <c r="C334" s="126" t="s">
        <v>355</v>
      </c>
      <c r="D334" s="146">
        <v>60000000000</v>
      </c>
      <c r="E334" s="146">
        <v>6795900000</v>
      </c>
      <c r="F334" s="146">
        <f>10533315926+1454510641</f>
        <v>11987826567</v>
      </c>
      <c r="G334" s="146"/>
      <c r="H334" s="146"/>
      <c r="I334" s="146">
        <v>15388890731</v>
      </c>
    </row>
    <row r="335" spans="2:11" ht="15" customHeight="1" x14ac:dyDescent="0.2">
      <c r="C335" s="127" t="s">
        <v>220</v>
      </c>
      <c r="D335" s="145" t="s">
        <v>192</v>
      </c>
      <c r="E335" s="145" t="s">
        <v>192</v>
      </c>
      <c r="F335" s="145" t="s">
        <v>192</v>
      </c>
      <c r="G335" s="145" t="s">
        <v>192</v>
      </c>
      <c r="H335" s="145"/>
      <c r="I335" s="145">
        <v>17944261096</v>
      </c>
    </row>
    <row r="336" spans="2:11" ht="15" customHeight="1" x14ac:dyDescent="0.2">
      <c r="C336" s="127" t="s">
        <v>221</v>
      </c>
      <c r="D336" s="145" t="s">
        <v>192</v>
      </c>
      <c r="E336" s="145" t="s">
        <v>192</v>
      </c>
      <c r="F336" s="145">
        <f>1739556292+434889073</f>
        <v>2174445365</v>
      </c>
      <c r="G336" s="183"/>
      <c r="H336" s="145"/>
      <c r="I336" s="145">
        <f>-F336-G336</f>
        <v>-2174445365</v>
      </c>
    </row>
    <row r="337" spans="3:11" ht="15" customHeight="1" x14ac:dyDescent="0.2">
      <c r="C337" s="127" t="s">
        <v>356</v>
      </c>
      <c r="D337" s="145" t="s">
        <v>192</v>
      </c>
      <c r="E337" s="145" t="s">
        <v>192</v>
      </c>
      <c r="F337" s="145" t="s">
        <v>192</v>
      </c>
      <c r="G337" s="145" t="s">
        <v>192</v>
      </c>
      <c r="H337" s="145"/>
      <c r="I337" s="145">
        <v>-10800000000</v>
      </c>
    </row>
    <row r="338" spans="3:11" ht="15" customHeight="1" x14ac:dyDescent="0.2">
      <c r="C338" s="127" t="s">
        <v>332</v>
      </c>
      <c r="D338" s="145" t="s">
        <v>192</v>
      </c>
      <c r="E338" s="145" t="s">
        <v>192</v>
      </c>
      <c r="F338" s="145" t="s">
        <v>192</v>
      </c>
      <c r="G338" s="145" t="s">
        <v>192</v>
      </c>
      <c r="H338" s="145"/>
      <c r="I338" s="145">
        <v>-3180646923</v>
      </c>
    </row>
    <row r="339" spans="3:11" ht="15" customHeight="1" x14ac:dyDescent="0.2">
      <c r="C339" s="126" t="s">
        <v>505</v>
      </c>
      <c r="D339" s="146">
        <v>60000000000</v>
      </c>
      <c r="E339" s="146">
        <v>6795900000</v>
      </c>
      <c r="F339" s="146">
        <f>12272872218+1889399714</f>
        <v>14162271932</v>
      </c>
      <c r="G339" s="146"/>
      <c r="H339" s="146"/>
      <c r="I339" s="146">
        <f>SUM(I333:I338)</f>
        <v>17178059539</v>
      </c>
      <c r="J339" s="47">
        <f>D339+E339+F339+G339+I339-CDKT!F107</f>
        <v>0</v>
      </c>
      <c r="K339" s="47">
        <f>I339-CDKT!F120</f>
        <v>0</v>
      </c>
    </row>
    <row r="340" spans="3:11" ht="15" customHeight="1" x14ac:dyDescent="0.2">
      <c r="C340" s="127" t="s">
        <v>220</v>
      </c>
      <c r="D340" s="145" t="s">
        <v>192</v>
      </c>
      <c r="E340" s="145" t="s">
        <v>192</v>
      </c>
      <c r="F340" s="145" t="s">
        <v>192</v>
      </c>
      <c r="G340" s="145" t="s">
        <v>192</v>
      </c>
      <c r="H340" s="145"/>
      <c r="I340" s="145">
        <f>KQKD!G30</f>
        <v>12470692472</v>
      </c>
    </row>
    <row r="341" spans="3:11" ht="15" customHeight="1" x14ac:dyDescent="0.2">
      <c r="C341" s="127" t="s">
        <v>221</v>
      </c>
      <c r="D341" s="145" t="s">
        <v>192</v>
      </c>
      <c r="E341" s="145" t="s">
        <v>192</v>
      </c>
      <c r="F341" s="145">
        <f>1974091384</f>
        <v>1974091384</v>
      </c>
      <c r="G341" s="145"/>
      <c r="H341" s="145"/>
      <c r="I341" s="145">
        <f>-F341-G341</f>
        <v>-1974091384</v>
      </c>
    </row>
    <row r="342" spans="3:11" ht="15" customHeight="1" x14ac:dyDescent="0.2">
      <c r="C342" s="127" t="s">
        <v>357</v>
      </c>
      <c r="D342" s="145" t="s">
        <v>192</v>
      </c>
      <c r="E342" s="145" t="s">
        <v>192</v>
      </c>
      <c r="F342" s="145" t="s">
        <v>192</v>
      </c>
      <c r="G342" s="145" t="s">
        <v>192</v>
      </c>
      <c r="H342" s="145"/>
      <c r="I342" s="145">
        <f>-12000000000</f>
        <v>-12000000000</v>
      </c>
    </row>
    <row r="343" spans="3:11" ht="15" customHeight="1" x14ac:dyDescent="0.2">
      <c r="C343" s="127" t="s">
        <v>332</v>
      </c>
      <c r="D343" s="145" t="s">
        <v>192</v>
      </c>
      <c r="E343" s="145" t="s">
        <v>192</v>
      </c>
      <c r="F343" s="145" t="s">
        <v>192</v>
      </c>
      <c r="G343" s="145" t="s">
        <v>192</v>
      </c>
      <c r="H343" s="145"/>
      <c r="I343" s="145">
        <f>-1739980893-1159987262-304000000</f>
        <v>-3203968155</v>
      </c>
    </row>
    <row r="344" spans="3:11" ht="15" customHeight="1" thickBot="1" x14ac:dyDescent="0.25">
      <c r="C344" s="117" t="s">
        <v>541</v>
      </c>
      <c r="D344" s="150">
        <f>SUM(D339:D343)</f>
        <v>60000000000</v>
      </c>
      <c r="E344" s="150">
        <f t="shared" ref="E344:G344" si="2">SUM(E339:E343)</f>
        <v>6795900000</v>
      </c>
      <c r="F344" s="150">
        <f t="shared" si="2"/>
        <v>16136363316</v>
      </c>
      <c r="G344" s="150">
        <f t="shared" si="2"/>
        <v>0</v>
      </c>
      <c r="H344" s="150"/>
      <c r="I344" s="150">
        <f>SUM(I339:I343)</f>
        <v>12470692472</v>
      </c>
      <c r="J344" s="47">
        <f>D344+E344+F344+G344+I344-CDKT!E107</f>
        <v>0</v>
      </c>
    </row>
    <row r="345" spans="3:11" ht="12" customHeight="1" thickTop="1" x14ac:dyDescent="0.2"/>
    <row r="346" spans="3:11" ht="30" customHeight="1" x14ac:dyDescent="0.2">
      <c r="C346" s="313" t="s">
        <v>550</v>
      </c>
      <c r="D346" s="313"/>
      <c r="E346" s="313"/>
      <c r="F346" s="313"/>
      <c r="G346" s="313"/>
      <c r="H346" s="313"/>
      <c r="I346" s="313"/>
    </row>
    <row r="347" spans="3:11" ht="15" customHeight="1" x14ac:dyDescent="0.2">
      <c r="C347" s="47" t="s">
        <v>222</v>
      </c>
      <c r="D347" s="118"/>
      <c r="E347" s="118"/>
      <c r="F347" s="139">
        <f>F341</f>
        <v>1974091384</v>
      </c>
      <c r="G347" s="47" t="s">
        <v>224</v>
      </c>
    </row>
    <row r="348" spans="3:11" ht="15" customHeight="1" x14ac:dyDescent="0.2">
      <c r="C348" s="47" t="s">
        <v>223</v>
      </c>
      <c r="D348" s="118"/>
      <c r="E348" s="119"/>
      <c r="F348" s="139">
        <f>-I343</f>
        <v>3203968155</v>
      </c>
      <c r="G348" s="47" t="s">
        <v>224</v>
      </c>
    </row>
    <row r="349" spans="3:11" ht="15" customHeight="1" x14ac:dyDescent="0.2">
      <c r="C349" s="47" t="s">
        <v>519</v>
      </c>
      <c r="D349" s="118"/>
      <c r="E349" s="118"/>
      <c r="F349" s="47">
        <f>-I342</f>
        <v>12000000000</v>
      </c>
      <c r="G349" s="47" t="s">
        <v>224</v>
      </c>
    </row>
    <row r="350" spans="3:11" s="222" customFormat="1" ht="13.5" thickBot="1" x14ac:dyDescent="0.25">
      <c r="F350" s="231">
        <f>SUM(F347:F349)</f>
        <v>17178059539</v>
      </c>
      <c r="J350" s="222">
        <f>F350-I339</f>
        <v>0</v>
      </c>
    </row>
    <row r="351" spans="3:11" s="222" customFormat="1" ht="13.5" thickTop="1" x14ac:dyDescent="0.2">
      <c r="F351" s="6"/>
    </row>
    <row r="352" spans="3:11" ht="15" customHeight="1" x14ac:dyDescent="0.2">
      <c r="C352" s="120" t="s">
        <v>225</v>
      </c>
    </row>
    <row r="353" spans="2:12" x14ac:dyDescent="0.2">
      <c r="C353" s="313" t="s">
        <v>545</v>
      </c>
      <c r="D353" s="313"/>
      <c r="E353" s="313"/>
      <c r="F353" s="313"/>
      <c r="G353" s="313"/>
      <c r="H353" s="313"/>
      <c r="I353" s="313"/>
    </row>
    <row r="354" spans="2:12" ht="5.25" customHeight="1" x14ac:dyDescent="0.2"/>
    <row r="355" spans="2:12" ht="15" customHeight="1" x14ac:dyDescent="0.2">
      <c r="E355" s="330" t="s">
        <v>226</v>
      </c>
      <c r="F355" s="330"/>
      <c r="G355" s="332" t="s">
        <v>228</v>
      </c>
      <c r="H355" s="332"/>
      <c r="I355" s="332"/>
    </row>
    <row r="356" spans="2:12" ht="17.25" customHeight="1" x14ac:dyDescent="0.2">
      <c r="E356" s="331"/>
      <c r="F356" s="331"/>
      <c r="G356" s="83">
        <v>42185</v>
      </c>
      <c r="H356" s="159"/>
      <c r="I356" s="83">
        <v>42005</v>
      </c>
    </row>
    <row r="357" spans="2:12" ht="18" customHeight="1" x14ac:dyDescent="0.2">
      <c r="E357" s="113" t="s">
        <v>187</v>
      </c>
      <c r="F357" s="121" t="s">
        <v>227</v>
      </c>
      <c r="G357" s="43" t="s">
        <v>32</v>
      </c>
      <c r="H357" s="43"/>
      <c r="I357" s="43" t="s">
        <v>32</v>
      </c>
    </row>
    <row r="358" spans="2:12" ht="15" customHeight="1" x14ac:dyDescent="0.2">
      <c r="C358" s="47" t="s">
        <v>230</v>
      </c>
    </row>
    <row r="359" spans="2:12" ht="15" customHeight="1" x14ac:dyDescent="0.2">
      <c r="C359" s="47" t="s">
        <v>231</v>
      </c>
      <c r="E359" s="128">
        <v>30600000000</v>
      </c>
      <c r="F359" s="129">
        <v>51</v>
      </c>
      <c r="G359" s="128">
        <v>30600000000</v>
      </c>
      <c r="H359" s="98"/>
      <c r="I359" s="76">
        <v>30600000000</v>
      </c>
    </row>
    <row r="360" spans="2:12" ht="15" customHeight="1" x14ac:dyDescent="0.2">
      <c r="C360" s="47" t="s">
        <v>229</v>
      </c>
      <c r="E360" s="98">
        <v>29400000000</v>
      </c>
      <c r="F360" s="129">
        <v>49</v>
      </c>
      <c r="G360" s="98">
        <v>29400000000</v>
      </c>
      <c r="H360" s="98"/>
      <c r="I360" s="98">
        <v>29400000000</v>
      </c>
    </row>
    <row r="361" spans="2:12" ht="15" customHeight="1" thickBot="1" x14ac:dyDescent="0.25">
      <c r="E361" s="81">
        <f>SUM(E359:E360)</f>
        <v>60000000000</v>
      </c>
      <c r="F361" s="130">
        <f>SUM(F359:F360)</f>
        <v>100</v>
      </c>
      <c r="G361" s="81">
        <f>SUM(G359:G360)</f>
        <v>60000000000</v>
      </c>
      <c r="H361" s="98"/>
      <c r="I361" s="81">
        <f>SUM(I359:I360)</f>
        <v>60000000000</v>
      </c>
      <c r="J361" s="47">
        <f>I361-CDKT!F108</f>
        <v>0</v>
      </c>
      <c r="K361" s="47">
        <f>G361-CDKT!E108</f>
        <v>0</v>
      </c>
    </row>
    <row r="362" spans="2:12" s="223" customFormat="1" ht="13.5" thickTop="1" x14ac:dyDescent="0.2">
      <c r="C362" s="222"/>
      <c r="G362" s="43"/>
      <c r="H362" s="221"/>
      <c r="I362" s="43"/>
    </row>
    <row r="363" spans="2:12" x14ac:dyDescent="0.2">
      <c r="B363" s="65" t="s">
        <v>530</v>
      </c>
      <c r="C363" s="322" t="s">
        <v>233</v>
      </c>
      <c r="D363" s="322"/>
      <c r="E363" s="322"/>
      <c r="F363" s="322"/>
      <c r="G363" s="322"/>
      <c r="H363" s="322"/>
      <c r="I363" s="322"/>
    </row>
    <row r="364" spans="2:12" x14ac:dyDescent="0.2">
      <c r="C364" s="332"/>
      <c r="D364" s="332"/>
      <c r="E364" s="332"/>
      <c r="F364" s="332"/>
      <c r="G364" s="122" t="s">
        <v>546</v>
      </c>
      <c r="H364" s="84"/>
      <c r="I364" s="122" t="s">
        <v>547</v>
      </c>
    </row>
    <row r="365" spans="2:12" x14ac:dyDescent="0.2">
      <c r="B365" s="68"/>
      <c r="C365" s="337"/>
      <c r="D365" s="337"/>
      <c r="E365" s="337"/>
      <c r="F365" s="337"/>
      <c r="G365" s="43" t="s">
        <v>32</v>
      </c>
      <c r="H365" s="43"/>
      <c r="I365" s="43" t="s">
        <v>32</v>
      </c>
    </row>
    <row r="366" spans="2:12" x14ac:dyDescent="0.2">
      <c r="C366" s="323" t="s">
        <v>60</v>
      </c>
      <c r="D366" s="323"/>
      <c r="E366" s="323"/>
      <c r="F366" s="323"/>
      <c r="G366" s="41">
        <v>241517683789</v>
      </c>
      <c r="H366" s="41"/>
      <c r="I366" s="41">
        <v>202044036388</v>
      </c>
    </row>
    <row r="367" spans="2:12" x14ac:dyDescent="0.2">
      <c r="C367" s="323" t="s">
        <v>77</v>
      </c>
      <c r="D367" s="323"/>
      <c r="E367" s="323"/>
      <c r="F367" s="323"/>
      <c r="G367" s="41">
        <v>9830398400</v>
      </c>
      <c r="H367" s="41"/>
      <c r="I367" s="41">
        <f>32763446190-17095547823</f>
        <v>15667898367</v>
      </c>
      <c r="J367" s="253" t="s">
        <v>552</v>
      </c>
      <c r="K367" s="253" t="s">
        <v>551</v>
      </c>
      <c r="L367" s="253" t="s">
        <v>547</v>
      </c>
    </row>
    <row r="368" spans="2:12" x14ac:dyDescent="0.2">
      <c r="C368" s="323" t="s">
        <v>235</v>
      </c>
      <c r="D368" s="323"/>
      <c r="E368" s="323"/>
      <c r="F368" s="323"/>
      <c r="G368" s="41">
        <f>44123032701-27071531309+11881067564-1476773636-9258282915</f>
        <v>18197512405</v>
      </c>
      <c r="H368" s="41"/>
      <c r="I368" s="41">
        <v>13957193576</v>
      </c>
      <c r="J368" s="47">
        <f>26510573572+8515677816</f>
        <v>35026251388</v>
      </c>
      <c r="K368" s="47">
        <f>'[3]Thuyet minh'!$G$342</f>
        <v>21069057812</v>
      </c>
      <c r="L368" s="47">
        <f>J368-K368</f>
        <v>13957193576</v>
      </c>
    </row>
    <row r="369" spans="2:13" ht="13.5" thickBot="1" x14ac:dyDescent="0.25">
      <c r="C369" s="333" t="s">
        <v>51</v>
      </c>
      <c r="D369" s="333"/>
      <c r="E369" s="333"/>
      <c r="F369" s="333"/>
      <c r="G369" s="45">
        <f>SUM(G366:G368)</f>
        <v>269545594594</v>
      </c>
      <c r="H369" s="113"/>
      <c r="I369" s="45">
        <f>SUM(I366:I368)</f>
        <v>231669128331</v>
      </c>
      <c r="J369" s="47">
        <f>I369-KQKD!F15</f>
        <v>0</v>
      </c>
      <c r="K369" s="254">
        <f>G369-KQKD!E13</f>
        <v>0</v>
      </c>
    </row>
    <row r="370" spans="2:13" s="223" customFormat="1" ht="13.5" thickTop="1" x14ac:dyDescent="0.2">
      <c r="C370" s="222"/>
      <c r="G370" s="43"/>
      <c r="H370" s="221"/>
      <c r="I370" s="43"/>
    </row>
    <row r="371" spans="2:13" x14ac:dyDescent="0.2">
      <c r="B371" s="65" t="s">
        <v>531</v>
      </c>
      <c r="C371" s="322" t="s">
        <v>234</v>
      </c>
      <c r="D371" s="322"/>
      <c r="E371" s="322"/>
      <c r="F371" s="322"/>
      <c r="G371" s="322"/>
      <c r="H371" s="322"/>
      <c r="I371" s="322"/>
    </row>
    <row r="372" spans="2:13" x14ac:dyDescent="0.2">
      <c r="G372" s="122" t="s">
        <v>546</v>
      </c>
      <c r="H372" s="252"/>
      <c r="I372" s="122" t="s">
        <v>547</v>
      </c>
    </row>
    <row r="373" spans="2:13" x14ac:dyDescent="0.2">
      <c r="G373" s="43" t="s">
        <v>32</v>
      </c>
      <c r="H373" s="43"/>
      <c r="I373" s="43" t="s">
        <v>32</v>
      </c>
    </row>
    <row r="374" spans="2:13" x14ac:dyDescent="0.2">
      <c r="C374" s="334" t="s">
        <v>61</v>
      </c>
      <c r="D374" s="334"/>
      <c r="E374" s="334"/>
      <c r="F374" s="334"/>
      <c r="G374" s="162">
        <v>227172373459</v>
      </c>
      <c r="H374" s="63"/>
      <c r="I374" s="41">
        <f>KQKD!F16-I375-I376</f>
        <v>185101101786</v>
      </c>
      <c r="J374" s="185"/>
    </row>
    <row r="375" spans="2:13" x14ac:dyDescent="0.2">
      <c r="C375" s="334" t="s">
        <v>78</v>
      </c>
      <c r="D375" s="334"/>
      <c r="E375" s="334"/>
      <c r="F375" s="334"/>
      <c r="G375" s="162">
        <v>7112392084</v>
      </c>
      <c r="H375" s="63"/>
      <c r="I375" s="41">
        <f>25780329725-13345988664</f>
        <v>12434341061</v>
      </c>
      <c r="J375" s="253" t="s">
        <v>552</v>
      </c>
      <c r="K375" s="253" t="s">
        <v>551</v>
      </c>
      <c r="L375" s="253" t="s">
        <v>547</v>
      </c>
    </row>
    <row r="376" spans="2:13" x14ac:dyDescent="0.2">
      <c r="C376" s="334" t="s">
        <v>236</v>
      </c>
      <c r="D376" s="334"/>
      <c r="E376" s="334"/>
      <c r="F376" s="334"/>
      <c r="G376" s="162">
        <f>36661498051-27071531309+(9380071323-1476773636)-5187461839</f>
        <v>12305802590</v>
      </c>
      <c r="H376" s="63"/>
      <c r="I376" s="41">
        <v>10257177296</v>
      </c>
      <c r="J376" s="47">
        <f>35944024639-16762825071+8583105089-67427273</f>
        <v>27696877384</v>
      </c>
      <c r="K376" s="47">
        <f>'[3]Thuyet minh'!$G$350</f>
        <v>17439700088</v>
      </c>
      <c r="L376" s="254">
        <f>J376-K376</f>
        <v>10257177296</v>
      </c>
    </row>
    <row r="377" spans="2:13" ht="13.5" thickBot="1" x14ac:dyDescent="0.25">
      <c r="C377" s="322" t="s">
        <v>500</v>
      </c>
      <c r="D377" s="322"/>
      <c r="E377" s="322"/>
      <c r="F377" s="322"/>
      <c r="G377" s="45">
        <f>SUM(G374:G376)</f>
        <v>246590568133</v>
      </c>
      <c r="H377" s="113"/>
      <c r="I377" s="45">
        <f>SUM(I374:I376)</f>
        <v>207792620143</v>
      </c>
      <c r="J377" s="47">
        <f>I377-KQKD!F16</f>
        <v>0</v>
      </c>
      <c r="K377" s="47">
        <f>G377-KQKD!E16</f>
        <v>0</v>
      </c>
    </row>
    <row r="378" spans="2:13" s="223" customFormat="1" ht="13.5" thickTop="1" x14ac:dyDescent="0.2">
      <c r="C378" s="222"/>
      <c r="G378" s="43"/>
      <c r="H378" s="221"/>
      <c r="I378" s="43"/>
    </row>
    <row r="379" spans="2:13" ht="15" customHeight="1" x14ac:dyDescent="0.2">
      <c r="B379" s="65" t="s">
        <v>532</v>
      </c>
      <c r="C379" s="322" t="s">
        <v>237</v>
      </c>
      <c r="D379" s="322"/>
      <c r="E379" s="322"/>
      <c r="F379" s="322"/>
      <c r="G379" s="322"/>
      <c r="H379" s="322"/>
      <c r="I379" s="322"/>
    </row>
    <row r="380" spans="2:13" ht="15" customHeight="1" x14ac:dyDescent="0.2">
      <c r="C380" s="68"/>
      <c r="D380" s="68"/>
      <c r="E380" s="68"/>
      <c r="F380" s="68"/>
      <c r="G380" s="122" t="s">
        <v>546</v>
      </c>
      <c r="H380" s="252"/>
      <c r="I380" s="122" t="s">
        <v>547</v>
      </c>
    </row>
    <row r="381" spans="2:13" ht="15" customHeight="1" x14ac:dyDescent="0.2">
      <c r="C381" s="109"/>
      <c r="D381" s="109"/>
      <c r="E381" s="109"/>
      <c r="F381" s="109"/>
      <c r="G381" s="43" t="s">
        <v>32</v>
      </c>
      <c r="H381" s="43"/>
      <c r="I381" s="43" t="s">
        <v>32</v>
      </c>
      <c r="M381" s="84"/>
    </row>
    <row r="382" spans="2:13" ht="15" customHeight="1" x14ac:dyDescent="0.2">
      <c r="C382" s="338" t="s">
        <v>238</v>
      </c>
      <c r="D382" s="338"/>
      <c r="E382" s="338"/>
      <c r="F382" s="338"/>
      <c r="G382" s="84">
        <f>KQKD!E27</f>
        <v>9568478306</v>
      </c>
      <c r="H382" s="113"/>
      <c r="I382" s="84">
        <f>KQKD!F27</f>
        <v>8220774582</v>
      </c>
    </row>
    <row r="383" spans="2:13" ht="15" customHeight="1" x14ac:dyDescent="0.2">
      <c r="C383" s="334" t="s">
        <v>239</v>
      </c>
      <c r="D383" s="334"/>
      <c r="E383" s="334"/>
      <c r="F383" s="334"/>
      <c r="G383" s="110">
        <f>G384+G385</f>
        <v>193625354</v>
      </c>
      <c r="H383" s="113"/>
      <c r="I383" s="110">
        <f>I384+I385</f>
        <v>-1595381368</v>
      </c>
    </row>
    <row r="384" spans="2:13" ht="15" customHeight="1" x14ac:dyDescent="0.2">
      <c r="C384" s="339" t="s">
        <v>240</v>
      </c>
      <c r="D384" s="339"/>
      <c r="E384" s="339"/>
      <c r="F384" s="339"/>
      <c r="G384" s="123">
        <v>-27500000</v>
      </c>
      <c r="H384" s="113"/>
      <c r="I384" s="123">
        <v>-1700226849</v>
      </c>
      <c r="J384" s="124"/>
      <c r="K384" s="124"/>
    </row>
    <row r="385" spans="2:14" ht="15" customHeight="1" x14ac:dyDescent="0.2">
      <c r="C385" s="339" t="s">
        <v>241</v>
      </c>
      <c r="D385" s="339"/>
      <c r="E385" s="339"/>
      <c r="F385" s="339"/>
      <c r="G385" s="85">
        <v>221125354</v>
      </c>
      <c r="H385" s="113"/>
      <c r="I385" s="85">
        <v>104845481</v>
      </c>
      <c r="K385" s="85"/>
      <c r="M385" s="41"/>
      <c r="N385" s="41"/>
    </row>
    <row r="386" spans="2:14" ht="15" customHeight="1" x14ac:dyDescent="0.2">
      <c r="C386" s="338" t="s">
        <v>337</v>
      </c>
      <c r="D386" s="338"/>
      <c r="E386" s="338"/>
      <c r="F386" s="338"/>
      <c r="G386" s="84">
        <f>G382+G383</f>
        <v>9762103660</v>
      </c>
      <c r="H386" s="113"/>
      <c r="I386" s="138">
        <f>I382+I383</f>
        <v>6625393214</v>
      </c>
      <c r="J386" s="112"/>
      <c r="M386" s="41"/>
      <c r="N386" s="41"/>
    </row>
    <row r="387" spans="2:14" ht="15" customHeight="1" x14ac:dyDescent="0.2">
      <c r="C387" s="47" t="s">
        <v>242</v>
      </c>
      <c r="G387" s="178">
        <v>0.22</v>
      </c>
      <c r="H387" s="113"/>
      <c r="I387" s="178">
        <v>0.22</v>
      </c>
      <c r="J387" s="112"/>
      <c r="L387" s="47" t="s">
        <v>192</v>
      </c>
      <c r="M387" s="41"/>
      <c r="N387" s="41"/>
    </row>
    <row r="388" spans="2:14" ht="15" customHeight="1" thickBot="1" x14ac:dyDescent="0.25">
      <c r="C388" s="338" t="s">
        <v>243</v>
      </c>
      <c r="D388" s="338"/>
      <c r="E388" s="338"/>
      <c r="F388" s="338"/>
      <c r="G388" s="45">
        <f>ROUND(G386*G387,0)</f>
        <v>2147662805</v>
      </c>
      <c r="H388" s="225" t="e">
        <f>SUM(#REF!)</f>
        <v>#REF!</v>
      </c>
      <c r="I388" s="45">
        <f>ROUND(I386*I387,0)-1</f>
        <v>1457586506</v>
      </c>
      <c r="J388" s="47">
        <f>I388-KQKD!F28</f>
        <v>0</v>
      </c>
      <c r="K388" s="47">
        <f>G388-KQKD!E28</f>
        <v>0</v>
      </c>
      <c r="L388" s="47">
        <f>K388/G387</f>
        <v>0</v>
      </c>
    </row>
    <row r="389" spans="2:14" s="157" customFormat="1" ht="2.25" customHeight="1" thickTop="1" x14ac:dyDescent="0.2">
      <c r="C389" s="158"/>
      <c r="D389" s="158"/>
      <c r="E389" s="158"/>
      <c r="F389" s="158"/>
      <c r="G389" s="43"/>
      <c r="H389" s="160"/>
      <c r="I389" s="43"/>
    </row>
    <row r="390" spans="2:14" s="223" customFormat="1" x14ac:dyDescent="0.2">
      <c r="C390" s="222"/>
      <c r="G390" s="43"/>
      <c r="H390" s="221"/>
      <c r="I390" s="43"/>
    </row>
    <row r="391" spans="2:14" ht="17.25" customHeight="1" x14ac:dyDescent="0.2">
      <c r="B391" s="65" t="s">
        <v>533</v>
      </c>
      <c r="C391" s="322" t="s">
        <v>244</v>
      </c>
      <c r="D391" s="322"/>
      <c r="E391" s="322"/>
      <c r="F391" s="322"/>
      <c r="G391" s="322"/>
      <c r="H391" s="322"/>
      <c r="I391" s="322"/>
    </row>
    <row r="392" spans="2:14" ht="26.25" customHeight="1" x14ac:dyDescent="0.2">
      <c r="B392" s="65"/>
      <c r="C392" s="313" t="s">
        <v>282</v>
      </c>
      <c r="D392" s="313"/>
      <c r="E392" s="313"/>
      <c r="F392" s="313"/>
      <c r="G392" s="313"/>
      <c r="H392" s="313"/>
      <c r="I392" s="313"/>
    </row>
    <row r="393" spans="2:14" ht="6.75" customHeight="1" x14ac:dyDescent="0.2">
      <c r="B393" s="65"/>
      <c r="C393" s="70"/>
      <c r="D393" s="70"/>
      <c r="E393" s="70"/>
      <c r="F393" s="70"/>
      <c r="G393" s="70"/>
      <c r="H393" s="70"/>
      <c r="I393" s="70"/>
    </row>
    <row r="394" spans="2:14" ht="15" customHeight="1" x14ac:dyDescent="0.2">
      <c r="C394" s="68"/>
      <c r="D394" s="68"/>
      <c r="E394" s="68"/>
      <c r="F394" s="68"/>
      <c r="G394" s="122" t="s">
        <v>546</v>
      </c>
      <c r="H394" s="252"/>
      <c r="I394" s="122" t="s">
        <v>547</v>
      </c>
    </row>
    <row r="395" spans="2:14" ht="15" customHeight="1" x14ac:dyDescent="0.2">
      <c r="C395" s="109"/>
      <c r="D395" s="109"/>
      <c r="E395" s="109"/>
      <c r="F395" s="109"/>
      <c r="G395" s="43" t="s">
        <v>32</v>
      </c>
      <c r="H395" s="43"/>
      <c r="I395" s="43" t="s">
        <v>32</v>
      </c>
    </row>
    <row r="396" spans="2:14" ht="15" customHeight="1" x14ac:dyDescent="0.2">
      <c r="C396" s="334" t="s">
        <v>245</v>
      </c>
      <c r="D396" s="334"/>
      <c r="E396" s="334"/>
      <c r="F396" s="334"/>
      <c r="G396" s="41">
        <f>G382-G388</f>
        <v>7420815501</v>
      </c>
      <c r="H396" s="63"/>
      <c r="I396" s="41">
        <f>I382-I388</f>
        <v>6763188076</v>
      </c>
      <c r="J396" s="47">
        <f>I396-KQKD!F30</f>
        <v>0</v>
      </c>
      <c r="K396" s="47">
        <f>G396-KQKD!E30</f>
        <v>0</v>
      </c>
    </row>
    <row r="397" spans="2:14" ht="15" customHeight="1" x14ac:dyDescent="0.2">
      <c r="C397" s="334" t="s">
        <v>247</v>
      </c>
      <c r="D397" s="334"/>
      <c r="E397" s="334"/>
      <c r="F397" s="334"/>
      <c r="G397" s="41">
        <v>6000000</v>
      </c>
      <c r="H397" s="63"/>
      <c r="I397" s="41">
        <v>6000000</v>
      </c>
    </row>
    <row r="398" spans="2:14" ht="15" customHeight="1" x14ac:dyDescent="0.2">
      <c r="C398" s="334" t="s">
        <v>246</v>
      </c>
      <c r="D398" s="334"/>
      <c r="E398" s="334"/>
      <c r="F398" s="334"/>
      <c r="G398" s="41"/>
      <c r="H398" s="63"/>
      <c r="I398" s="41"/>
    </row>
    <row r="399" spans="2:14" ht="15" customHeight="1" thickBot="1" x14ac:dyDescent="0.25">
      <c r="C399" s="338" t="s">
        <v>62</v>
      </c>
      <c r="D399" s="338"/>
      <c r="E399" s="338"/>
      <c r="F399" s="338"/>
      <c r="G399" s="45">
        <f>G396/G397</f>
        <v>1236.8025835000001</v>
      </c>
      <c r="H399" s="63"/>
      <c r="I399" s="45">
        <f>I396/I397</f>
        <v>1127.1980126666667</v>
      </c>
      <c r="J399" s="47">
        <f>I399-KQKD!F31</f>
        <v>0.19801266666672745</v>
      </c>
      <c r="K399" s="47">
        <f>G399-KQKD!E31</f>
        <v>-0.19741649999991751</v>
      </c>
    </row>
    <row r="400" spans="2:14" ht="15" customHeight="1" thickTop="1" x14ac:dyDescent="0.2">
      <c r="C400" s="37"/>
      <c r="D400" s="37"/>
      <c r="E400" s="37"/>
      <c r="I400" s="125"/>
    </row>
    <row r="401" spans="3:9" ht="15" customHeight="1" x14ac:dyDescent="0.2">
      <c r="C401" s="152"/>
      <c r="D401" s="37"/>
      <c r="E401" s="37"/>
      <c r="F401" s="295" t="s">
        <v>548</v>
      </c>
      <c r="G401" s="295"/>
      <c r="H401" s="295"/>
      <c r="I401" s="295"/>
    </row>
    <row r="402" spans="3:9" ht="15" customHeight="1" x14ac:dyDescent="0.2">
      <c r="C402" s="176" t="s">
        <v>341</v>
      </c>
      <c r="D402" s="156" t="s">
        <v>63</v>
      </c>
      <c r="E402" s="154"/>
      <c r="F402" s="296" t="s">
        <v>343</v>
      </c>
      <c r="G402" s="296"/>
      <c r="H402" s="296"/>
      <c r="I402" s="296"/>
    </row>
    <row r="403" spans="3:9" ht="15" customHeight="1" x14ac:dyDescent="0.2">
      <c r="C403" s="58"/>
      <c r="D403" s="37"/>
      <c r="I403" s="125"/>
    </row>
    <row r="404" spans="3:9" ht="15" customHeight="1" x14ac:dyDescent="0.2">
      <c r="C404" s="58"/>
      <c r="D404" s="37"/>
      <c r="I404" s="125"/>
    </row>
    <row r="405" spans="3:9" s="151" customFormat="1" ht="15" customHeight="1" x14ac:dyDescent="0.2">
      <c r="C405" s="58"/>
      <c r="D405" s="37"/>
      <c r="I405" s="125"/>
    </row>
    <row r="406" spans="3:9" s="151" customFormat="1" ht="15" customHeight="1" x14ac:dyDescent="0.2">
      <c r="C406" s="58"/>
      <c r="D406" s="37"/>
      <c r="I406" s="125"/>
    </row>
    <row r="407" spans="3:9" ht="15" customHeight="1" x14ac:dyDescent="0.2">
      <c r="C407" s="58"/>
      <c r="D407" s="37"/>
      <c r="I407" s="125"/>
    </row>
    <row r="408" spans="3:9" x14ac:dyDescent="0.2">
      <c r="C408" s="58"/>
      <c r="D408" s="37"/>
    </row>
    <row r="409" spans="3:9" ht="15" customHeight="1" x14ac:dyDescent="0.2">
      <c r="C409" s="168" t="s">
        <v>347</v>
      </c>
      <c r="D409" s="155" t="s">
        <v>72</v>
      </c>
      <c r="F409" s="296" t="s">
        <v>71</v>
      </c>
      <c r="G409" s="296"/>
      <c r="H409" s="296"/>
      <c r="I409" s="296"/>
    </row>
    <row r="410" spans="3:9" ht="15" customHeight="1" x14ac:dyDescent="0.2"/>
    <row r="411" spans="3:9" ht="15" customHeight="1" x14ac:dyDescent="0.2"/>
    <row r="412" spans="3:9" ht="15" customHeight="1" x14ac:dyDescent="0.2"/>
    <row r="413" spans="3:9" ht="15" customHeight="1" x14ac:dyDescent="0.2"/>
    <row r="414" spans="3:9" ht="15" customHeight="1" x14ac:dyDescent="0.2"/>
    <row r="415" spans="3:9" ht="15" customHeight="1" x14ac:dyDescent="0.2"/>
    <row r="416" spans="3:9"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sheetData>
  <mergeCells count="207">
    <mergeCell ref="F409:I409"/>
    <mergeCell ref="C376:F376"/>
    <mergeCell ref="C363:I363"/>
    <mergeCell ref="C364:F364"/>
    <mergeCell ref="C365:F365"/>
    <mergeCell ref="C366:F366"/>
    <mergeCell ref="C367:F367"/>
    <mergeCell ref="C368:F368"/>
    <mergeCell ref="C375:F375"/>
    <mergeCell ref="C391:I391"/>
    <mergeCell ref="C392:I392"/>
    <mergeCell ref="C396:F396"/>
    <mergeCell ref="C397:F397"/>
    <mergeCell ref="C398:F398"/>
    <mergeCell ref="C399:F399"/>
    <mergeCell ref="C388:F388"/>
    <mergeCell ref="C379:I379"/>
    <mergeCell ref="C382:F382"/>
    <mergeCell ref="C383:F383"/>
    <mergeCell ref="C384:F384"/>
    <mergeCell ref="C385:F385"/>
    <mergeCell ref="C386:F386"/>
    <mergeCell ref="E355:F356"/>
    <mergeCell ref="G355:I355"/>
    <mergeCell ref="C369:F369"/>
    <mergeCell ref="C371:I371"/>
    <mergeCell ref="C374:F374"/>
    <mergeCell ref="C377:F377"/>
    <mergeCell ref="D331:D332"/>
    <mergeCell ref="F401:I401"/>
    <mergeCell ref="F402:I402"/>
    <mergeCell ref="C312:F312"/>
    <mergeCell ref="C277:F277"/>
    <mergeCell ref="C279:I279"/>
    <mergeCell ref="C283:F283"/>
    <mergeCell ref="C284:F284"/>
    <mergeCell ref="C306:F306"/>
    <mergeCell ref="C327:I327"/>
    <mergeCell ref="C346:I346"/>
    <mergeCell ref="C353:I353"/>
    <mergeCell ref="C297:F297"/>
    <mergeCell ref="C298:F298"/>
    <mergeCell ref="C299:F299"/>
    <mergeCell ref="C304:F304"/>
    <mergeCell ref="C305:F305"/>
    <mergeCell ref="C307:F307"/>
    <mergeCell ref="C308:F308"/>
    <mergeCell ref="C287:F287"/>
    <mergeCell ref="C285:F285"/>
    <mergeCell ref="C290:F290"/>
    <mergeCell ref="C291:F291"/>
    <mergeCell ref="C286:F286"/>
    <mergeCell ref="F242:F243"/>
    <mergeCell ref="C248:I248"/>
    <mergeCell ref="C257:F257"/>
    <mergeCell ref="C259:F259"/>
    <mergeCell ref="C293:I293"/>
    <mergeCell ref="C258:F258"/>
    <mergeCell ref="D234:D235"/>
    <mergeCell ref="E234:E235"/>
    <mergeCell ref="F234:F235"/>
    <mergeCell ref="G234:G235"/>
    <mergeCell ref="I234:I235"/>
    <mergeCell ref="C252:F252"/>
    <mergeCell ref="C253:F253"/>
    <mergeCell ref="C267:F267"/>
    <mergeCell ref="C268:F268"/>
    <mergeCell ref="C269:F269"/>
    <mergeCell ref="C271:I271"/>
    <mergeCell ref="C275:F275"/>
    <mergeCell ref="C276:F276"/>
    <mergeCell ref="C237:C238"/>
    <mergeCell ref="C261:I261"/>
    <mergeCell ref="C264:F264"/>
    <mergeCell ref="C265:F265"/>
    <mergeCell ref="C266:F266"/>
    <mergeCell ref="H187:I187"/>
    <mergeCell ref="H188:I188"/>
    <mergeCell ref="H189:I189"/>
    <mergeCell ref="C232:I232"/>
    <mergeCell ref="H210:I210"/>
    <mergeCell ref="H211:I211"/>
    <mergeCell ref="H212:I212"/>
    <mergeCell ref="C209:I209"/>
    <mergeCell ref="C180:F180"/>
    <mergeCell ref="C181:F181"/>
    <mergeCell ref="C182:F182"/>
    <mergeCell ref="C185:I185"/>
    <mergeCell ref="C149:I149"/>
    <mergeCell ref="C176:I176"/>
    <mergeCell ref="C179:F179"/>
    <mergeCell ref="C157:I157"/>
    <mergeCell ref="C147:I147"/>
    <mergeCell ref="C130:I130"/>
    <mergeCell ref="C131:I131"/>
    <mergeCell ref="C132:I132"/>
    <mergeCell ref="C133:I133"/>
    <mergeCell ref="C134:I134"/>
    <mergeCell ref="C135:I135"/>
    <mergeCell ref="C145:I145"/>
    <mergeCell ref="C142:I142"/>
    <mergeCell ref="C140:I140"/>
    <mergeCell ref="C141:I141"/>
    <mergeCell ref="C128:I128"/>
    <mergeCell ref="C110:I110"/>
    <mergeCell ref="C111:I111"/>
    <mergeCell ref="C113:I113"/>
    <mergeCell ref="C115:I115"/>
    <mergeCell ref="C116:I116"/>
    <mergeCell ref="C117:I117"/>
    <mergeCell ref="C136:I136"/>
    <mergeCell ref="C137:I137"/>
    <mergeCell ref="C97:I97"/>
    <mergeCell ref="C99:I99"/>
    <mergeCell ref="C100:I100"/>
    <mergeCell ref="C101:I101"/>
    <mergeCell ref="C102:I102"/>
    <mergeCell ref="C121:I121"/>
    <mergeCell ref="C122:I122"/>
    <mergeCell ref="C125:I125"/>
    <mergeCell ref="C127:I127"/>
    <mergeCell ref="C76:I76"/>
    <mergeCell ref="C77:I77"/>
    <mergeCell ref="C78:I78"/>
    <mergeCell ref="C79:I79"/>
    <mergeCell ref="C80:I80"/>
    <mergeCell ref="C81:I81"/>
    <mergeCell ref="C62:I62"/>
    <mergeCell ref="C63:I63"/>
    <mergeCell ref="C139:I139"/>
    <mergeCell ref="C91:F91"/>
    <mergeCell ref="C92:I92"/>
    <mergeCell ref="C93:I93"/>
    <mergeCell ref="C94:I94"/>
    <mergeCell ref="C95:I95"/>
    <mergeCell ref="C96:I96"/>
    <mergeCell ref="C88:F88"/>
    <mergeCell ref="C89:F89"/>
    <mergeCell ref="C90:F90"/>
    <mergeCell ref="C103:I103"/>
    <mergeCell ref="C104:I104"/>
    <mergeCell ref="C105:I105"/>
    <mergeCell ref="C107:I107"/>
    <mergeCell ref="C108:I108"/>
    <mergeCell ref="C109:I109"/>
    <mergeCell ref="C54:I54"/>
    <mergeCell ref="C56:I56"/>
    <mergeCell ref="C57:I57"/>
    <mergeCell ref="C70:I70"/>
    <mergeCell ref="C143:I143"/>
    <mergeCell ref="C144:I144"/>
    <mergeCell ref="C71:I71"/>
    <mergeCell ref="C72:I72"/>
    <mergeCell ref="C73:I73"/>
    <mergeCell ref="C74:I74"/>
    <mergeCell ref="C75:I75"/>
    <mergeCell ref="C64:I64"/>
    <mergeCell ref="C65:I65"/>
    <mergeCell ref="C66:I66"/>
    <mergeCell ref="C67:I67"/>
    <mergeCell ref="C68:I68"/>
    <mergeCell ref="C69:I69"/>
    <mergeCell ref="C82:I82"/>
    <mergeCell ref="C83:I83"/>
    <mergeCell ref="C84:I84"/>
    <mergeCell ref="C59:I59"/>
    <mergeCell ref="C60:I60"/>
    <mergeCell ref="C61:I61"/>
    <mergeCell ref="C58:I58"/>
    <mergeCell ref="C53:I53"/>
    <mergeCell ref="C38:I38"/>
    <mergeCell ref="C39:I39"/>
    <mergeCell ref="C41:I41"/>
    <mergeCell ref="C47:I47"/>
    <mergeCell ref="C43:I43"/>
    <mergeCell ref="C27:I27"/>
    <mergeCell ref="C28:I28"/>
    <mergeCell ref="C29:I29"/>
    <mergeCell ref="C48:I48"/>
    <mergeCell ref="C49:I49"/>
    <mergeCell ref="C31:I31"/>
    <mergeCell ref="C32:I32"/>
    <mergeCell ref="C33:I33"/>
    <mergeCell ref="C44:I44"/>
    <mergeCell ref="C45:I45"/>
    <mergeCell ref="C35:I35"/>
    <mergeCell ref="C42:I42"/>
    <mergeCell ref="C50:I50"/>
    <mergeCell ref="C51:I51"/>
    <mergeCell ref="F2:I2"/>
    <mergeCell ref="B6:I6"/>
    <mergeCell ref="C9:I9"/>
    <mergeCell ref="C10:I10"/>
    <mergeCell ref="C11:I11"/>
    <mergeCell ref="C30:I30"/>
    <mergeCell ref="C24:I24"/>
    <mergeCell ref="C25:I25"/>
    <mergeCell ref="C26:I26"/>
    <mergeCell ref="C12:I12"/>
    <mergeCell ref="C13:I13"/>
    <mergeCell ref="C20:I20"/>
    <mergeCell ref="C21:I21"/>
    <mergeCell ref="C23:I23"/>
    <mergeCell ref="C15:I15"/>
    <mergeCell ref="C18:I18"/>
    <mergeCell ref="C17:I17"/>
    <mergeCell ref="C16:I16"/>
  </mergeCells>
  <printOptions horizontalCentered="1"/>
  <pageMargins left="0.25" right="0.22" top="0.59" bottom="0.44" header="0.28999999999999998" footer="0.22"/>
  <pageSetup paperSize="9" firstPageNumber="6"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CDKT</vt:lpstr>
      <vt:lpstr>KQKD</vt:lpstr>
      <vt:lpstr>LCTTGT</vt:lpstr>
      <vt:lpstr>Thuyet minh</vt:lpstr>
      <vt:lpstr>CDKT!Print_Area</vt:lpstr>
      <vt:lpstr>KQKD!Print_Area</vt:lpstr>
      <vt:lpstr>LCTTGT!Print_Area</vt:lpstr>
      <vt:lpstr>'Thuyet minh'!Print_Area</vt:lpstr>
      <vt:lpstr>CDKT!Print_Titles</vt:lpstr>
      <vt:lpstr>'Thuyet minh'!Print_Titles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Hoang</dc:creator>
  <cp:lastModifiedBy>Administrator</cp:lastModifiedBy>
  <cp:lastPrinted>2015-07-21T01:21:21Z</cp:lastPrinted>
  <dcterms:created xsi:type="dcterms:W3CDTF">2009-04-18T02:34:48Z</dcterms:created>
  <dcterms:modified xsi:type="dcterms:W3CDTF">2015-07-21T07:15:20Z</dcterms:modified>
</cp:coreProperties>
</file>