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19.xml" ContentType="application/vnd.openxmlformats-officedocument.spreadsheetml.worksheet+xml"/>
  <Override PartName="/xl/theme/theme1.xml" ContentType="application/vnd.openxmlformats-officedocument.theme+xml"/>
  <Override PartName="/xl/worksheets/sheet20.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P:\Ke Hoach\FILE KÝ\CBTT\2025\BCTC 2025\Năm 2025\"/>
    </mc:Choice>
  </mc:AlternateContent>
  <xr:revisionPtr revIDLastSave="0" documentId="13_ncr:1_{53CD1081-CC85-4597-9C8A-5B210E39C58D}" xr6:coauthVersionLast="47" xr6:coauthVersionMax="47" xr10:uidLastSave="{00000000-0000-0000-0000-000000000000}"/>
  <bookViews>
    <workbookView xWindow="-120" yWindow="-120" windowWidth="29040" windowHeight="15720" xr2:uid="{00000000-000D-0000-FFFF-FFFF00000000}"/>
  </bookViews>
  <sheets>
    <sheet name="Trang bìa" sheetId="1" r:id="rId1"/>
    <sheet name="Setting" sheetId="2" state="hidden" r:id="rId2"/>
    <sheet name="KT_06618" sheetId="3" r:id="rId3"/>
    <sheet name="6048_hidden" sheetId="4" state="hidden" r:id="rId4"/>
    <sheet name="BCTCR_06608" sheetId="5" r:id="rId5"/>
    <sheet name="6050_hidden" sheetId="6" state="hidden" r:id="rId6"/>
    <sheet name="CCTTCR_06609" sheetId="7" r:id="rId7"/>
    <sheet name="6045_hidden" sheetId="8" state="hidden" r:id="rId8"/>
    <sheet name="BCKQHDR_06610" sheetId="9" r:id="rId9"/>
    <sheet name="6041_hidden" sheetId="10" state="hidden" r:id="rId10"/>
    <sheet name="BCLCTTRTT_06611" sheetId="11" r:id="rId11"/>
    <sheet name="6046_hidden" sheetId="12" state="hidden" r:id="rId12"/>
    <sheet name="PLCTTHDMGUTCKHTT_06612" sheetId="13" r:id="rId13"/>
    <sheet name="6043_hidden" sheetId="14" state="hidden" r:id="rId14"/>
    <sheet name="BCLCTTRGT_06613" sheetId="15" r:id="rId15"/>
    <sheet name="6049_hidden" sheetId="16" state="hidden" r:id="rId16"/>
    <sheet name="PLCTTHDMGUTCKHGT_06614" sheetId="17" r:id="rId17"/>
    <sheet name="6044_hidden" sheetId="18" state="hidden" r:id="rId18"/>
    <sheet name="BCTHBDVCSH_06615" sheetId="19" r:id="rId19"/>
    <sheet name="6047_hidden" sheetId="20" state="hidden"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9" l="1"/>
  <c r="I8" i="19"/>
  <c r="I9" i="19"/>
  <c r="I11" i="19"/>
  <c r="I14" i="19"/>
  <c r="I15" i="19"/>
  <c r="I16" i="19"/>
  <c r="I17" i="19"/>
  <c r="I18" i="19"/>
  <c r="I19" i="19"/>
  <c r="J8" i="19"/>
  <c r="J9" i="19"/>
  <c r="J10" i="19"/>
  <c r="J11" i="19"/>
  <c r="J12" i="19"/>
  <c r="J13" i="19"/>
  <c r="J14" i="19"/>
  <c r="J15" i="19"/>
  <c r="J16" i="19"/>
  <c r="J17" i="19"/>
  <c r="J18" i="19"/>
  <c r="J19" i="19"/>
  <c r="C20" i="19"/>
  <c r="D20" i="19"/>
  <c r="D23" i="19" s="1"/>
  <c r="E20" i="19"/>
  <c r="E23" i="19" s="1"/>
  <c r="F20" i="19"/>
  <c r="F23" i="19" s="1"/>
  <c r="G20" i="19"/>
  <c r="G23" i="19" s="1"/>
  <c r="H20" i="19"/>
  <c r="I21" i="19"/>
  <c r="J21" i="19"/>
  <c r="I22" i="19"/>
  <c r="J22" i="19"/>
  <c r="H23" i="19"/>
  <c r="J24" i="19"/>
  <c r="D25" i="19"/>
  <c r="E25" i="19"/>
  <c r="E29" i="19" s="1"/>
  <c r="F25" i="19"/>
  <c r="F29" i="19" s="1"/>
  <c r="G25" i="19"/>
  <c r="G29" i="19" s="1"/>
  <c r="H25" i="19"/>
  <c r="H29" i="19" s="1"/>
  <c r="E31" i="13"/>
  <c r="E21" i="13"/>
  <c r="E20" i="13" s="1"/>
  <c r="E19" i="13"/>
  <c r="E30" i="13" s="1"/>
  <c r="E41" i="11"/>
  <c r="E39" i="11"/>
  <c r="E40" i="11" s="1"/>
  <c r="E45" i="11" s="1"/>
  <c r="E26" i="11"/>
  <c r="E19" i="11"/>
  <c r="E71" i="9"/>
  <c r="E66" i="9"/>
  <c r="E62" i="9"/>
  <c r="E58" i="9"/>
  <c r="E51" i="9"/>
  <c r="E44" i="9"/>
  <c r="E38" i="9"/>
  <c r="E23" i="9"/>
  <c r="E21" i="9"/>
  <c r="E54" i="9" s="1"/>
  <c r="D9" i="5"/>
  <c r="E132" i="5"/>
  <c r="E120" i="5"/>
  <c r="E119" i="5"/>
  <c r="E118" i="5" s="1"/>
  <c r="E117" i="5" s="1"/>
  <c r="E136" i="5" s="1"/>
  <c r="E99" i="5"/>
  <c r="E98" i="5"/>
  <c r="E76" i="5"/>
  <c r="E75" i="5"/>
  <c r="E74" i="5"/>
  <c r="E65" i="5"/>
  <c r="E56" i="5"/>
  <c r="E52" i="5"/>
  <c r="E48" i="5"/>
  <c r="E47" i="5" s="1"/>
  <c r="E38" i="5" s="1"/>
  <c r="E72" i="5" s="1"/>
  <c r="E41" i="5"/>
  <c r="E39" i="5"/>
  <c r="E28" i="5"/>
  <c r="E17" i="5"/>
  <c r="E9" i="5"/>
  <c r="E8" i="5"/>
  <c r="E7" i="5"/>
  <c r="I20" i="19" l="1"/>
  <c r="I23" i="19" s="1"/>
  <c r="I25" i="19"/>
  <c r="I29" i="19" s="1"/>
  <c r="J25" i="19"/>
  <c r="J29" i="19" s="1"/>
  <c r="J20" i="19"/>
  <c r="J23" i="19" s="1"/>
  <c r="C23" i="19"/>
  <c r="D29" i="19"/>
  <c r="C29" i="19"/>
  <c r="E59" i="9"/>
  <c r="E65" i="9" s="1"/>
  <c r="D66" i="9"/>
  <c r="D8" i="5"/>
  <c r="D28" i="5"/>
  <c r="D51" i="9"/>
  <c r="D31" i="13"/>
  <c r="D21" i="13"/>
  <c r="D20" i="13" s="1"/>
  <c r="D19" i="13"/>
  <c r="D41" i="11"/>
  <c r="D39" i="11"/>
  <c r="D132" i="5"/>
  <c r="D120" i="5"/>
  <c r="D119" i="5"/>
  <c r="D76" i="5"/>
  <c r="D75" i="5" s="1"/>
  <c r="D98" i="5"/>
  <c r="D99" i="5"/>
  <c r="D65" i="5"/>
  <c r="D56" i="5"/>
  <c r="D48" i="5"/>
  <c r="D52" i="5"/>
  <c r="D39" i="5"/>
  <c r="D19" i="11"/>
  <c r="D26" i="11"/>
  <c r="D71" i="9"/>
  <c r="D62" i="9"/>
  <c r="D58" i="9"/>
  <c r="D44" i="9"/>
  <c r="D38" i="9"/>
  <c r="D21" i="9"/>
  <c r="D7" i="5" l="1"/>
  <c r="D40" i="11"/>
  <c r="D45" i="11" s="1"/>
  <c r="D30" i="13"/>
  <c r="D54" i="9"/>
  <c r="D59" i="9" s="1"/>
  <c r="D65" i="9" s="1"/>
  <c r="D118" i="5"/>
  <c r="D117" i="5" s="1"/>
  <c r="D74" i="5"/>
  <c r="D47" i="5"/>
  <c r="D38" i="5" s="1"/>
  <c r="D136" i="5" l="1"/>
  <c r="D72" i="5"/>
  <c r="K29" i="20"/>
  <c r="J29" i="20"/>
  <c r="I29" i="20"/>
  <c r="H29" i="20"/>
  <c r="G29" i="20"/>
  <c r="F29" i="20"/>
  <c r="E29" i="20"/>
  <c r="D29" i="20"/>
  <c r="C29" i="20"/>
  <c r="B29" i="20"/>
  <c r="A29" i="20"/>
  <c r="K28" i="20"/>
  <c r="J28" i="20"/>
  <c r="I28" i="20"/>
  <c r="H28" i="20"/>
  <c r="G28" i="20"/>
  <c r="F28" i="20"/>
  <c r="E28" i="20"/>
  <c r="D28" i="20"/>
  <c r="C28" i="20"/>
  <c r="B28" i="20"/>
  <c r="A28" i="20"/>
  <c r="K27" i="20"/>
  <c r="J27" i="20"/>
  <c r="I27" i="20"/>
  <c r="H27" i="20"/>
  <c r="G27" i="20"/>
  <c r="F27" i="20"/>
  <c r="E27" i="20"/>
  <c r="D27" i="20"/>
  <c r="C27" i="20"/>
  <c r="B27" i="20"/>
  <c r="A27" i="20"/>
  <c r="K26" i="20"/>
  <c r="J26" i="20"/>
  <c r="I26" i="20"/>
  <c r="H26" i="20"/>
  <c r="G26" i="20"/>
  <c r="F26" i="20"/>
  <c r="E26" i="20"/>
  <c r="D26" i="20"/>
  <c r="C26" i="20"/>
  <c r="B26" i="20"/>
  <c r="A26" i="20"/>
  <c r="K25" i="20"/>
  <c r="J25" i="20"/>
  <c r="I25" i="20"/>
  <c r="H25" i="20"/>
  <c r="G25" i="20"/>
  <c r="F25" i="20"/>
  <c r="E25" i="20"/>
  <c r="D25" i="20"/>
  <c r="C25" i="20"/>
  <c r="B25" i="20"/>
  <c r="A25" i="20"/>
  <c r="K24" i="20"/>
  <c r="J24" i="20"/>
  <c r="I24" i="20"/>
  <c r="H24" i="20"/>
  <c r="G24" i="20"/>
  <c r="F24" i="20"/>
  <c r="E24" i="20"/>
  <c r="D24" i="20"/>
  <c r="C24" i="20"/>
  <c r="B24" i="20"/>
  <c r="A24" i="20"/>
  <c r="K23" i="20"/>
  <c r="J23" i="20"/>
  <c r="I23" i="20"/>
  <c r="H23" i="20"/>
  <c r="G23" i="20"/>
  <c r="F23" i="20"/>
  <c r="E23" i="20"/>
  <c r="D23" i="20"/>
  <c r="C23" i="20"/>
  <c r="B23" i="20"/>
  <c r="A23" i="20"/>
  <c r="K22" i="20"/>
  <c r="J22" i="20"/>
  <c r="I22" i="20"/>
  <c r="H22" i="20"/>
  <c r="G22" i="20"/>
  <c r="F22" i="20"/>
  <c r="E22" i="20"/>
  <c r="D22" i="20"/>
  <c r="C22" i="20"/>
  <c r="B22" i="20"/>
  <c r="A22" i="20"/>
  <c r="K21" i="20"/>
  <c r="J21" i="20"/>
  <c r="I21" i="20"/>
  <c r="H21" i="20"/>
  <c r="G21" i="20"/>
  <c r="F21" i="20"/>
  <c r="E21" i="20"/>
  <c r="D21" i="20"/>
  <c r="C21" i="20"/>
  <c r="B21" i="20"/>
  <c r="A21" i="20"/>
  <c r="K20" i="20"/>
  <c r="J20" i="20"/>
  <c r="I20" i="20"/>
  <c r="H20" i="20"/>
  <c r="G20" i="20"/>
  <c r="F20" i="20"/>
  <c r="E20" i="20"/>
  <c r="D20" i="20"/>
  <c r="C20" i="20"/>
  <c r="B20" i="20"/>
  <c r="A20" i="20"/>
  <c r="K19" i="20"/>
  <c r="J19" i="20"/>
  <c r="I19" i="20"/>
  <c r="H19" i="20"/>
  <c r="G19" i="20"/>
  <c r="F19" i="20"/>
  <c r="E19" i="20"/>
  <c r="D19" i="20"/>
  <c r="C19" i="20"/>
  <c r="B19" i="20"/>
  <c r="A19" i="20"/>
  <c r="K18" i="20"/>
  <c r="J18" i="20"/>
  <c r="I18" i="20"/>
  <c r="H18" i="20"/>
  <c r="G18" i="20"/>
  <c r="F18" i="20"/>
  <c r="E18" i="20"/>
  <c r="D18" i="20"/>
  <c r="C18" i="20"/>
  <c r="B18" i="20"/>
  <c r="A18" i="20"/>
  <c r="K17" i="20"/>
  <c r="J17" i="20"/>
  <c r="I17" i="20"/>
  <c r="H17" i="20"/>
  <c r="G17" i="20"/>
  <c r="F17" i="20"/>
  <c r="E17" i="20"/>
  <c r="D17" i="20"/>
  <c r="C17" i="20"/>
  <c r="B17" i="20"/>
  <c r="A17" i="20"/>
  <c r="K16" i="20"/>
  <c r="J16" i="20"/>
  <c r="I16" i="20"/>
  <c r="H16" i="20"/>
  <c r="G16" i="20"/>
  <c r="F16" i="20"/>
  <c r="E16" i="20"/>
  <c r="D16" i="20"/>
  <c r="C16" i="20"/>
  <c r="B16" i="20"/>
  <c r="A16" i="20"/>
  <c r="K15" i="20"/>
  <c r="J15" i="20"/>
  <c r="I15" i="20"/>
  <c r="H15" i="20"/>
  <c r="G15" i="20"/>
  <c r="F15" i="20"/>
  <c r="E15" i="20"/>
  <c r="D15" i="20"/>
  <c r="C15" i="20"/>
  <c r="B15" i="20"/>
  <c r="A15" i="20"/>
  <c r="K14" i="20"/>
  <c r="J14" i="20"/>
  <c r="I14" i="20"/>
  <c r="H14" i="20"/>
  <c r="G14" i="20"/>
  <c r="F14" i="20"/>
  <c r="E14" i="20"/>
  <c r="D14" i="20"/>
  <c r="C14" i="20"/>
  <c r="B14" i="20"/>
  <c r="A14" i="20"/>
  <c r="K13" i="20"/>
  <c r="J13" i="20"/>
  <c r="I13" i="20"/>
  <c r="H13" i="20"/>
  <c r="G13" i="20"/>
  <c r="F13" i="20"/>
  <c r="E13" i="20"/>
  <c r="D13" i="20"/>
  <c r="C13" i="20"/>
  <c r="B13" i="20"/>
  <c r="A13" i="20"/>
  <c r="K12" i="20"/>
  <c r="J12" i="20"/>
  <c r="I12" i="20"/>
  <c r="H12" i="20"/>
  <c r="G12" i="20"/>
  <c r="F12" i="20"/>
  <c r="E12" i="20"/>
  <c r="D12" i="20"/>
  <c r="C12" i="20"/>
  <c r="B12" i="20"/>
  <c r="A12" i="20"/>
  <c r="K11" i="20"/>
  <c r="J11" i="20"/>
  <c r="I11" i="20"/>
  <c r="H11" i="20"/>
  <c r="G11" i="20"/>
  <c r="F11" i="20"/>
  <c r="E11" i="20"/>
  <c r="D11" i="20"/>
  <c r="C11" i="20"/>
  <c r="B11" i="20"/>
  <c r="A11" i="20"/>
  <c r="K10" i="20"/>
  <c r="J10" i="20"/>
  <c r="I10" i="20"/>
  <c r="H10" i="20"/>
  <c r="G10" i="20"/>
  <c r="F10" i="20"/>
  <c r="E10" i="20"/>
  <c r="D10" i="20"/>
  <c r="C10" i="20"/>
  <c r="B10" i="20"/>
  <c r="A10" i="20"/>
  <c r="K9" i="20"/>
  <c r="J9" i="20"/>
  <c r="I9" i="20"/>
  <c r="H9" i="20"/>
  <c r="G9" i="20"/>
  <c r="F9" i="20"/>
  <c r="E9" i="20"/>
  <c r="D9" i="20"/>
  <c r="C9" i="20"/>
  <c r="B9" i="20"/>
  <c r="A9" i="20"/>
  <c r="K8" i="20"/>
  <c r="J8" i="20"/>
  <c r="I8" i="20"/>
  <c r="H8" i="20"/>
  <c r="G8" i="20"/>
  <c r="F8" i="20"/>
  <c r="E8" i="20"/>
  <c r="D8" i="20"/>
  <c r="C8" i="20"/>
  <c r="B8" i="20"/>
  <c r="A8" i="20"/>
  <c r="K7" i="20"/>
  <c r="J7" i="20"/>
  <c r="I7" i="20"/>
  <c r="H7" i="20"/>
  <c r="G7" i="20"/>
  <c r="F7" i="20"/>
  <c r="E7" i="20"/>
  <c r="D7" i="20"/>
  <c r="C7" i="20"/>
  <c r="B7" i="20"/>
  <c r="A7" i="20"/>
  <c r="E40" i="18"/>
  <c r="D40" i="18"/>
  <c r="C40" i="18"/>
  <c r="B40" i="18"/>
  <c r="A40" i="18"/>
  <c r="E39" i="18"/>
  <c r="D39" i="18"/>
  <c r="C39" i="18"/>
  <c r="B39" i="18"/>
  <c r="A39" i="18"/>
  <c r="E38" i="18"/>
  <c r="D38" i="18"/>
  <c r="C38" i="18"/>
  <c r="B38" i="18"/>
  <c r="A38" i="18"/>
  <c r="E37" i="18"/>
  <c r="D37" i="18"/>
  <c r="C37" i="18"/>
  <c r="B37" i="18"/>
  <c r="A37" i="18"/>
  <c r="E36" i="18"/>
  <c r="D36" i="18"/>
  <c r="C36" i="18"/>
  <c r="B36" i="18"/>
  <c r="A36" i="18"/>
  <c r="E35" i="18"/>
  <c r="D35" i="18"/>
  <c r="C35" i="18"/>
  <c r="B35" i="18"/>
  <c r="A35" i="18"/>
  <c r="E34" i="18"/>
  <c r="D34" i="18"/>
  <c r="C34" i="18"/>
  <c r="B34" i="18"/>
  <c r="A34" i="18"/>
  <c r="E33" i="18"/>
  <c r="D33" i="18"/>
  <c r="C33" i="18"/>
  <c r="B33" i="18"/>
  <c r="A33" i="18"/>
  <c r="E32" i="18"/>
  <c r="D32" i="18"/>
  <c r="C32" i="18"/>
  <c r="B32" i="18"/>
  <c r="A32" i="18"/>
  <c r="E31" i="18"/>
  <c r="D31" i="18"/>
  <c r="C31" i="18"/>
  <c r="B31" i="18"/>
  <c r="A31" i="18"/>
  <c r="E30" i="18"/>
  <c r="D30" i="18"/>
  <c r="C30" i="18"/>
  <c r="B30" i="18"/>
  <c r="A30" i="18"/>
  <c r="E29" i="18"/>
  <c r="D29" i="18"/>
  <c r="C29" i="18"/>
  <c r="B29" i="18"/>
  <c r="A29" i="18"/>
  <c r="E28" i="18"/>
  <c r="D28" i="18"/>
  <c r="C28" i="18"/>
  <c r="B28" i="18"/>
  <c r="A28" i="18"/>
  <c r="E27" i="18"/>
  <c r="D27" i="18"/>
  <c r="C27" i="18"/>
  <c r="B27" i="18"/>
  <c r="A27" i="18"/>
  <c r="E26" i="18"/>
  <c r="D26" i="18"/>
  <c r="C26" i="18"/>
  <c r="B26" i="18"/>
  <c r="A26" i="18"/>
  <c r="E25" i="18"/>
  <c r="D25" i="18"/>
  <c r="C25" i="18"/>
  <c r="B25" i="18"/>
  <c r="A25" i="18"/>
  <c r="E24" i="18"/>
  <c r="D24" i="18"/>
  <c r="C24" i="18"/>
  <c r="B24" i="18"/>
  <c r="A24" i="18"/>
  <c r="E23" i="18"/>
  <c r="D23" i="18"/>
  <c r="C23" i="18"/>
  <c r="B23" i="18"/>
  <c r="A23" i="18"/>
  <c r="E22" i="18"/>
  <c r="D22" i="18"/>
  <c r="C22" i="18"/>
  <c r="B22" i="18"/>
  <c r="A22" i="18"/>
  <c r="E21" i="18"/>
  <c r="D21" i="18"/>
  <c r="C21" i="18"/>
  <c r="B21" i="18"/>
  <c r="A21" i="18"/>
  <c r="E20" i="18"/>
  <c r="D20" i="18"/>
  <c r="C20" i="18"/>
  <c r="B20" i="18"/>
  <c r="A20" i="18"/>
  <c r="E19" i="18"/>
  <c r="D19" i="18"/>
  <c r="C19" i="18"/>
  <c r="B19" i="18"/>
  <c r="A19" i="18"/>
  <c r="E18" i="18"/>
  <c r="D18" i="18"/>
  <c r="C18" i="18"/>
  <c r="B18" i="18"/>
  <c r="A18" i="18"/>
  <c r="E17" i="18"/>
  <c r="D17" i="18"/>
  <c r="C17" i="18"/>
  <c r="B17" i="18"/>
  <c r="A17" i="18"/>
  <c r="E16" i="18"/>
  <c r="D16" i="18"/>
  <c r="C16" i="18"/>
  <c r="B16" i="18"/>
  <c r="A16" i="18"/>
  <c r="E15" i="18"/>
  <c r="D15" i="18"/>
  <c r="C15" i="18"/>
  <c r="B15" i="18"/>
  <c r="A15" i="18"/>
  <c r="E14" i="18"/>
  <c r="D14" i="18"/>
  <c r="C14" i="18"/>
  <c r="B14" i="18"/>
  <c r="A14" i="18"/>
  <c r="E13" i="18"/>
  <c r="D13" i="18"/>
  <c r="C13" i="18"/>
  <c r="B13" i="18"/>
  <c r="A13" i="18"/>
  <c r="E12" i="18"/>
  <c r="D12" i="18"/>
  <c r="C12" i="18"/>
  <c r="B12" i="18"/>
  <c r="A12" i="18"/>
  <c r="E11" i="18"/>
  <c r="D11" i="18"/>
  <c r="C11" i="18"/>
  <c r="B11" i="18"/>
  <c r="A11" i="18"/>
  <c r="E10" i="18"/>
  <c r="D10" i="18"/>
  <c r="C10" i="18"/>
  <c r="B10" i="18"/>
  <c r="A10" i="18"/>
  <c r="E9" i="18"/>
  <c r="D9" i="18"/>
  <c r="C9" i="18"/>
  <c r="B9" i="18"/>
  <c r="A9" i="18"/>
  <c r="E8" i="18"/>
  <c r="D8" i="18"/>
  <c r="C8" i="18"/>
  <c r="B8" i="18"/>
  <c r="A8" i="18"/>
  <c r="E7" i="18"/>
  <c r="D7" i="18"/>
  <c r="C7" i="18"/>
  <c r="B7" i="18"/>
  <c r="A7" i="18"/>
  <c r="E6" i="18"/>
  <c r="D6" i="18"/>
  <c r="C6" i="18"/>
  <c r="B6" i="18"/>
  <c r="A6" i="18"/>
  <c r="E5" i="18"/>
  <c r="D5" i="18"/>
  <c r="C5" i="18"/>
  <c r="B5" i="18"/>
  <c r="A5" i="18"/>
  <c r="E4" i="18"/>
  <c r="D4" i="18"/>
  <c r="C4" i="18"/>
  <c r="A4" i="18"/>
  <c r="E3" i="18"/>
  <c r="D3" i="18"/>
  <c r="C3" i="18"/>
  <c r="B3" i="18"/>
  <c r="A3" i="18"/>
  <c r="E80" i="16"/>
  <c r="D80" i="16"/>
  <c r="C80" i="16"/>
  <c r="B80" i="16"/>
  <c r="A80" i="16"/>
  <c r="E79" i="16"/>
  <c r="D79" i="16"/>
  <c r="C79" i="16"/>
  <c r="B79" i="16"/>
  <c r="A79" i="16"/>
  <c r="E78" i="16"/>
  <c r="D78" i="16"/>
  <c r="C78" i="16"/>
  <c r="B78" i="16"/>
  <c r="A78" i="16"/>
  <c r="E77" i="16"/>
  <c r="D77" i="16"/>
  <c r="C77" i="16"/>
  <c r="B77" i="16"/>
  <c r="A77" i="16"/>
  <c r="E76" i="16"/>
  <c r="D76" i="16"/>
  <c r="C76" i="16"/>
  <c r="B76" i="16"/>
  <c r="A76" i="16"/>
  <c r="E75" i="16"/>
  <c r="D75" i="16"/>
  <c r="C75" i="16"/>
  <c r="B75" i="16"/>
  <c r="A75" i="16"/>
  <c r="E74" i="16"/>
  <c r="D74" i="16"/>
  <c r="C74" i="16"/>
  <c r="B74" i="16"/>
  <c r="A74" i="16"/>
  <c r="E73" i="16"/>
  <c r="D73" i="16"/>
  <c r="C73" i="16"/>
  <c r="B73" i="16"/>
  <c r="A73" i="16"/>
  <c r="E72" i="16"/>
  <c r="D72" i="16"/>
  <c r="C72" i="16"/>
  <c r="B72" i="16"/>
  <c r="A72" i="16"/>
  <c r="E71" i="16"/>
  <c r="D71" i="16"/>
  <c r="C71" i="16"/>
  <c r="B71" i="16"/>
  <c r="A71" i="16"/>
  <c r="E70" i="16"/>
  <c r="D70" i="16"/>
  <c r="C70" i="16"/>
  <c r="B70" i="16"/>
  <c r="A70" i="16"/>
  <c r="E69" i="16"/>
  <c r="D69" i="16"/>
  <c r="C69" i="16"/>
  <c r="B69" i="16"/>
  <c r="A69" i="16"/>
  <c r="E68" i="16"/>
  <c r="D68" i="16"/>
  <c r="C68" i="16"/>
  <c r="B68" i="16"/>
  <c r="A68" i="16"/>
  <c r="E67" i="16"/>
  <c r="D67" i="16"/>
  <c r="C67" i="16"/>
  <c r="B67" i="16"/>
  <c r="A67" i="16"/>
  <c r="E66" i="16"/>
  <c r="D66" i="16"/>
  <c r="C66" i="16"/>
  <c r="B66" i="16"/>
  <c r="A66" i="16"/>
  <c r="E65" i="16"/>
  <c r="D65" i="16"/>
  <c r="C65" i="16"/>
  <c r="B65" i="16"/>
  <c r="A65" i="16"/>
  <c r="E64" i="16"/>
  <c r="D64" i="16"/>
  <c r="C64" i="16"/>
  <c r="B64" i="16"/>
  <c r="A64" i="16"/>
  <c r="E63" i="16"/>
  <c r="D63" i="16"/>
  <c r="C63" i="16"/>
  <c r="B63" i="16"/>
  <c r="A63" i="16"/>
  <c r="E62" i="16"/>
  <c r="D62" i="16"/>
  <c r="C62" i="16"/>
  <c r="B62" i="16"/>
  <c r="A62" i="16"/>
  <c r="E61" i="16"/>
  <c r="D61" i="16"/>
  <c r="C61" i="16"/>
  <c r="B61" i="16"/>
  <c r="A61" i="16"/>
  <c r="E60" i="16"/>
  <c r="D60" i="16"/>
  <c r="C60" i="16"/>
  <c r="B60" i="16"/>
  <c r="A60" i="16"/>
  <c r="E59" i="16"/>
  <c r="D59" i="16"/>
  <c r="C59" i="16"/>
  <c r="A59" i="16"/>
  <c r="E58" i="16"/>
  <c r="D58" i="16"/>
  <c r="C58" i="16"/>
  <c r="B58" i="16"/>
  <c r="A58" i="16"/>
  <c r="E57" i="16"/>
  <c r="D57" i="16"/>
  <c r="C57" i="16"/>
  <c r="B57" i="16"/>
  <c r="A57" i="16"/>
  <c r="E56" i="16"/>
  <c r="D56" i="16"/>
  <c r="C56" i="16"/>
  <c r="B56" i="16"/>
  <c r="A56" i="16"/>
  <c r="E55" i="16"/>
  <c r="D55" i="16"/>
  <c r="C55" i="16"/>
  <c r="B55" i="16"/>
  <c r="A55" i="16"/>
  <c r="E54" i="16"/>
  <c r="D54" i="16"/>
  <c r="C54" i="16"/>
  <c r="B54" i="16"/>
  <c r="A54" i="16"/>
  <c r="E53" i="16"/>
  <c r="D53" i="16"/>
  <c r="C53" i="16"/>
  <c r="B53" i="16"/>
  <c r="A53" i="16"/>
  <c r="E52" i="16"/>
  <c r="D52" i="16"/>
  <c r="C52" i="16"/>
  <c r="A52" i="16"/>
  <c r="E51" i="16"/>
  <c r="D51" i="16"/>
  <c r="C51" i="16"/>
  <c r="B51" i="16"/>
  <c r="A51" i="16"/>
  <c r="E50" i="16"/>
  <c r="D50" i="16"/>
  <c r="C50" i="16"/>
  <c r="B50" i="16"/>
  <c r="A50" i="16"/>
  <c r="E49" i="16"/>
  <c r="D49" i="16"/>
  <c r="C49" i="16"/>
  <c r="B49" i="16"/>
  <c r="A49" i="16"/>
  <c r="E48" i="16"/>
  <c r="D48" i="16"/>
  <c r="C48" i="16"/>
  <c r="B48" i="16"/>
  <c r="A48" i="16"/>
  <c r="E47" i="16"/>
  <c r="D47" i="16"/>
  <c r="C47" i="16"/>
  <c r="B47" i="16"/>
  <c r="A47" i="16"/>
  <c r="E46" i="16"/>
  <c r="D46" i="16"/>
  <c r="C46" i="16"/>
  <c r="B46" i="16"/>
  <c r="A46" i="16"/>
  <c r="E45" i="16"/>
  <c r="D45" i="16"/>
  <c r="C45" i="16"/>
  <c r="B45" i="16"/>
  <c r="A45" i="16"/>
  <c r="E44" i="16"/>
  <c r="D44" i="16"/>
  <c r="C44" i="16"/>
  <c r="B44" i="16"/>
  <c r="A44" i="16"/>
  <c r="E43" i="16"/>
  <c r="D43" i="16"/>
  <c r="C43" i="16"/>
  <c r="B43" i="16"/>
  <c r="A43" i="16"/>
  <c r="E42" i="16"/>
  <c r="D42" i="16"/>
  <c r="C42" i="16"/>
  <c r="B42" i="16"/>
  <c r="A42" i="16"/>
  <c r="E41" i="16"/>
  <c r="D41" i="16"/>
  <c r="C41" i="16"/>
  <c r="B41" i="16"/>
  <c r="A41" i="16"/>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A6" i="16"/>
  <c r="E5" i="16"/>
  <c r="D5" i="16"/>
  <c r="C5" i="16"/>
  <c r="B5" i="16"/>
  <c r="A5" i="16"/>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B6" i="14"/>
  <c r="A6" i="14"/>
  <c r="E5" i="14"/>
  <c r="D5" i="14"/>
  <c r="C5" i="14"/>
  <c r="A5" i="14"/>
  <c r="E4" i="14"/>
  <c r="D4" i="14"/>
  <c r="C4" i="14"/>
  <c r="B4" i="14"/>
  <c r="A4" i="14"/>
  <c r="E48" i="12"/>
  <c r="D48" i="12"/>
  <c r="C48" i="12"/>
  <c r="B48" i="12"/>
  <c r="A48" i="12"/>
  <c r="E47" i="12"/>
  <c r="D47" i="12"/>
  <c r="C47" i="12"/>
  <c r="B47" i="12"/>
  <c r="A47" i="12"/>
  <c r="E46" i="12"/>
  <c r="D46" i="12"/>
  <c r="C46" i="12"/>
  <c r="B46" i="12"/>
  <c r="A46" i="12"/>
  <c r="E45" i="12"/>
  <c r="D45" i="12"/>
  <c r="C45" i="12"/>
  <c r="B45" i="12"/>
  <c r="A45" i="12"/>
  <c r="E44" i="12"/>
  <c r="D44" i="12"/>
  <c r="C44" i="12"/>
  <c r="B44" i="12"/>
  <c r="A44" i="12"/>
  <c r="E43" i="12"/>
  <c r="D43" i="12"/>
  <c r="C43" i="12"/>
  <c r="B43" i="12"/>
  <c r="A43" i="12"/>
  <c r="E42" i="12"/>
  <c r="D42" i="12"/>
  <c r="C42" i="12"/>
  <c r="B42" i="12"/>
  <c r="A42" i="12"/>
  <c r="E41" i="12"/>
  <c r="D41" i="12"/>
  <c r="C41" i="12"/>
  <c r="B41" i="12"/>
  <c r="A41" i="12"/>
  <c r="E40" i="12"/>
  <c r="D40" i="12"/>
  <c r="C40" i="12"/>
  <c r="B40" i="12"/>
  <c r="A40" i="12"/>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A6" i="12"/>
  <c r="E5" i="12"/>
  <c r="D5" i="12"/>
  <c r="C5" i="12"/>
  <c r="B5" i="12"/>
  <c r="A5" i="12"/>
  <c r="E74" i="10"/>
  <c r="D74" i="10"/>
  <c r="C74" i="10"/>
  <c r="B74" i="10"/>
  <c r="A74" i="10"/>
  <c r="E73" i="10"/>
  <c r="D73" i="10"/>
  <c r="C73" i="10"/>
  <c r="B73" i="10"/>
  <c r="A73" i="10"/>
  <c r="E72" i="10"/>
  <c r="D72" i="10"/>
  <c r="C72" i="10"/>
  <c r="B72" i="10"/>
  <c r="A72" i="10"/>
  <c r="E71" i="10"/>
  <c r="D71" i="10"/>
  <c r="C71" i="10"/>
  <c r="B71" i="10"/>
  <c r="A71" i="10"/>
  <c r="E70" i="10"/>
  <c r="D70" i="10"/>
  <c r="C70" i="10"/>
  <c r="B70" i="10"/>
  <c r="A70" i="10"/>
  <c r="E69" i="10"/>
  <c r="D69" i="10"/>
  <c r="C69" i="10"/>
  <c r="B69" i="10"/>
  <c r="A69" i="10"/>
  <c r="E68" i="10"/>
  <c r="D68" i="10"/>
  <c r="C68" i="10"/>
  <c r="B68" i="10"/>
  <c r="A68" i="10"/>
  <c r="E67" i="10"/>
  <c r="D67" i="10"/>
  <c r="C67" i="10"/>
  <c r="B67" i="10"/>
  <c r="A67" i="10"/>
  <c r="E66" i="10"/>
  <c r="D66" i="10"/>
  <c r="C66" i="10"/>
  <c r="B66" i="10"/>
  <c r="A66" i="10"/>
  <c r="E65" i="10"/>
  <c r="D65" i="10"/>
  <c r="C65" i="10"/>
  <c r="B65" i="10"/>
  <c r="A65" i="10"/>
  <c r="E64" i="10"/>
  <c r="D64" i="10"/>
  <c r="C64" i="10"/>
  <c r="B64" i="10"/>
  <c r="A64" i="10"/>
  <c r="E63" i="10"/>
  <c r="D63" i="10"/>
  <c r="C63" i="10"/>
  <c r="B63" i="10"/>
  <c r="A63" i="10"/>
  <c r="E62" i="10"/>
  <c r="D62" i="10"/>
  <c r="C62" i="10"/>
  <c r="B62" i="10"/>
  <c r="A62" i="10"/>
  <c r="E61" i="10"/>
  <c r="D61" i="10"/>
  <c r="C61" i="10"/>
  <c r="B61" i="10"/>
  <c r="A61" i="10"/>
  <c r="E60" i="10"/>
  <c r="D60" i="10"/>
  <c r="C60" i="10"/>
  <c r="B60" i="10"/>
  <c r="A60" i="10"/>
  <c r="E59" i="10"/>
  <c r="D59" i="10"/>
  <c r="C59" i="10"/>
  <c r="B59" i="10"/>
  <c r="A59" i="10"/>
  <c r="E58" i="10"/>
  <c r="D58" i="10"/>
  <c r="C58" i="10"/>
  <c r="B58" i="10"/>
  <c r="A58" i="10"/>
  <c r="E57" i="10"/>
  <c r="D57" i="10"/>
  <c r="C57" i="10"/>
  <c r="B57" i="10"/>
  <c r="A57" i="10"/>
  <c r="E56" i="10"/>
  <c r="D56" i="10"/>
  <c r="C56" i="10"/>
  <c r="B56" i="10"/>
  <c r="A56" i="10"/>
  <c r="E55" i="10"/>
  <c r="D55" i="10"/>
  <c r="C55" i="10"/>
  <c r="A55" i="10"/>
  <c r="E54" i="10"/>
  <c r="D54" i="10"/>
  <c r="C54" i="10"/>
  <c r="B54" i="10"/>
  <c r="A54" i="10"/>
  <c r="E53" i="10"/>
  <c r="D53" i="10"/>
  <c r="C53" i="10"/>
  <c r="B53" i="10"/>
  <c r="A53" i="10"/>
  <c r="E52" i="10"/>
  <c r="D52" i="10"/>
  <c r="C52" i="10"/>
  <c r="B52" i="10"/>
  <c r="A52" i="10"/>
  <c r="E51" i="10"/>
  <c r="D51" i="10"/>
  <c r="C51" i="10"/>
  <c r="B51" i="10"/>
  <c r="A51" i="10"/>
  <c r="E50" i="10"/>
  <c r="D50" i="10"/>
  <c r="C50" i="10"/>
  <c r="B50" i="10"/>
  <c r="A50" i="10"/>
  <c r="E49" i="10"/>
  <c r="D49" i="10"/>
  <c r="C49" i="10"/>
  <c r="B49" i="10"/>
  <c r="A49" i="10"/>
  <c r="E48" i="10"/>
  <c r="D48" i="10"/>
  <c r="C48" i="10"/>
  <c r="B48" i="10"/>
  <c r="A48" i="10"/>
  <c r="E47" i="10"/>
  <c r="D47" i="10"/>
  <c r="C47" i="10"/>
  <c r="B47" i="10"/>
  <c r="A47" i="10"/>
  <c r="E46" i="10"/>
  <c r="D46" i="10"/>
  <c r="C46" i="10"/>
  <c r="B46" i="10"/>
  <c r="A46" i="10"/>
  <c r="E45" i="10"/>
  <c r="D45" i="10"/>
  <c r="C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B27" i="10"/>
  <c r="A27" i="10"/>
  <c r="E26" i="10"/>
  <c r="D26" i="10"/>
  <c r="C26" i="10"/>
  <c r="B26" i="10"/>
  <c r="A26" i="10"/>
  <c r="E25" i="10"/>
  <c r="D25" i="10"/>
  <c r="C25" i="10"/>
  <c r="B25" i="10"/>
  <c r="A25" i="10"/>
  <c r="E24" i="10"/>
  <c r="D24" i="10"/>
  <c r="C24" i="10"/>
  <c r="B24" i="10"/>
  <c r="A24" i="10"/>
  <c r="E23" i="10"/>
  <c r="D23" i="10"/>
  <c r="C23" i="10"/>
  <c r="B23" i="10"/>
  <c r="A23" i="10"/>
  <c r="E22" i="10"/>
  <c r="D22" i="10"/>
  <c r="C22" i="10"/>
  <c r="A22" i="10"/>
  <c r="E21" i="10"/>
  <c r="D21" i="10"/>
  <c r="C21" i="10"/>
  <c r="B21" i="10"/>
  <c r="A21" i="10"/>
  <c r="E20" i="10"/>
  <c r="D20" i="10"/>
  <c r="C20" i="10"/>
  <c r="B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B6" i="10"/>
  <c r="A6" i="10"/>
  <c r="E5" i="10"/>
  <c r="D5" i="10"/>
  <c r="C5" i="10"/>
  <c r="B5" i="10"/>
  <c r="A5" i="10"/>
  <c r="E48" i="8"/>
  <c r="D48" i="8"/>
  <c r="C48" i="8"/>
  <c r="B48" i="8"/>
  <c r="A48" i="8"/>
  <c r="E47" i="8"/>
  <c r="D47" i="8"/>
  <c r="C47" i="8"/>
  <c r="B47" i="8"/>
  <c r="A47" i="8"/>
  <c r="E46" i="8"/>
  <c r="D46" i="8"/>
  <c r="C46" i="8"/>
  <c r="B46" i="8"/>
  <c r="A46" i="8"/>
  <c r="E45" i="8"/>
  <c r="D45" i="8"/>
  <c r="C45" i="8"/>
  <c r="B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B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B22" i="8"/>
  <c r="A22" i="8"/>
  <c r="E21" i="8"/>
  <c r="D21" i="8"/>
  <c r="C21" i="8"/>
  <c r="B21" i="8"/>
  <c r="A21" i="8"/>
  <c r="E20" i="8"/>
  <c r="D20" i="8"/>
  <c r="C20" i="8"/>
  <c r="B20" i="8"/>
  <c r="A20" i="8"/>
  <c r="E19" i="8"/>
  <c r="D19" i="8"/>
  <c r="C19" i="8"/>
  <c r="B19" i="8"/>
  <c r="A19" i="8"/>
  <c r="E18" i="8"/>
  <c r="D18" i="8"/>
  <c r="C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 i="8"/>
  <c r="D4" i="8"/>
  <c r="C4" i="8"/>
  <c r="A4" i="8"/>
  <c r="E3" i="8"/>
  <c r="D3" i="8"/>
  <c r="C3" i="8"/>
  <c r="B3" i="8"/>
  <c r="A3" i="8"/>
  <c r="E137" i="6"/>
  <c r="D137" i="6"/>
  <c r="C137" i="6"/>
  <c r="B137" i="6"/>
  <c r="A137" i="6"/>
  <c r="E136" i="6"/>
  <c r="D136" i="6"/>
  <c r="C136" i="6"/>
  <c r="B136" i="6"/>
  <c r="A136" i="6"/>
  <c r="E135" i="6"/>
  <c r="D135" i="6"/>
  <c r="C135" i="6"/>
  <c r="B135" i="6"/>
  <c r="A135" i="6"/>
  <c r="E134" i="6"/>
  <c r="D134" i="6"/>
  <c r="C134" i="6"/>
  <c r="B134" i="6"/>
  <c r="A134" i="6"/>
  <c r="E133" i="6"/>
  <c r="D133" i="6"/>
  <c r="C133" i="6"/>
  <c r="B133" i="6"/>
  <c r="A133" i="6"/>
  <c r="E132" i="6"/>
  <c r="D132" i="6"/>
  <c r="C132" i="6"/>
  <c r="B132" i="6"/>
  <c r="A132" i="6"/>
  <c r="E131" i="6"/>
  <c r="D131" i="6"/>
  <c r="C131" i="6"/>
  <c r="B131" i="6"/>
  <c r="A131" i="6"/>
  <c r="E130" i="6"/>
  <c r="D130" i="6"/>
  <c r="C130" i="6"/>
  <c r="B130" i="6"/>
  <c r="A130" i="6"/>
  <c r="E129" i="6"/>
  <c r="D129" i="6"/>
  <c r="C129" i="6"/>
  <c r="B129" i="6"/>
  <c r="A129" i="6"/>
  <c r="E128" i="6"/>
  <c r="D128" i="6"/>
  <c r="C128" i="6"/>
  <c r="B128" i="6"/>
  <c r="A128" i="6"/>
  <c r="E127" i="6"/>
  <c r="D127" i="6"/>
  <c r="C127" i="6"/>
  <c r="B127" i="6"/>
  <c r="A127" i="6"/>
  <c r="E126" i="6"/>
  <c r="D126" i="6"/>
  <c r="C126" i="6"/>
  <c r="B126" i="6"/>
  <c r="A126" i="6"/>
  <c r="E125" i="6"/>
  <c r="D125" i="6"/>
  <c r="C125" i="6"/>
  <c r="B125" i="6"/>
  <c r="A125" i="6"/>
  <c r="E124" i="6"/>
  <c r="D124" i="6"/>
  <c r="C124" i="6"/>
  <c r="B124" i="6"/>
  <c r="A124" i="6"/>
  <c r="E123" i="6"/>
  <c r="D123" i="6"/>
  <c r="C123" i="6"/>
  <c r="B123" i="6"/>
  <c r="A123" i="6"/>
  <c r="E122" i="6"/>
  <c r="D122" i="6"/>
  <c r="C122" i="6"/>
  <c r="B122" i="6"/>
  <c r="A122" i="6"/>
  <c r="E121" i="6"/>
  <c r="D121" i="6"/>
  <c r="C121" i="6"/>
  <c r="B121" i="6"/>
  <c r="A121" i="6"/>
  <c r="E120" i="6"/>
  <c r="D120" i="6"/>
  <c r="C120" i="6"/>
  <c r="B120" i="6"/>
  <c r="A120" i="6"/>
  <c r="E119" i="6"/>
  <c r="D119" i="6"/>
  <c r="C119" i="6"/>
  <c r="B119" i="6"/>
  <c r="A119" i="6"/>
  <c r="E118" i="6"/>
  <c r="D118" i="6"/>
  <c r="C118" i="6"/>
  <c r="B118" i="6"/>
  <c r="A118" i="6"/>
  <c r="E117" i="6"/>
  <c r="D117" i="6"/>
  <c r="C117" i="6"/>
  <c r="B117" i="6"/>
  <c r="A117" i="6"/>
  <c r="E116" i="6"/>
  <c r="D116" i="6"/>
  <c r="C116" i="6"/>
  <c r="A116" i="6"/>
  <c r="E115" i="6"/>
  <c r="D115" i="6"/>
  <c r="C115" i="6"/>
  <c r="B115" i="6"/>
  <c r="A115" i="6"/>
  <c r="E114" i="6"/>
  <c r="D114" i="6"/>
  <c r="C114" i="6"/>
  <c r="B114" i="6"/>
  <c r="A114" i="6"/>
  <c r="E113" i="6"/>
  <c r="D113" i="6"/>
  <c r="C113" i="6"/>
  <c r="B113" i="6"/>
  <c r="A113" i="6"/>
  <c r="E112" i="6"/>
  <c r="D112" i="6"/>
  <c r="C112" i="6"/>
  <c r="B112" i="6"/>
  <c r="A112" i="6"/>
  <c r="E111" i="6"/>
  <c r="D111" i="6"/>
  <c r="C111" i="6"/>
  <c r="B111" i="6"/>
  <c r="A111" i="6"/>
  <c r="E110" i="6"/>
  <c r="D110" i="6"/>
  <c r="C110" i="6"/>
  <c r="B110" i="6"/>
  <c r="A110" i="6"/>
  <c r="E109" i="6"/>
  <c r="D109" i="6"/>
  <c r="C109" i="6"/>
  <c r="B109" i="6"/>
  <c r="A109" i="6"/>
  <c r="E108" i="6"/>
  <c r="D108" i="6"/>
  <c r="C108" i="6"/>
  <c r="B108" i="6"/>
  <c r="A108" i="6"/>
  <c r="E107" i="6"/>
  <c r="D107" i="6"/>
  <c r="C107" i="6"/>
  <c r="B107" i="6"/>
  <c r="A107" i="6"/>
  <c r="E106" i="6"/>
  <c r="D106" i="6"/>
  <c r="C106" i="6"/>
  <c r="B106" i="6"/>
  <c r="A106" i="6"/>
  <c r="E105" i="6"/>
  <c r="D105" i="6"/>
  <c r="C105" i="6"/>
  <c r="B105" i="6"/>
  <c r="A105" i="6"/>
  <c r="E104" i="6"/>
  <c r="D104" i="6"/>
  <c r="C104" i="6"/>
  <c r="B104" i="6"/>
  <c r="A104" i="6"/>
  <c r="E103" i="6"/>
  <c r="D103" i="6"/>
  <c r="C103" i="6"/>
  <c r="B103" i="6"/>
  <c r="A103" i="6"/>
  <c r="E102" i="6"/>
  <c r="D102" i="6"/>
  <c r="C102" i="6"/>
  <c r="B102" i="6"/>
  <c r="A102" i="6"/>
  <c r="E101" i="6"/>
  <c r="D101" i="6"/>
  <c r="C101" i="6"/>
  <c r="B101" i="6"/>
  <c r="A101" i="6"/>
  <c r="E100" i="6"/>
  <c r="D100" i="6"/>
  <c r="C100" i="6"/>
  <c r="B100" i="6"/>
  <c r="A100" i="6"/>
  <c r="E99" i="6"/>
  <c r="D99" i="6"/>
  <c r="C99" i="6"/>
  <c r="B99" i="6"/>
  <c r="A99" i="6"/>
  <c r="E98" i="6"/>
  <c r="D98" i="6"/>
  <c r="C98" i="6"/>
  <c r="B98" i="6"/>
  <c r="A98" i="6"/>
  <c r="E97" i="6"/>
  <c r="D97" i="6"/>
  <c r="C97" i="6"/>
  <c r="B97" i="6"/>
  <c r="A97" i="6"/>
  <c r="E96" i="6"/>
  <c r="D96" i="6"/>
  <c r="C96" i="6"/>
  <c r="B96" i="6"/>
  <c r="A96" i="6"/>
  <c r="E95" i="6"/>
  <c r="D95" i="6"/>
  <c r="C95" i="6"/>
  <c r="B95" i="6"/>
  <c r="A95" i="6"/>
  <c r="E94" i="6"/>
  <c r="D94" i="6"/>
  <c r="C94" i="6"/>
  <c r="B94" i="6"/>
  <c r="A94" i="6"/>
  <c r="E93" i="6"/>
  <c r="D93" i="6"/>
  <c r="C93" i="6"/>
  <c r="B93" i="6"/>
  <c r="A93" i="6"/>
  <c r="E92" i="6"/>
  <c r="D92" i="6"/>
  <c r="C92" i="6"/>
  <c r="B92" i="6"/>
  <c r="A92" i="6"/>
  <c r="E91" i="6"/>
  <c r="D91" i="6"/>
  <c r="C91" i="6"/>
  <c r="B91" i="6"/>
  <c r="A91" i="6"/>
  <c r="E90" i="6"/>
  <c r="D90" i="6"/>
  <c r="C90" i="6"/>
  <c r="B90" i="6"/>
  <c r="A90" i="6"/>
  <c r="E89" i="6"/>
  <c r="D89" i="6"/>
  <c r="C89" i="6"/>
  <c r="B89" i="6"/>
  <c r="A89" i="6"/>
  <c r="E88" i="6"/>
  <c r="D88" i="6"/>
  <c r="C88" i="6"/>
  <c r="B88" i="6"/>
  <c r="A88" i="6"/>
  <c r="E87" i="6"/>
  <c r="D87" i="6"/>
  <c r="C87" i="6"/>
  <c r="B87" i="6"/>
  <c r="A87" i="6"/>
  <c r="E86" i="6"/>
  <c r="D86" i="6"/>
  <c r="C86" i="6"/>
  <c r="B86" i="6"/>
  <c r="A86" i="6"/>
  <c r="E85" i="6"/>
  <c r="D85" i="6"/>
  <c r="C85" i="6"/>
  <c r="B85" i="6"/>
  <c r="A85" i="6"/>
  <c r="E84" i="6"/>
  <c r="D84" i="6"/>
  <c r="C84" i="6"/>
  <c r="B84" i="6"/>
  <c r="A84" i="6"/>
  <c r="E83" i="6"/>
  <c r="D83" i="6"/>
  <c r="C83" i="6"/>
  <c r="B83" i="6"/>
  <c r="A83" i="6"/>
  <c r="E82" i="6"/>
  <c r="D82" i="6"/>
  <c r="C82" i="6"/>
  <c r="B82" i="6"/>
  <c r="A82" i="6"/>
  <c r="E81" i="6"/>
  <c r="D81" i="6"/>
  <c r="C81" i="6"/>
  <c r="B81" i="6"/>
  <c r="A81" i="6"/>
  <c r="E80" i="6"/>
  <c r="D80" i="6"/>
  <c r="C80" i="6"/>
  <c r="B80" i="6"/>
  <c r="A80" i="6"/>
  <c r="E79" i="6"/>
  <c r="D79" i="6"/>
  <c r="C79" i="6"/>
  <c r="B79" i="6"/>
  <c r="A79" i="6"/>
  <c r="E78" i="6"/>
  <c r="D78" i="6"/>
  <c r="C78" i="6"/>
  <c r="B78" i="6"/>
  <c r="A78" i="6"/>
  <c r="E77" i="6"/>
  <c r="D77" i="6"/>
  <c r="C77" i="6"/>
  <c r="B77" i="6"/>
  <c r="A77" i="6"/>
  <c r="E76" i="6"/>
  <c r="D76" i="6"/>
  <c r="C76" i="6"/>
  <c r="B76" i="6"/>
  <c r="A76" i="6"/>
  <c r="E75" i="6"/>
  <c r="D75" i="6"/>
  <c r="C75" i="6"/>
  <c r="B75" i="6"/>
  <c r="A75" i="6"/>
  <c r="E74" i="6"/>
  <c r="D74" i="6"/>
  <c r="C74" i="6"/>
  <c r="B74" i="6"/>
  <c r="A74" i="6"/>
  <c r="E73" i="6"/>
  <c r="D73" i="6"/>
  <c r="C73" i="6"/>
  <c r="B73" i="6"/>
  <c r="A73" i="6"/>
  <c r="E72" i="6"/>
  <c r="D72" i="6"/>
  <c r="C72" i="6"/>
  <c r="A72" i="6"/>
  <c r="E71" i="6"/>
  <c r="D71" i="6"/>
  <c r="C71" i="6"/>
  <c r="B71" i="6"/>
  <c r="A71" i="6"/>
  <c r="E70" i="6"/>
  <c r="D70" i="6"/>
  <c r="C70" i="6"/>
  <c r="B70" i="6"/>
  <c r="A70" i="6"/>
  <c r="E69" i="6"/>
  <c r="D69" i="6"/>
  <c r="C69" i="6"/>
  <c r="B69" i="6"/>
  <c r="A69" i="6"/>
  <c r="E68" i="6"/>
  <c r="D68" i="6"/>
  <c r="C68" i="6"/>
  <c r="B68" i="6"/>
  <c r="A68" i="6"/>
  <c r="E67" i="6"/>
  <c r="D67" i="6"/>
  <c r="C67" i="6"/>
  <c r="B67" i="6"/>
  <c r="A67" i="6"/>
  <c r="E66" i="6"/>
  <c r="D66" i="6"/>
  <c r="C66" i="6"/>
  <c r="B66" i="6"/>
  <c r="A66" i="6"/>
  <c r="E65" i="6"/>
  <c r="D65" i="6"/>
  <c r="C65" i="6"/>
  <c r="B65" i="6"/>
  <c r="A65" i="6"/>
  <c r="E64" i="6"/>
  <c r="D64" i="6"/>
  <c r="C64" i="6"/>
  <c r="B64" i="6"/>
  <c r="A64" i="6"/>
  <c r="E63" i="6"/>
  <c r="D63" i="6"/>
  <c r="C63" i="6"/>
  <c r="B63" i="6"/>
  <c r="A63" i="6"/>
  <c r="E62" i="6"/>
  <c r="D62" i="6"/>
  <c r="C62" i="6"/>
  <c r="B62" i="6"/>
  <c r="A62" i="6"/>
  <c r="E61" i="6"/>
  <c r="D61" i="6"/>
  <c r="C61" i="6"/>
  <c r="B61" i="6"/>
  <c r="A61" i="6"/>
  <c r="E60" i="6"/>
  <c r="D60" i="6"/>
  <c r="C60" i="6"/>
  <c r="B60" i="6"/>
  <c r="A60" i="6"/>
  <c r="E59" i="6"/>
  <c r="D59" i="6"/>
  <c r="C59" i="6"/>
  <c r="B59" i="6"/>
  <c r="A59" i="6"/>
  <c r="E58" i="6"/>
  <c r="D58" i="6"/>
  <c r="C58" i="6"/>
  <c r="B58" i="6"/>
  <c r="A58" i="6"/>
  <c r="E57" i="6"/>
  <c r="D57" i="6"/>
  <c r="C57" i="6"/>
  <c r="B57" i="6"/>
  <c r="A57" i="6"/>
  <c r="E56" i="6"/>
  <c r="D56" i="6"/>
  <c r="C56" i="6"/>
  <c r="B56" i="6"/>
  <c r="A56" i="6"/>
  <c r="E55" i="6"/>
  <c r="D55" i="6"/>
  <c r="C55" i="6"/>
  <c r="B55" i="6"/>
  <c r="A55" i="6"/>
  <c r="E54" i="6"/>
  <c r="D54" i="6"/>
  <c r="C54" i="6"/>
  <c r="B54" i="6"/>
  <c r="A54" i="6"/>
  <c r="E53" i="6"/>
  <c r="D53" i="6"/>
  <c r="C53" i="6"/>
  <c r="B53" i="6"/>
  <c r="A53" i="6"/>
  <c r="E52" i="6"/>
  <c r="D52" i="6"/>
  <c r="C52" i="6"/>
  <c r="B52" i="6"/>
  <c r="A52" i="6"/>
  <c r="E51" i="6"/>
  <c r="D51" i="6"/>
  <c r="C51" i="6"/>
  <c r="B51" i="6"/>
  <c r="A51" i="6"/>
  <c r="E50" i="6"/>
  <c r="D50" i="6"/>
  <c r="C50" i="6"/>
  <c r="B50" i="6"/>
  <c r="A50" i="6"/>
  <c r="E49" i="6"/>
  <c r="D49" i="6"/>
  <c r="C49" i="6"/>
  <c r="B49" i="6"/>
  <c r="A49" i="6"/>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B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A6" i="6"/>
  <c r="E5" i="6"/>
  <c r="D5" i="6"/>
  <c r="C5" i="6"/>
  <c r="B5" i="6"/>
  <c r="A5" i="6"/>
  <c r="H3" i="4"/>
  <c r="G3" i="4"/>
  <c r="F3" i="4"/>
  <c r="E3" i="4"/>
  <c r="D3" i="4"/>
  <c r="C3" i="4"/>
  <c r="B3" i="4"/>
  <c r="A3" i="4"/>
  <c r="D139"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OpenL</author>
  </authors>
  <commentList>
    <comment ref="A3" authorId="0" shapeId="0" xr:uid="{00000000-0006-0000-0200-000001000000}">
      <text>
        <r>
          <rPr>
            <sz val="11"/>
            <color theme="1"/>
            <rFont val="Calibri"/>
            <family val="2"/>
            <scheme val="minor"/>
          </rPr>
          <t>Được phép chèn thêm hàng sau hàng này</t>
        </r>
      </text>
    </comment>
    <comment ref="A4" authorId="0" shapeId="0" xr:uid="{00000000-0006-0000-0200-000002000000}">
      <text>
        <r>
          <rPr>
            <sz val="11"/>
            <color theme="1"/>
            <rFont val="Calibri"/>
            <family val="2"/>
            <scheme val="minor"/>
          </rPr>
          <t>Được phép chèn thêm hàng sau hàng này</t>
        </r>
      </text>
    </comment>
  </commentList>
</comments>
</file>

<file path=xl/sharedStrings.xml><?xml version="1.0" encoding="utf-8"?>
<sst xmlns="http://schemas.openxmlformats.org/spreadsheetml/2006/main" count="1464" uniqueCount="789">
  <si>
    <t>STT</t>
  </si>
  <si>
    <t>Ghi chú</t>
  </si>
  <si>
    <t>Kính gửi: Ủy ban Chứng khoán Nhà nước</t>
  </si>
  <si>
    <t>Mã sheet</t>
  </si>
  <si>
    <t>Nội dung</t>
  </si>
  <si>
    <t/>
  </si>
  <si>
    <t>Thông tư số 334/2016/TT-BTC ngày 27/12/2016 của Bộ Tài chính</t>
  </si>
  <si>
    <t>THÔNG TIN KIỂM TOÁN</t>
  </si>
  <si>
    <t>KT_06618</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</si>
  <si>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</si>
  <si>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</si>
  <si>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</si>
  <si>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</si>
  <si>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</si>
  <si>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</si>
  <si>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</si>
  <si>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</si>
  <si>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</si>
  <si>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</si>
  <si>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</si>
  <si>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</si>
  <si>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</si>
  <si>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</si>
  <si>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</si>
  <si>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</si>
  <si>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</si>
  <si>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Người lập biểu</t>
  </si>
  <si>
    <t>Kế toán trưởng</t>
  </si>
  <si>
    <t>Giám đốc</t>
  </si>
  <si>
    <t>(Ký, họ tên)</t>
  </si>
  <si>
    <t>(Ký, họ tên, đóng dấu)</t>
  </si>
  <si>
    <t>Người đại diện KT</t>
  </si>
  <si>
    <t>Chức vụ</t>
  </si>
  <si>
    <t>Giấy chứng nhận</t>
  </si>
  <si>
    <t>Người kiểm toán</t>
  </si>
  <si>
    <t>Ngày kiểm toán</t>
  </si>
  <si>
    <t>Ý kiến kiểm toán</t>
  </si>
  <si>
    <t>...</t>
  </si>
  <si>
    <t>Chỉ tiêu</t>
  </si>
  <si>
    <t>Mã số</t>
  </si>
  <si>
    <t>Thuyết minh</t>
  </si>
  <si>
    <t>Số cuối năm</t>
  </si>
  <si>
    <t>Số đầu năm</t>
  </si>
  <si>
    <t xml:space="preserve"> Đơn vị tính: Đồng Việt Nam</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</si>
  <si>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</si>
  <si>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</si>
  <si>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</si>
  <si>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</si>
  <si>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</si>
  <si>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</si>
  <si>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</si>
  <si>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</si>
  <si>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</si>
  <si>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</si>
  <si>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</si>
  <si>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213
</t>
  </si>
  <si>
    <t xml:space="preserve">227
</t>
  </si>
  <si>
    <t xml:space="preserve">250
</t>
  </si>
  <si>
    <t xml:space="preserve">255
</t>
  </si>
  <si>
    <t xml:space="preserve">420
</t>
  </si>
  <si>
    <t xml:space="preserve">315
</t>
  </si>
  <si>
    <t xml:space="preserve">317
</t>
  </si>
  <si>
    <t xml:space="preserve">341
</t>
  </si>
  <si>
    <t xml:space="preserve">357
</t>
  </si>
  <si>
    <t>1. Các khoản phải thu dài hạn</t>
  </si>
  <si>
    <t xml:space="preserve">  - Đánh giá TSCĐVH theo giá trị hợp lý</t>
  </si>
  <si>
    <t>5. Tài sản dài hạn khác</t>
  </si>
  <si>
    <t xml:space="preserve">414
</t>
  </si>
  <si>
    <t xml:space="preserve">416
</t>
  </si>
  <si>
    <t xml:space="preserve">417.1
</t>
  </si>
  <si>
    <t xml:space="preserve">417
</t>
  </si>
  <si>
    <t xml:space="preserve">417.2
</t>
  </si>
  <si>
    <t>3. Tài sản thuế thu nhập hoãn lại</t>
  </si>
  <si>
    <t>I. Nợ phải trả ngắn hạn</t>
  </si>
  <si>
    <t xml:space="preserve">1.1. Vay ngắn hạn </t>
  </si>
  <si>
    <t>17.Các khoản phải trả, phải nộp khác ngắn hạn</t>
  </si>
  <si>
    <t>1.1.Vay dài hạn</t>
  </si>
  <si>
    <t xml:space="preserve"> 6. Người mua trả tiền trước dài hạn</t>
  </si>
  <si>
    <t>11. Các khoản phải trả, phải nộp khác dài hạn</t>
  </si>
  <si>
    <t xml:space="preserve">TỔNG CỘNG NỢ  VÀ VỐN CHỦ SỞ HỮU </t>
  </si>
  <si>
    <t>117.2</t>
  </si>
  <si>
    <t>131</t>
  </si>
  <si>
    <t xml:space="preserve">138
</t>
  </si>
  <si>
    <t xml:space="preserve">200
</t>
  </si>
  <si>
    <t>210</t>
  </si>
  <si>
    <t xml:space="preserve">411.4
</t>
  </si>
  <si>
    <t>2.4. Đầu tư dài hạn khác</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</si>
  <si>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</si>
  <si>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</si>
  <si>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</si>
  <si>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</si>
  <si>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</si>
  <si>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</si>
  <si>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</si>
  <si>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</si>
  <si>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</si>
  <si>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</si>
  <si>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</si>
  <si>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 xml:space="preserve">212
</t>
  </si>
  <si>
    <t>II. Nợ phải trả dài hạn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</si>
  <si>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</si>
  <si>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</si>
  <si>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</si>
  <si>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</si>
  <si>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</si>
  <si>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</si>
  <si>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</si>
  <si>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</si>
  <si>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</si>
  <si>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</si>
  <si>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</si>
  <si>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</si>
  <si>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</si>
  <si>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</si>
  <si>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</si>
  <si>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</si>
  <si>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</si>
  <si>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</si>
  <si>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</si>
  <si>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</si>
  <si>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</si>
  <si>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</si>
  <si>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</si>
  <si>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</si>
  <si>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</si>
  <si>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</si>
  <si>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</si>
  <si>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</si>
  <si>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</si>
  <si>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</si>
  <si>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</si>
  <si>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</si>
  <si>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</si>
  <si>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</si>
  <si>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</si>
  <si>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</si>
  <si>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</si>
  <si>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</si>
  <si>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</si>
  <si>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1. Cầm cố, thế chấp, ký quỹ, ký cược dài hạn</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</si>
  <si>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</si>
  <si>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</si>
  <si>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</si>
  <si>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</si>
  <si>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</si>
  <si>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</si>
  <si>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</si>
  <si>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440</t>
  </si>
  <si>
    <t>(440 = 300 + 400)</t>
  </si>
  <si>
    <t>1.2. Nợ thuê tài chính ngắn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</si>
  <si>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</si>
  <si>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</si>
  <si>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</si>
  <si>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</si>
  <si>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</si>
  <si>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</si>
  <si>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</si>
  <si>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</si>
  <si>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</si>
  <si>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</si>
  <si>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</si>
  <si>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</si>
  <si>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</si>
  <si>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</si>
  <si>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</si>
  <si>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</si>
  <si>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</si>
  <si>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</si>
  <si>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</si>
  <si>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</si>
  <si>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</si>
  <si>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</si>
  <si>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</si>
  <si>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</si>
  <si>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</si>
  <si>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</si>
  <si>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</si>
  <si>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</si>
  <si>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</si>
  <si>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</si>
  <si>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</si>
  <si>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</si>
  <si>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</si>
  <si>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</si>
  <si>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6. Phải trả hoạt động giao dịch chứng khoán</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</si>
  <si>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</si>
  <si>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</si>
  <si>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</si>
  <si>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</si>
  <si>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</si>
  <si>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</si>
  <si>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</si>
  <si>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413
</t>
  </si>
  <si>
    <t xml:space="preserve">415
</t>
  </si>
  <si>
    <t>2. Chi phí trả trước dài hạn</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</si>
  <si>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</si>
  <si>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</si>
  <si>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</si>
  <si>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</si>
  <si>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</si>
  <si>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</si>
  <si>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</si>
  <si>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112
</t>
  </si>
  <si>
    <t>114</t>
  </si>
  <si>
    <t>117</t>
  </si>
  <si>
    <t>122</t>
  </si>
  <si>
    <t xml:space="preserve">129
</t>
  </si>
  <si>
    <t>134</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</si>
  <si>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</si>
  <si>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</si>
  <si>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</si>
  <si>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</si>
  <si>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</si>
  <si>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</si>
  <si>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</si>
  <si>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</si>
  <si>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</si>
  <si>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</si>
  <si>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</si>
  <si>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</si>
  <si>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</si>
  <si>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212.3
</t>
  </si>
  <si>
    <t xml:space="preserve">220
</t>
  </si>
  <si>
    <t xml:space="preserve">222
</t>
  </si>
  <si>
    <t xml:space="preserve">223a
</t>
  </si>
  <si>
    <t xml:space="preserve">223b
</t>
  </si>
  <si>
    <t xml:space="preserve">224
</t>
  </si>
  <si>
    <t xml:space="preserve">226a
</t>
  </si>
  <si>
    <t xml:space="preserve">228
</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</si>
  <si>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</si>
  <si>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</si>
  <si>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</si>
  <si>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</si>
  <si>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</si>
  <si>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</si>
  <si>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</si>
  <si>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</si>
  <si>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</si>
  <si>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</si>
  <si>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</si>
  <si>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1. Vay và nợ thuê tài chính dài hạn</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</si>
  <si>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</si>
  <si>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</si>
  <si>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</si>
  <si>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</si>
  <si>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</si>
  <si>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</si>
  <si>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</si>
  <si>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</si>
  <si>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</si>
  <si>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</si>
  <si>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</si>
  <si>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</si>
  <si>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</si>
  <si>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</si>
  <si>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</si>
  <si>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</si>
  <si>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</si>
  <si>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</si>
  <si>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 xml:space="preserve">332
</t>
  </si>
  <si>
    <t xml:space="preserve">344
</t>
  </si>
  <si>
    <t xml:space="preserve">411.1
</t>
  </si>
  <si>
    <t xml:space="preserve">411.1b
</t>
  </si>
  <si>
    <t>3. Chi phí trả trước ngắn hạn</t>
  </si>
  <si>
    <t>9. Dự phòng suy giảm giá trị tài sản ngắn hạn khác</t>
  </si>
  <si>
    <t>2.1.Các khoản đầu tư nắm giữ đến ngày đáo hạn</t>
  </si>
  <si>
    <t xml:space="preserve">221
</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</si>
  <si>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</si>
  <si>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</si>
  <si>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</si>
  <si>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</si>
  <si>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</si>
  <si>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</si>
  <si>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</si>
  <si>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I. Vốn chủ sở hữu</t>
  </si>
  <si>
    <t>1.2. Thặng dư vốn cổ phần</t>
  </si>
  <si>
    <t>2. Chênh lệch đánh giá tài sản theo giá trị hợp lý</t>
  </si>
  <si>
    <t>6. Các Quỹ khác thuộc vốn chủ sở hữu</t>
  </si>
  <si>
    <t xml:space="preserve">II. Nguồn kinh phí và quỹ khác </t>
  </si>
  <si>
    <t>110</t>
  </si>
  <si>
    <t>111.1</t>
  </si>
  <si>
    <t>116</t>
  </si>
  <si>
    <t xml:space="preserve">117.1
</t>
  </si>
  <si>
    <t xml:space="preserve">a. Cổ phiếu phổ thông có quyền biểu quyết </t>
  </si>
  <si>
    <t xml:space="preserve">1.4. Vốn khác của chủ sở hữu </t>
  </si>
  <si>
    <t>5. Quỹ dự phòng tài chính và rủi ro nghiệp vụ</t>
  </si>
  <si>
    <t>1</t>
  </si>
  <si>
    <t>TÀI SẢN</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</si>
  <si>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</si>
  <si>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</si>
  <si>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</si>
  <si>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</si>
  <si>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</si>
  <si>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</si>
  <si>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</si>
  <si>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</si>
  <si>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</si>
  <si>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</si>
  <si>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</si>
  <si>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</si>
  <si>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7. Phải trả về lỗi giao dịch các tài sản tài chính</t>
  </si>
  <si>
    <t>8.  Phải trả người bán ngắn hạn</t>
  </si>
  <si>
    <t>9. Người mua trả tiền trước ngắn hạn</t>
  </si>
  <si>
    <t>10. Thuế và các khoản phải nộp Nhà nước</t>
  </si>
  <si>
    <t>11. Phải trả người lao động</t>
  </si>
  <si>
    <t>12.Các khoản trích nộp phúc lợi nhân viên</t>
  </si>
  <si>
    <t>21.2</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</si>
  <si>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</si>
  <si>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</si>
  <si>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</si>
  <si>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</si>
  <si>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</si>
  <si>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</si>
  <si>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</si>
  <si>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</si>
  <si>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</si>
  <si>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</si>
  <si>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</si>
  <si>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</si>
  <si>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</si>
  <si>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</si>
  <si>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 xml:space="preserve">13.Tài sản tài chính được hưởng quyền của CTCK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</si>
  <si>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</si>
  <si>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</si>
  <si>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</si>
  <si>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</si>
  <si>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</si>
  <si>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</si>
  <si>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</si>
  <si>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</si>
  <si>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</si>
  <si>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</si>
  <si>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4. Tài sản tài chính sửa lỗi giao dịch của Nhà đầu tư
</t>
  </si>
  <si>
    <t xml:space="preserve">5.Tài sản tài chính chưa lưu ký tại VSD của Nhà đầu tư
</t>
  </si>
  <si>
    <t xml:space="preserve">a.Tài sản tài chính giao dịch tự do chuyển nhượng
</t>
  </si>
  <si>
    <t xml:space="preserve">c.Tài sản tài chính giao dịch cầm cố
</t>
  </si>
  <si>
    <t xml:space="preserve">f. Tài sản tài chính chờ cho vay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</si>
  <si>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</si>
  <si>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</si>
  <si>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</si>
  <si>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</si>
  <si>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7.3. Tiền gửi bù trừ và thanh toán giao dịch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</si>
  <si>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</si>
  <si>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</si>
  <si>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</si>
  <si>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</si>
  <si>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</si>
  <si>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</si>
  <si>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</si>
  <si>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</si>
  <si>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21</t>
  </si>
  <si>
    <t>6</t>
  </si>
  <si>
    <t>7</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</si>
  <si>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</si>
  <si>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</si>
  <si>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</si>
  <si>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</si>
  <si>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</si>
  <si>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</si>
  <si>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</si>
  <si>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</si>
  <si>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</si>
  <si>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</si>
  <si>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</si>
  <si>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</si>
  <si>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</si>
  <si>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</si>
  <si>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10</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</si>
  <si>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</si>
  <si>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</si>
  <si>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</si>
  <si>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</si>
  <si>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</si>
  <si>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</si>
  <si>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</si>
  <si>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</si>
  <si>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8. Tài sản tài chính niêm yết/đăng ký giao dịch tại VSD của CTCK 
</t>
  </si>
  <si>
    <t xml:space="preserve">12. Tài sản tài chính chưa lưu ký tại VSD của CTCK 
</t>
  </si>
  <si>
    <t xml:space="preserve">29
</t>
  </si>
  <si>
    <t xml:space="preserve">21.3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</si>
  <si>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</si>
  <si>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</si>
  <si>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</si>
  <si>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</si>
  <si>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</si>
  <si>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</si>
  <si>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</si>
  <si>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</si>
  <si>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</si>
  <si>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</si>
  <si>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</si>
  <si>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</si>
  <si>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</si>
  <si>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6.Tài sản tài chính được hưởng quyền của Nhà đầu tư
</t>
  </si>
  <si>
    <t>CHỈ TIÊU</t>
  </si>
  <si>
    <t>Năm nay</t>
  </si>
  <si>
    <t>Năm trước</t>
  </si>
  <si>
    <t xml:space="preserve">Đơn vị tính: Đồng Việt Nam </t>
  </si>
  <si>
    <t xml:space="preserve">1.1
</t>
  </si>
  <si>
    <t xml:space="preserve">3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</si>
  <si>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</si>
  <si>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</si>
  <si>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</si>
  <si>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</si>
  <si>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</si>
  <si>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</si>
  <si>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</si>
  <si>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</si>
  <si>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</si>
  <si>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</si>
  <si>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b.    Chênh lệch giảm đánh giá lại các TSTC FVTPL
</t>
  </si>
  <si>
    <t xml:space="preserve">2.8. Chi phí nghiệp vụ bảo lãnh, đại lý phát hành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</si>
  <si>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</si>
  <si>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</si>
  <si>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</si>
  <si>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</si>
  <si>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</si>
  <si>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 xml:space="preserve">70
</t>
  </si>
  <si>
    <t xml:space="preserve">71
</t>
  </si>
  <si>
    <t xml:space="preserve">100.2
</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</si>
  <si>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</si>
  <si>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</si>
  <si>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</si>
  <si>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</si>
  <si>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</si>
  <si>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</si>
  <si>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</si>
  <si>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</si>
  <si>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</si>
  <si>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</si>
  <si>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</si>
  <si>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26</t>
  </si>
  <si>
    <t xml:space="preserve">42
</t>
  </si>
  <si>
    <t xml:space="preserve">55
</t>
  </si>
  <si>
    <t xml:space="preserve">60
</t>
  </si>
  <si>
    <t xml:space="preserve">54
</t>
  </si>
  <si>
    <t xml:space="preserve">92
</t>
  </si>
  <si>
    <t xml:space="preserve">302
</t>
  </si>
  <si>
    <t>502</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</si>
  <si>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</si>
  <si>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</si>
  <si>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</si>
  <si>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</si>
  <si>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</si>
  <si>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</si>
  <si>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</si>
  <si>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</si>
  <si>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</si>
  <si>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</si>
  <si>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304</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</si>
  <si>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</si>
  <si>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</si>
  <si>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</si>
  <si>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</si>
  <si>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</si>
  <si>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 xml:space="preserve">4.1. Chênh lệch lỗ tỷ giá hối đoái đã và chưa thực hiện
</t>
  </si>
  <si>
    <t xml:space="preserve">4.2. Chi phí lãi vay
</t>
  </si>
  <si>
    <t xml:space="preserve">4.5. Chi phí tài chính khác
</t>
  </si>
  <si>
    <t xml:space="preserve">IX. TỔNG LỢI NHUẬN KẾ TOÁN TRƯỚC THUẾ (90=70 + 80)
</t>
  </si>
  <si>
    <t xml:space="preserve">9.1. Lợi nhuận đã thực hiện
</t>
  </si>
  <si>
    <t xml:space="preserve">X. CHI PHÍ THUẾ TNDN
</t>
  </si>
  <si>
    <t xml:space="preserve">1.3
</t>
  </si>
  <si>
    <t xml:space="preserve">40
</t>
  </si>
  <si>
    <t xml:space="preserve">41
</t>
  </si>
  <si>
    <t xml:space="preserve">50
</t>
  </si>
  <si>
    <t xml:space="preserve">52
</t>
  </si>
  <si>
    <t xml:space="preserve">60
</t>
  </si>
  <si>
    <t xml:space="preserve">72
</t>
  </si>
  <si>
    <t xml:space="preserve">80
</t>
  </si>
  <si>
    <t xml:space="preserve">90
</t>
  </si>
  <si>
    <t xml:space="preserve">V. CHI PHÍ BÁN HÀNG
</t>
  </si>
  <si>
    <t xml:space="preserve">10.1.Chi phí thuế TNDN hiện hành
</t>
  </si>
  <si>
    <t xml:space="preserve">XII. THU NHẬP (LỖ) TOÀN DIỆN KHÁC SAU THUẾ TNDN
</t>
  </si>
  <si>
    <t xml:space="preserve">501
</t>
  </si>
  <si>
    <t xml:space="preserve">1.1. Lãi từ các tài sản tài chính ghi nhận thông qua lãi/lỗ (FVTPL)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</si>
  <si>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</si>
  <si>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</si>
  <si>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</si>
  <si>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</si>
  <si>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</si>
  <si>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</si>
  <si>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</si>
  <si>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</si>
  <si>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</si>
  <si>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</si>
  <si>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</si>
  <si>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</si>
  <si>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</si>
  <si>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</si>
  <si>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</si>
  <si>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</si>
  <si>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c. Cổ tức, tiền lãi phát sinh từ tài sản tài chính FVTPL
</t>
  </si>
  <si>
    <t xml:space="preserve">2.10. Chi phí nghiệp vụ lưu ký chứng khoán
</t>
  </si>
  <si>
    <t xml:space="preserve">2.11. Chi phí hoạt động tư vấn tài chính
</t>
  </si>
  <si>
    <t xml:space="preserve">2.9. Chi phí nghiệp vụ tư vấn đầu tư chứng khoán
</t>
  </si>
  <si>
    <t xml:space="preserve">VI. CHI PHÍ QUẢN LÝ CÔNG TY CHỨNG KHOÁN
</t>
  </si>
  <si>
    <t xml:space="preserve">VIII. THU NHẬP KHÁC VÀ CHI PHÍ KHÁC 
</t>
  </si>
  <si>
    <t xml:space="preserve">8.2. Chi phí khác
</t>
  </si>
  <si>
    <t xml:space="preserve">Cộng kết quả hoạt động khác (80= 71-72)
</t>
  </si>
  <si>
    <t xml:space="preserve">2.4. Chi phí dự phòng tài sản tài chính, xử lý tổn thất các khoản phải thu khó đòi và lỗ suy giảm tài sản tài chính và chi phí đi vay của các khoản cho vay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</si>
  <si>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</si>
  <si>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</si>
  <si>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</si>
  <si>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</si>
  <si>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</si>
  <si>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</si>
  <si>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</si>
  <si>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</si>
  <si>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</si>
  <si>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</si>
  <si>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2.1. Lỗ các tài sản tài chính ghi nhận thông qua lãi/lỗ (FVTPL)
</t>
  </si>
  <si>
    <t xml:space="preserve">Tổng thu nhập toàn diện
</t>
  </si>
  <si>
    <t xml:space="preserve">(Theo phương pháp trực tiếp) </t>
  </si>
  <si>
    <t>Đơn vị tính: Đồng Việt Nam</t>
  </si>
  <si>
    <t xml:space="preserve">2.Tiền đã thu từ bán các tài sản tài chính
</t>
  </si>
  <si>
    <t xml:space="preserve">7. Tiền chi trả Tổ chức cung cấp dịch vụ cho CTCK 
</t>
  </si>
  <si>
    <t xml:space="preserve">2.Tiền thu từ thanh lý, nhượng bán TSCĐ, BĐSĐT  và các tài sản khác
</t>
  </si>
  <si>
    <t xml:space="preserve">III. Lưu chuyển tiền từ hoạt động tài chính
</t>
  </si>
  <si>
    <t xml:space="preserve">3.Tiền chi đầu tư góp vốn vào công ty con, công  ty liên doanh, liên kết và đầu tư khác
</t>
  </si>
  <si>
    <t xml:space="preserve">1.Tiền đã chi mua các tài sản tài chính
</t>
  </si>
  <si>
    <t xml:space="preserve">4.Tiền thu hồi đầu tư góp vốn vào công ty con, công ty liên doanh, liên kết và đầu tư khác
</t>
  </si>
  <si>
    <t>24</t>
  </si>
  <si>
    <t>23</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</si>
  <si>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</si>
  <si>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</si>
  <si>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</si>
  <si>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</si>
  <si>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</si>
  <si>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25</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</si>
  <si>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</si>
  <si>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</si>
  <si>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</si>
  <si>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</si>
  <si>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</si>
  <si>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</si>
  <si>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</si>
  <si>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</si>
  <si>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</si>
  <si>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Ảnh hưởng của thay đổi tỷ giá hối đoái quy đổi ngoại tệ
</t>
  </si>
  <si>
    <t>33</t>
  </si>
  <si>
    <t xml:space="preserve">63
</t>
  </si>
  <si>
    <t>20</t>
  </si>
  <si>
    <t>32</t>
  </si>
  <si>
    <t xml:space="preserve">33.2
</t>
  </si>
  <si>
    <t xml:space="preserve">34.3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</si>
  <si>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</si>
  <si>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</si>
  <si>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</si>
  <si>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</si>
  <si>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</si>
  <si>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</si>
  <si>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</si>
  <si>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</si>
  <si>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</si>
  <si>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</si>
  <si>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</si>
  <si>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</si>
  <si>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</si>
  <si>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</si>
  <si>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</si>
  <si>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</si>
  <si>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</si>
  <si>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</si>
  <si>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</si>
  <si>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</si>
  <si>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</si>
  <si>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</si>
  <si>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</si>
  <si>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</si>
  <si>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</si>
  <si>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</si>
  <si>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8. Tiền chi trả cho người lao động
</t>
  </si>
  <si>
    <t xml:space="preserve">Lưu chuyển tiền thuần từ hoạt động tài chính
</t>
  </si>
  <si>
    <t>22</t>
  </si>
  <si>
    <t xml:space="preserve">VI. Tiền và các khoản tương đương tiền cuối kỳ (70 = 50 + 60)
</t>
  </si>
  <si>
    <t>Theo phương pháp trực tiếp</t>
  </si>
  <si>
    <t>Tăng/giảm tiền thuần trong kỳ</t>
  </si>
  <si>
    <t>37</t>
  </si>
  <si>
    <t>40</t>
  </si>
  <si>
    <t>42</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</si>
  <si>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</si>
  <si>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</si>
  <si>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</si>
  <si>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</si>
  <si>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</si>
  <si>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</si>
  <si>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</si>
  <si>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</si>
  <si>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</si>
  <si>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</si>
  <si>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</si>
  <si>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</si>
  <si>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</si>
  <si>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</si>
  <si>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34</t>
  </si>
  <si>
    <t>35</t>
  </si>
  <si>
    <t>47</t>
  </si>
  <si>
    <t xml:space="preserve">B
</t>
  </si>
  <si>
    <t xml:space="preserve">6. Chi trả vay Quỹ Hỗ trợ thanh toán
</t>
  </si>
  <si>
    <t>41</t>
  </si>
  <si>
    <t xml:space="preserve">III. Tiền và các khoản tương đương tiền cuối kỳ của khách hàng (40 = 20 + 30)
</t>
  </si>
  <si>
    <t>44</t>
  </si>
  <si>
    <t>45</t>
  </si>
  <si>
    <t xml:space="preserve">3. Tiền thu bán chứng khoán ủy thác của khách hàng
</t>
  </si>
  <si>
    <t xml:space="preserve">4.Tiền chi mua chứng khoán ủy thác của khách hàng
</t>
  </si>
  <si>
    <t xml:space="preserve">- Tiền gửi bù trừ và thanh toán giao dịch chứng khoán
</t>
  </si>
  <si>
    <t xml:space="preserve">I. Lưu chuyển tiền hoạt động môi giới, ủy thác của khách hàng
</t>
  </si>
  <si>
    <t xml:space="preserve">7. Nhận tiền gửi để thanh toán giao dịch chứng khoán của khách hàng 
</t>
  </si>
  <si>
    <t xml:space="preserve">1. Tiền thu bán chứng khoán môi giới cho khách hàng
</t>
  </si>
  <si>
    <t xml:space="preserve">5. Thu vay Quỹ Hỗ trợ thanh toán
</t>
  </si>
  <si>
    <t xml:space="preserve">11. Chi lỗi giao dịch chứng khoán
</t>
  </si>
  <si>
    <t xml:space="preserve">- Tiền gửi tổng hợp giao dịch chứng khoán cho khách hàng 
</t>
  </si>
  <si>
    <t>36</t>
  </si>
  <si>
    <t>(Theo phương pháp gián tiếp)</t>
  </si>
  <si>
    <t xml:space="preserve">101.2
</t>
  </si>
  <si>
    <t xml:space="preserve">2. Tiền chi trả vốn góp cho chủ sở hữu, mua lại cổ phiếu phát hành
</t>
  </si>
  <si>
    <t xml:space="preserve">4.2. Tiền chi trả nợ gốc vay tài sản tài chính
</t>
  </si>
  <si>
    <t>38</t>
  </si>
  <si>
    <t>48</t>
  </si>
  <si>
    <t xml:space="preserve">- Lỗ suy giảm giá trị Các khoản cho vay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</si>
  <si>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</si>
  <si>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</si>
  <si>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</si>
  <si>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</si>
  <si>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74.1
</t>
  </si>
  <si>
    <t>90</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</si>
  <si>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</si>
  <si>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</si>
  <si>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</si>
  <si>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</si>
  <si>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</si>
  <si>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</si>
  <si>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</si>
  <si>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 Các khoản tương đương tiền
</t>
  </si>
  <si>
    <t xml:space="preserve">- Khấu hao TSCĐ
</t>
  </si>
  <si>
    <t xml:space="preserve">(- Lãi) hoặc (+ lỗ) chênh lệch tỷ giá hối đoái chưa thực hiện.
</t>
  </si>
  <si>
    <t xml:space="preserve">(-) Tăng, (+) giảm phải thu bán các tài sản tài chính
</t>
  </si>
  <si>
    <t>101</t>
  </si>
  <si>
    <t xml:space="preserve">103.1
</t>
  </si>
  <si>
    <t>103</t>
  </si>
  <si>
    <t xml:space="preserve">- Tiền 
</t>
  </si>
  <si>
    <t xml:space="preserve">VI. Tiền và các khoản tương đương tiền cuối kỳ
</t>
  </si>
  <si>
    <t xml:space="preserve">- Lãi, lỗ từ hoạt động đầu tư 
</t>
  </si>
  <si>
    <t xml:space="preserve">-  Tăng (giảm) tài sản tài chính sẵn sàng để bán AFS 
</t>
  </si>
  <si>
    <t>70</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</si>
  <si>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</si>
  <si>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</si>
  <si>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</si>
  <si>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</si>
  <si>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</si>
  <si>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</si>
  <si>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</si>
  <si>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</si>
  <si>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</si>
  <si>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</si>
  <si>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</si>
  <si>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</si>
  <si>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 xml:space="preserve">- Lỗ về ghi nhận chênh lệch đánh giá theo giá trị hợp lý TSTC sẵn sàng để bán AFS khi phân loại lại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</si>
  <si>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</si>
  <si>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</si>
  <si>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</si>
  <si>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</si>
  <si>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</si>
  <si>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</si>
  <si>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</si>
  <si>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</si>
  <si>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</si>
  <si>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</si>
  <si>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</si>
  <si>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</si>
  <si>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4. Tiền thu hồi các khoản đầu tư vào công ty con, công ty liên doanh, liên kết và đầu tư khác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</si>
  <si>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</si>
  <si>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</si>
  <si>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</si>
  <si>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</si>
  <si>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</si>
  <si>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51</t>
  </si>
  <si>
    <t xml:space="preserve">76
</t>
  </si>
  <si>
    <t xml:space="preserve">5. Tiền chi trả nợ gốc thuê tài chính
</t>
  </si>
  <si>
    <t xml:space="preserve">103.2
</t>
  </si>
  <si>
    <t>- Ảnh hưởng của thay đổi tỷ giá hối đoái quy đổi ngoại tệ</t>
  </si>
  <si>
    <t>15</t>
  </si>
  <si>
    <t>62</t>
  </si>
  <si>
    <t xml:space="preserve">73.1
</t>
  </si>
  <si>
    <t xml:space="preserve">74.2
</t>
  </si>
  <si>
    <t xml:space="preserve">101.1
</t>
  </si>
  <si>
    <t>14</t>
  </si>
  <si>
    <t>16</t>
  </si>
  <si>
    <t xml:space="preserve">74
</t>
  </si>
  <si>
    <t xml:space="preserve">- Tiền chi khác cho hoạt động kinh doanh
</t>
  </si>
  <si>
    <t xml:space="preserve">1. Tiền chi để mua sắm, xây dựng TSCĐ, BĐSĐT và các tài sản khác
</t>
  </si>
  <si>
    <t xml:space="preserve">3. Tiền vay gốc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</si>
  <si>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</si>
  <si>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</si>
  <si>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</si>
  <si>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</si>
  <si>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</si>
  <si>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</si>
  <si>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</si>
  <si>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</si>
  <si>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</si>
  <si>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</si>
  <si>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</si>
  <si>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</si>
  <si>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</si>
  <si>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</si>
  <si>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</si>
  <si>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III. Tiền và các khoản tương đương tiền cuối kỳ của khách hàng
</t>
  </si>
  <si>
    <t xml:space="preserve">4. Tiền chi bán chứng khoán ủy thác của khách hàng
</t>
  </si>
  <si>
    <t xml:space="preserve">-Tiền gửi của Tổ chức phát hành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</si>
  <si>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</si>
  <si>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</si>
  <si>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</si>
  <si>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</si>
  <si>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</si>
  <si>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</si>
  <si>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</si>
  <si>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</si>
  <si>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</si>
  <si>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</si>
  <si>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Số dư đầu năm</t>
  </si>
  <si>
    <t>Số dư cuối năm</t>
  </si>
  <si>
    <t>Mã chỉ tiêu</t>
  </si>
  <si>
    <t>Số tăng/giảm</t>
  </si>
  <si>
    <t>N</t>
  </si>
  <si>
    <t>N-1</t>
  </si>
  <si>
    <t>Tăng</t>
  </si>
  <si>
    <t>Giảm</t>
  </si>
  <si>
    <t xml:space="preserve">26625
</t>
  </si>
  <si>
    <t xml:space="preserve">26626
</t>
  </si>
  <si>
    <t xml:space="preserve">26627
</t>
  </si>
  <si>
    <t xml:space="preserve">26634
</t>
  </si>
  <si>
    <t xml:space="preserve">26635
</t>
  </si>
  <si>
    <t xml:space="preserve">26641
</t>
  </si>
  <si>
    <t xml:space="preserve">26645
</t>
  </si>
  <si>
    <t xml:space="preserve">4. Lãi, lỗ toàn diện khác
</t>
  </si>
  <si>
    <t xml:space="preserve">26638
</t>
  </si>
  <si>
    <t xml:space="preserve">26640
</t>
  </si>
  <si>
    <t xml:space="preserve">26642
</t>
  </si>
  <si>
    <t xml:space="preserve">26644
</t>
  </si>
  <si>
    <t xml:space="preserve">26646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</si>
  <si>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</si>
  <si>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</si>
  <si>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</si>
  <si>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</si>
  <si>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</si>
  <si>
    <t xml:space="preserve">26624
</t>
  </si>
  <si>
    <t xml:space="preserve">26630
</t>
  </si>
  <si>
    <t xml:space="preserve">26632
</t>
  </si>
  <si>
    <t xml:space="preserve">26633
</t>
  </si>
  <si>
    <t xml:space="preserve">2. Lãi, lỗ đánh giá lại TĐ theo mô hình giá trị hợp lý
</t>
  </si>
  <si>
    <t xml:space="preserve">3. Lãi, lỗ chênh lệch tỷ giá của hoạt động tại nước ngoài
</t>
  </si>
  <si>
    <t xml:space="preserve">Tổng cộng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</si>
  <si>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</si>
  <si>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</si>
  <si>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</si>
  <si>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</si>
  <si>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</si>
  <si>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</si>
  <si>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8.1. Lợi nhuận sau thuế đã thực hiện
</t>
  </si>
  <si>
    <t xml:space="preserve">3. Quỹ dự trữ bổ sung vốn điều lệ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</si>
  <si>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</si>
  <si>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</si>
  <si>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</si>
  <si>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</si>
  <si>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</si>
  <si>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</si>
  <si>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</si>
  <si>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</si>
  <si>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</si>
  <si>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</si>
  <si>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</si>
  <si>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 I. Biến động vốn chủ sở hữu
</t>
  </si>
  <si>
    <t>Công ty chứng khoán: Cổ Phần Chứng Khoán Bảo Việt</t>
  </si>
  <si>
    <t>Địa chỉ: Số 8 Lê Thái Tổ - Hoàn Kiếm - Hà nội</t>
  </si>
  <si>
    <t>Vũ Thị Thùy Linh</t>
  </si>
  <si>
    <t>Nguyễn Hồng Thủy</t>
  </si>
  <si>
    <t>Nhữ Đình Hòa</t>
  </si>
  <si>
    <t>Phó Tổng Giám Đốc</t>
  </si>
  <si>
    <t xml:space="preserve"> </t>
  </si>
  <si>
    <t>Saman Wijaya Bandara</t>
  </si>
  <si>
    <t>2036-2023-004-1</t>
  </si>
  <si>
    <t>Tại ngày 31 tháng 12 năm 2025</t>
  </si>
  <si>
    <t>BÁO CÁO TÀI CHÍNH RIÊNG LẺ NĂM 2025</t>
  </si>
  <si>
    <t>Năm 2025</t>
  </si>
  <si>
    <t>Huỳnh Nhật Hưng</t>
  </si>
  <si>
    <t>5040-2024-004-1</t>
  </si>
  <si>
    <t>Theo ý kiến của chúng tôi, báo cáo tài chính đã phản ánh trung thực và hợp lý, trên các khía cạnh trọng yếu, tình hình tài chính của Công ty tại ngày 31 tháng 12 năm 2025, cũng như kết quả hoạt động kinh doanh, tình hình lưu chuyển tiền tệ và tình hình biến động vốn chủ sở hữu cho năm tài chính kết thúc cùng ngày, phù hợp với các Chuẩn mực kế toán Việt Nam, Chế độ kế toán doanh nghiệp Việt Nam, các hướng dẫn kế toán áp dụng cho các công ty chứng khoán và các quy định pháp lý có liên quan đến việc lập và trình bày báo cáo tài chính.</t>
  </si>
  <si>
    <t>Lập, ngày  26 tháng 03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</si>
</sst>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_(* #,##0_);_(* \(#,##0\);_(* &quot;-&quot;??_);_(@_)"/>
  </numFmts>
  <fonts count="1983"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b/>
      <sz val="12"/>
      <color theme="1"/>
      <name val="Times New Roman"/>
      <family val="1"/>
    </font>
    <font>
      <i/>
      <sz val="12"/>
      <color theme="1"/>
      <name val="Times New Roman"/>
      <family val="1"/>
    </font>
    <font>
      <i/>
      <sz val="11"/>
      <name val="Times New Roman"/>
      <family val="1"/>
    </font>
    <font>
      <b/>
      <u/>
      <sz val="11"/>
      <color theme="1"/>
      <name val="Times New Roman"/>
      <family val="1"/>
    </font>
    <font>
      <sz val="13"/>
      <name val="Times New Roman"/>
    </font>
    <font>
      <sz val="11"/>
      <color indexed="0"/>
      <name val="Times New Roman"/>
    </font>
    <font>
      <b/>
      <sz val="11"/>
      <color indexed="0"/>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i/>
      <sz val="11"/>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4"/>
      <color indexed="9"/>
      <name val="Times New Roman"/>
    </font>
    <font>
      <i/>
      <sz val="14"/>
      <color indexed="8"/>
      <name val="Times New Roman"/>
    </font>
    <font>
      <b/>
      <sz val="14"/>
      <color indexed="9"/>
      <name val="Times New Roman"/>
    </font>
    <font>
      <b/>
      <sz val="16"/>
      <color indexed="8"/>
      <name val="Times New Roman"/>
    </font>
    <font>
      <i/>
      <sz val="14"/>
      <color indexed="8"/>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1"/>
      <color theme="1"/>
      <name val="Calibri"/>
      <family val="2"/>
      <scheme val="minor"/>
    </font>
    <font>
      <b/>
      <sz val="10"/>
      <name val="Arial"/>
      <family val="2"/>
    </font>
    <font>
      <i/>
      <sz val="10"/>
      <name val="Arial"/>
      <family val="2"/>
    </font>
    <font>
      <sz val="13"/>
      <color indexed="0"/>
      <name val="Times New Roman"/>
      <family val="1"/>
    </font>
    <font>
      <b/>
      <sz val="13"/>
      <name val="Times New Roman"/>
      <family val="1"/>
    </font>
    <font>
      <i/>
      <sz val="12"/>
      <color indexed="8"/>
      <name val="Times New Roman"/>
      <family val="1"/>
    </font>
  </fonts>
  <fills count="7">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9">
    <xf numFmtId="0" fontId="0" fillId="0" borderId="0"/>
    <xf numFmtId="0" fontId="1" fillId="0" borderId="0"/>
    <xf numFmtId="43" fontId="1" fillId="0" borderId="0" quotePrefix="1" applyFont="0" applyFill="0" applyBorder="0" applyAlignment="0">
      <protection locked="0"/>
    </xf>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quotePrefix="1" applyFont="0" applyFill="0" applyBorder="0" applyAlignment="0">
      <protection locked="0"/>
    </xf>
    <xf numFmtId="164" fontId="1" fillId="0" borderId="0" applyFont="0" applyFill="0" applyBorder="0" applyAlignment="0" applyProtection="0"/>
    <xf numFmtId="43" fontId="1977" fillId="0" borderId="0" applyFont="0" applyFill="0" applyBorder="0" applyAlignment="0" applyProtection="0"/>
  </cellStyleXfs>
  <cellXfs count="2003">
    <xf numFmtId="0" fontId="0" fillId="0" borderId="0" xfId="0"/>
    <xf numFmtId="0" fontId="2" fillId="0" borderId="0" xfId="0" applyFont="1"/>
    <xf numFmtId="0" fontId="6" fillId="0" borderId="0" xfId="0" applyFont="1"/>
    <xf numFmtId="0" fontId="7" fillId="2" borderId="1" xfId="0" applyFont="1" applyFill="1" applyBorder="1"/>
    <xf numFmtId="0" fontId="7"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9" fillId="0" borderId="0" xfId="0" applyFont="1" applyAlignment="1">
      <alignment horizontal="center" vertical="center" wrapText="1"/>
    </xf>
    <xf numFmtId="0" fontId="10" fillId="0" borderId="0" xfId="0" applyFont="1"/>
    <xf numFmtId="0" fontId="11" fillId="3" borderId="3" xfId="0" applyFont="1" applyFill="1" applyBorder="1" applyAlignment="1">
      <alignment horizontal="left" vertical="top" wrapText="1"/>
    </xf>
    <xf numFmtId="0" fontId="12" fillId="0" borderId="3" xfId="0" applyFont="1" applyBorder="1" applyAlignment="1">
      <alignment horizontal="left" vertical="top"/>
    </xf>
    <xf numFmtId="0" fontId="14" fillId="0" borderId="3" xfId="0" applyFont="1" applyBorder="1" applyAlignment="1">
      <alignment horizontal="center" vertical="top"/>
    </xf>
    <xf numFmtId="0" fontId="15" fillId="0" borderId="3" xfId="0" applyFont="1" applyBorder="1" applyAlignment="1">
      <alignment horizontal="left" vertical="top"/>
    </xf>
    <xf numFmtId="0" fontId="16" fillId="0" borderId="3" xfId="0" applyFont="1" applyBorder="1" applyAlignment="1">
      <alignment horizontal="center" vertical="top"/>
    </xf>
    <xf numFmtId="0" fontId="17" fillId="0" borderId="3" xfId="0" applyFont="1" applyBorder="1" applyAlignment="1">
      <alignment horizontal="left" vertical="top"/>
    </xf>
    <xf numFmtId="0" fontId="18" fillId="0" borderId="3" xfId="0" applyFont="1" applyBorder="1" applyAlignment="1">
      <alignment horizontal="center" vertical="top"/>
    </xf>
    <xf numFmtId="0" fontId="19" fillId="0" borderId="3" xfId="0" applyFont="1" applyBorder="1" applyAlignment="1">
      <alignment horizontal="left" vertical="top"/>
    </xf>
    <xf numFmtId="0" fontId="20" fillId="0" borderId="3" xfId="0" applyFont="1" applyBorder="1" applyAlignment="1">
      <alignment horizontal="center" vertical="top"/>
    </xf>
    <xf numFmtId="0" fontId="21" fillId="0" borderId="3" xfId="0" applyFont="1" applyBorder="1" applyAlignment="1">
      <alignment horizontal="left" vertical="top"/>
    </xf>
    <xf numFmtId="0" fontId="22" fillId="0" borderId="3" xfId="0" applyFont="1" applyBorder="1" applyAlignment="1">
      <alignment horizontal="center" vertical="top"/>
    </xf>
    <xf numFmtId="0" fontId="23" fillId="0" borderId="3" xfId="0" applyFont="1" applyBorder="1" applyAlignment="1">
      <alignment horizontal="left" vertical="top"/>
    </xf>
    <xf numFmtId="0" fontId="24" fillId="0" borderId="3" xfId="0" applyFont="1" applyBorder="1" applyAlignment="1">
      <alignment horizontal="center" vertical="top"/>
    </xf>
    <xf numFmtId="0" fontId="25" fillId="0" borderId="3" xfId="0" applyFont="1" applyBorder="1" applyAlignment="1">
      <alignment horizontal="left" vertical="top"/>
    </xf>
    <xf numFmtId="0" fontId="26" fillId="0" borderId="3" xfId="0" applyFont="1" applyBorder="1" applyAlignment="1">
      <alignment horizontal="center" vertical="top"/>
    </xf>
    <xf numFmtId="0" fontId="27" fillId="0" borderId="3" xfId="0" applyFont="1" applyBorder="1" applyAlignment="1">
      <alignment horizontal="left" vertical="top"/>
    </xf>
    <xf numFmtId="0" fontId="28" fillId="0" borderId="3" xfId="0" applyFont="1" applyBorder="1" applyAlignment="1">
      <alignment horizontal="center" vertical="top"/>
    </xf>
    <xf numFmtId="0" fontId="29" fillId="0" borderId="3" xfId="0" applyFont="1" applyBorder="1" applyAlignment="1">
      <alignment horizontal="left" vertical="top"/>
    </xf>
    <xf numFmtId="0" fontId="30" fillId="0" borderId="3" xfId="0" applyFont="1" applyBorder="1" applyAlignment="1">
      <alignment horizontal="center" vertical="top"/>
    </xf>
    <xf numFmtId="0" fontId="31" fillId="0" borderId="3" xfId="0" applyFont="1" applyBorder="1" applyAlignment="1">
      <alignment horizontal="left" vertical="top"/>
    </xf>
    <xf numFmtId="0" fontId="32" fillId="0" borderId="0" xfId="0" applyFont="1" applyAlignment="1">
      <alignment horizontal="left" vertical="top" wrapText="1"/>
    </xf>
    <xf numFmtId="0" fontId="33" fillId="3" borderId="3" xfId="0" applyFont="1" applyFill="1" applyBorder="1" applyAlignment="1">
      <alignment horizontal="left" vertical="top" wrapText="1"/>
    </xf>
    <xf numFmtId="0" fontId="35" fillId="4" borderId="3" xfId="0" applyFont="1" applyFill="1" applyBorder="1" applyAlignment="1">
      <alignment horizontal="center" vertical="top" wrapText="1"/>
    </xf>
    <xf numFmtId="0" fontId="36" fillId="5" borderId="3" xfId="0" applyFont="1" applyFill="1" applyBorder="1" applyAlignment="1">
      <alignment horizontal="left" vertical="top" wrapText="1"/>
    </xf>
    <xf numFmtId="0" fontId="37" fillId="5" borderId="3" xfId="0" applyFont="1" applyFill="1" applyBorder="1" applyAlignment="1">
      <alignment horizontal="left" vertical="top" wrapText="1"/>
    </xf>
    <xf numFmtId="0" fontId="38" fillId="5" borderId="3" xfId="0" applyFont="1" applyFill="1" applyBorder="1" applyAlignment="1">
      <alignment horizontal="left" vertical="top" wrapText="1"/>
    </xf>
    <xf numFmtId="0" fontId="39" fillId="5" borderId="3" xfId="0" applyFont="1" applyFill="1" applyBorder="1" applyAlignment="1">
      <alignment horizontal="left" vertical="top" wrapText="1"/>
    </xf>
    <xf numFmtId="0" fontId="40" fillId="5" borderId="3" xfId="0" applyFont="1" applyFill="1" applyBorder="1" applyAlignment="1">
      <alignment horizontal="left" vertical="top" wrapText="1"/>
    </xf>
    <xf numFmtId="0" fontId="41" fillId="5" borderId="3" xfId="0" applyFont="1" applyFill="1" applyBorder="1" applyAlignment="1">
      <alignment horizontal="left" vertical="top" wrapText="1"/>
    </xf>
    <xf numFmtId="0" fontId="42" fillId="5" borderId="3" xfId="0" applyFont="1" applyFill="1" applyBorder="1" applyAlignment="1">
      <alignment horizontal="left" vertical="top" wrapText="1"/>
    </xf>
    <xf numFmtId="0" fontId="43" fillId="5" borderId="3" xfId="0" applyFont="1" applyFill="1" applyBorder="1" applyAlignment="1">
      <alignment horizontal="left" vertical="top" wrapText="1"/>
    </xf>
    <xf numFmtId="49" fontId="0" fillId="0" borderId="0" xfId="0" applyNumberFormat="1"/>
    <xf numFmtId="0" fontId="44" fillId="3" borderId="3" xfId="0" applyFont="1" applyFill="1" applyBorder="1" applyAlignment="1">
      <alignment horizontal="left" vertical="top" wrapText="1"/>
    </xf>
    <xf numFmtId="0" fontId="47" fillId="4" borderId="3" xfId="0" applyFont="1" applyFill="1" applyBorder="1" applyAlignment="1">
      <alignment horizontal="center"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left" vertical="top" wrapText="1"/>
    </xf>
    <xf numFmtId="0" fontId="55" fillId="5" borderId="3" xfId="0" applyFont="1" applyFill="1" applyBorder="1" applyAlignment="1">
      <alignment horizontal="left" vertical="top" wrapText="1"/>
    </xf>
    <xf numFmtId="0" fontId="56" fillId="5" borderId="3" xfId="0" applyFont="1" applyFill="1" applyBorder="1" applyAlignment="1">
      <alignment horizontal="left" vertical="top" wrapText="1"/>
    </xf>
    <xf numFmtId="0" fontId="57" fillId="5" borderId="3" xfId="0" applyFont="1" applyFill="1" applyBorder="1" applyAlignment="1">
      <alignment horizontal="left" vertical="top" wrapText="1"/>
    </xf>
    <xf numFmtId="0" fontId="58"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center" vertical="top"/>
    </xf>
    <xf numFmtId="0" fontId="61" fillId="5" borderId="3" xfId="0" applyFont="1" applyFill="1" applyBorder="1" applyAlignment="1">
      <alignment horizontal="center" vertical="top"/>
    </xf>
    <xf numFmtId="0" fontId="62" fillId="5" borderId="3" xfId="0" applyFont="1" applyFill="1" applyBorder="1" applyAlignment="1">
      <alignment horizontal="center" vertical="top"/>
    </xf>
    <xf numFmtId="0" fontId="63" fillId="5" borderId="3" xfId="0" applyFont="1" applyFill="1" applyBorder="1" applyAlignment="1">
      <alignment horizontal="center" vertical="top"/>
    </xf>
    <xf numFmtId="0" fontId="64" fillId="5" borderId="3" xfId="0" applyFont="1" applyFill="1" applyBorder="1" applyAlignment="1">
      <alignment horizontal="center" vertical="top"/>
    </xf>
    <xf numFmtId="0" fontId="65" fillId="5" borderId="3" xfId="0" applyFont="1" applyFill="1" applyBorder="1" applyAlignment="1">
      <alignment horizontal="center" vertical="top"/>
    </xf>
    <xf numFmtId="0" fontId="66" fillId="5" borderId="3" xfId="0" applyFont="1" applyFill="1" applyBorder="1" applyAlignment="1">
      <alignment horizontal="center" vertical="top"/>
    </xf>
    <xf numFmtId="0" fontId="67" fillId="5" borderId="3" xfId="0" applyFont="1" applyFill="1" applyBorder="1" applyAlignment="1">
      <alignment horizontal="center" vertical="top"/>
    </xf>
    <xf numFmtId="0" fontId="68" fillId="5" borderId="3" xfId="0" applyFont="1" applyFill="1" applyBorder="1" applyAlignment="1">
      <alignment horizontal="left" vertical="top" wrapText="1"/>
    </xf>
    <xf numFmtId="0" fontId="69" fillId="5" borderId="3" xfId="0" applyFont="1" applyFill="1" applyBorder="1" applyAlignment="1">
      <alignment horizontal="left" vertical="top" wrapText="1"/>
    </xf>
    <xf numFmtId="0" fontId="70" fillId="5" borderId="3" xfId="0" applyFont="1" applyFill="1" applyBorder="1" applyAlignment="1">
      <alignment horizontal="left" vertical="top" wrapText="1"/>
    </xf>
    <xf numFmtId="0" fontId="71" fillId="5" borderId="3" xfId="0" applyFont="1" applyFill="1" applyBorder="1" applyAlignment="1">
      <alignment horizontal="center" vertical="top"/>
    </xf>
    <xf numFmtId="0" fontId="72" fillId="5" borderId="3" xfId="0" applyFont="1" applyFill="1" applyBorder="1" applyAlignment="1">
      <alignment horizontal="center" vertical="top"/>
    </xf>
    <xf numFmtId="0" fontId="73" fillId="5" borderId="3" xfId="0" applyFont="1" applyFill="1" applyBorder="1" applyAlignment="1">
      <alignment horizontal="center" vertical="top"/>
    </xf>
    <xf numFmtId="0" fontId="111" fillId="5" borderId="3" xfId="0" applyFont="1" applyFill="1" applyBorder="1" applyAlignment="1">
      <alignment horizontal="center" vertical="top"/>
    </xf>
    <xf numFmtId="0" fontId="112" fillId="5" borderId="3" xfId="0" applyFont="1" applyFill="1" applyBorder="1" applyAlignment="1">
      <alignment horizontal="center" vertical="top"/>
    </xf>
    <xf numFmtId="0" fontId="113" fillId="5" borderId="3" xfId="0" applyFont="1" applyFill="1" applyBorder="1" applyAlignment="1">
      <alignment horizontal="left" vertical="top" wrapText="1"/>
    </xf>
    <xf numFmtId="0" fontId="114" fillId="5" borderId="3" xfId="0" applyFont="1" applyFill="1" applyBorder="1" applyAlignment="1">
      <alignment horizontal="left" vertical="top" wrapText="1"/>
    </xf>
    <xf numFmtId="0" fontId="115" fillId="5" borderId="3" xfId="0" applyFont="1" applyFill="1" applyBorder="1" applyAlignment="1">
      <alignment horizontal="left" vertical="top" wrapText="1"/>
    </xf>
    <xf numFmtId="0" fontId="116" fillId="5" borderId="3" xfId="0" applyFont="1" applyFill="1" applyBorder="1" applyAlignment="1">
      <alignment horizontal="left" vertical="top" wrapText="1"/>
    </xf>
    <xf numFmtId="0" fontId="117" fillId="5" borderId="3" xfId="0" applyFont="1" applyFill="1" applyBorder="1" applyAlignment="1">
      <alignment horizontal="left" vertical="top" wrapText="1"/>
    </xf>
    <xf numFmtId="0" fontId="118" fillId="5" borderId="3" xfId="0" applyFont="1" applyFill="1" applyBorder="1" applyAlignment="1">
      <alignment horizontal="left" vertical="top" wrapText="1"/>
    </xf>
    <xf numFmtId="0" fontId="119" fillId="5" borderId="3" xfId="0" applyFont="1" applyFill="1" applyBorder="1" applyAlignment="1">
      <alignment horizontal="left" vertical="top" wrapText="1"/>
    </xf>
    <xf numFmtId="0" fontId="120" fillId="5" borderId="3" xfId="0" applyFont="1" applyFill="1" applyBorder="1" applyAlignment="1">
      <alignment horizontal="left" vertical="top" wrapText="1"/>
    </xf>
    <xf numFmtId="0" fontId="121" fillId="5" borderId="3" xfId="0" applyFont="1" applyFill="1" applyBorder="1" applyAlignment="1">
      <alignment horizontal="left" vertical="top" wrapText="1"/>
    </xf>
    <xf numFmtId="0" fontId="122" fillId="5" borderId="3" xfId="0" applyFont="1" applyFill="1" applyBorder="1" applyAlignment="1">
      <alignment horizontal="left" vertical="top" wrapText="1"/>
    </xf>
    <xf numFmtId="0" fontId="123" fillId="5" borderId="3" xfId="0" applyFont="1" applyFill="1" applyBorder="1" applyAlignment="1">
      <alignment horizontal="left" vertical="top" wrapText="1"/>
    </xf>
    <xf numFmtId="0" fontId="124" fillId="5" borderId="3" xfId="0" applyFont="1" applyFill="1" applyBorder="1" applyAlignment="1">
      <alignment horizontal="left" vertical="top" wrapText="1"/>
    </xf>
    <xf numFmtId="0" fontId="125" fillId="5" borderId="3" xfId="0" applyFont="1" applyFill="1" applyBorder="1" applyAlignment="1">
      <alignment horizontal="left" vertical="top" wrapText="1"/>
    </xf>
    <xf numFmtId="0" fontId="126" fillId="5" borderId="3" xfId="0" applyFont="1" applyFill="1" applyBorder="1" applyAlignment="1">
      <alignment horizontal="left" vertical="top" wrapText="1"/>
    </xf>
    <xf numFmtId="0" fontId="127" fillId="5" borderId="3" xfId="0" applyFont="1" applyFill="1" applyBorder="1" applyAlignment="1">
      <alignment horizontal="left" vertical="top" wrapText="1"/>
    </xf>
    <xf numFmtId="0" fontId="128" fillId="5" borderId="3" xfId="0" applyFont="1" applyFill="1" applyBorder="1" applyAlignment="1">
      <alignment horizontal="left" vertical="top" wrapText="1"/>
    </xf>
    <xf numFmtId="0" fontId="144" fillId="5" borderId="3" xfId="0" applyFont="1" applyFill="1" applyBorder="1" applyAlignment="1">
      <alignment horizontal="left" vertical="top" wrapText="1"/>
    </xf>
    <xf numFmtId="0" fontId="146" fillId="5" borderId="3" xfId="0" applyFont="1" applyFill="1" applyBorder="1" applyAlignment="1">
      <alignment horizontal="left" vertical="top" wrapText="1"/>
    </xf>
    <xf numFmtId="0" fontId="147" fillId="5" borderId="3" xfId="0" applyFont="1" applyFill="1" applyBorder="1" applyAlignment="1">
      <alignment horizontal="left" vertical="top" wrapText="1"/>
    </xf>
    <xf numFmtId="0" fontId="148" fillId="5" borderId="3" xfId="0" applyFont="1" applyFill="1" applyBorder="1" applyAlignment="1">
      <alignment horizontal="left" vertical="top" wrapText="1"/>
    </xf>
    <xf numFmtId="0" fontId="149" fillId="5" borderId="3" xfId="0" applyFont="1" applyFill="1" applyBorder="1" applyAlignment="1">
      <alignment horizontal="left" vertical="top" wrapText="1"/>
    </xf>
    <xf numFmtId="0" fontId="150" fillId="5" borderId="3" xfId="0" applyFont="1" applyFill="1" applyBorder="1" applyAlignment="1">
      <alignment horizontal="left" vertical="top" wrapText="1"/>
    </xf>
    <xf numFmtId="0" fontId="151" fillId="5" borderId="3" xfId="0" applyFont="1" applyFill="1" applyBorder="1" applyAlignment="1">
      <alignment horizontal="left" vertical="top" wrapText="1"/>
    </xf>
    <xf numFmtId="0" fontId="152" fillId="5" borderId="3" xfId="0" applyFont="1" applyFill="1" applyBorder="1" applyAlignment="1">
      <alignment horizontal="left" vertical="top" wrapText="1"/>
    </xf>
    <xf numFmtId="0" fontId="153" fillId="5" borderId="3" xfId="0" applyFont="1" applyFill="1" applyBorder="1" applyAlignment="1">
      <alignment horizontal="left" vertical="top" wrapText="1"/>
    </xf>
    <xf numFmtId="0" fontId="154" fillId="5" borderId="3" xfId="0" applyFont="1" applyFill="1" applyBorder="1" applyAlignment="1">
      <alignment horizontal="left" vertical="top" wrapText="1"/>
    </xf>
    <xf numFmtId="0" fontId="155" fillId="5" borderId="3" xfId="0" applyFont="1" applyFill="1" applyBorder="1" applyAlignment="1">
      <alignment horizontal="left" vertical="top" wrapText="1"/>
    </xf>
    <xf numFmtId="0" fontId="156" fillId="5" borderId="3" xfId="0" applyFont="1" applyFill="1" applyBorder="1" applyAlignment="1">
      <alignment horizontal="left" vertical="top" wrapText="1"/>
    </xf>
    <xf numFmtId="0" fontId="157" fillId="5" borderId="3" xfId="0" applyFont="1" applyFill="1" applyBorder="1" applyAlignment="1">
      <alignment horizontal="left" vertical="top" wrapText="1"/>
    </xf>
    <xf numFmtId="0" fontId="158" fillId="5" borderId="3" xfId="0" applyFont="1" applyFill="1" applyBorder="1" applyAlignment="1">
      <alignment horizontal="left" vertical="top" wrapText="1"/>
    </xf>
    <xf numFmtId="0" fontId="159" fillId="5" borderId="3" xfId="0" applyFont="1" applyFill="1" applyBorder="1" applyAlignment="1">
      <alignment horizontal="left" vertical="top" wrapText="1"/>
    </xf>
    <xf numFmtId="0" fontId="160" fillId="5" borderId="3" xfId="0" applyFont="1" applyFill="1" applyBorder="1" applyAlignment="1">
      <alignment horizontal="left" vertical="top" wrapText="1"/>
    </xf>
    <xf numFmtId="0" fontId="161" fillId="5" borderId="3" xfId="0" applyFont="1" applyFill="1" applyBorder="1" applyAlignment="1">
      <alignment horizontal="left" vertical="top" wrapText="1"/>
    </xf>
    <xf numFmtId="0" fontId="162" fillId="5" borderId="3" xfId="0" applyFont="1" applyFill="1" applyBorder="1" applyAlignment="1">
      <alignment horizontal="left" vertical="top" wrapText="1"/>
    </xf>
    <xf numFmtId="0" fontId="163" fillId="5" borderId="3" xfId="0" applyFont="1" applyFill="1" applyBorder="1" applyAlignment="1">
      <alignment horizontal="left" vertical="top" wrapText="1"/>
    </xf>
    <xf numFmtId="0" fontId="164" fillId="5" borderId="3" xfId="0" applyFont="1" applyFill="1" applyBorder="1" applyAlignment="1">
      <alignment horizontal="left" vertical="top" wrapText="1"/>
    </xf>
    <xf numFmtId="0" fontId="165" fillId="5" borderId="3" xfId="0" applyFont="1" applyFill="1" applyBorder="1" applyAlignment="1">
      <alignment horizontal="left" vertical="top" wrapText="1"/>
    </xf>
    <xf numFmtId="0" fontId="166" fillId="5" borderId="3" xfId="0" applyFont="1" applyFill="1" applyBorder="1" applyAlignment="1">
      <alignment horizontal="left" vertical="top" wrapText="1"/>
    </xf>
    <xf numFmtId="0" fontId="167" fillId="5" borderId="3" xfId="0" applyFont="1" applyFill="1" applyBorder="1" applyAlignment="1">
      <alignment horizontal="left" vertical="top" wrapText="1"/>
    </xf>
    <xf numFmtId="0" fontId="168" fillId="5" borderId="3" xfId="0" applyFont="1" applyFill="1" applyBorder="1" applyAlignment="1">
      <alignment horizontal="left" vertical="top" wrapText="1"/>
    </xf>
    <xf numFmtId="0" fontId="169" fillId="5" borderId="3" xfId="0" applyFont="1" applyFill="1" applyBorder="1" applyAlignment="1">
      <alignment horizontal="left" vertical="top" wrapText="1"/>
    </xf>
    <xf numFmtId="0" fontId="170" fillId="5" borderId="3" xfId="0" applyFont="1" applyFill="1" applyBorder="1" applyAlignment="1">
      <alignment horizontal="left" vertical="top" wrapText="1"/>
    </xf>
    <xf numFmtId="0" fontId="171" fillId="5" borderId="3" xfId="0" applyFont="1" applyFill="1" applyBorder="1" applyAlignment="1">
      <alignment horizontal="left" vertical="top" wrapText="1"/>
    </xf>
    <xf numFmtId="0" fontId="172" fillId="5" borderId="3" xfId="0" applyFont="1" applyFill="1" applyBorder="1" applyAlignment="1">
      <alignment horizontal="center" vertical="top"/>
    </xf>
    <xf numFmtId="0" fontId="173" fillId="5" borderId="3" xfId="0" applyFont="1" applyFill="1" applyBorder="1" applyAlignment="1">
      <alignment horizontal="center" vertical="top"/>
    </xf>
    <xf numFmtId="0" fontId="174" fillId="5" borderId="3" xfId="0" applyFont="1" applyFill="1" applyBorder="1" applyAlignment="1">
      <alignment horizontal="center" vertical="top"/>
    </xf>
    <xf numFmtId="0" fontId="175" fillId="5" borderId="3" xfId="0" applyFont="1" applyFill="1" applyBorder="1" applyAlignment="1">
      <alignment horizontal="center" vertical="top"/>
    </xf>
    <xf numFmtId="0" fontId="176" fillId="5" borderId="3" xfId="0" applyFont="1" applyFill="1" applyBorder="1" applyAlignment="1">
      <alignment horizontal="center" vertical="top"/>
    </xf>
    <xf numFmtId="0" fontId="177" fillId="5" borderId="3" xfId="0" applyFont="1" applyFill="1" applyBorder="1" applyAlignment="1">
      <alignment horizontal="center" vertical="top"/>
    </xf>
    <xf numFmtId="0" fontId="178" fillId="5" borderId="3" xfId="0" applyFont="1" applyFill="1" applyBorder="1" applyAlignment="1">
      <alignment horizontal="center" vertical="top"/>
    </xf>
    <xf numFmtId="0" fontId="179" fillId="5" borderId="3" xfId="0" applyFont="1" applyFill="1" applyBorder="1" applyAlignment="1">
      <alignment horizontal="left" vertical="top" wrapText="1"/>
    </xf>
    <xf numFmtId="0" fontId="180" fillId="5" borderId="3" xfId="0" applyFont="1" applyFill="1" applyBorder="1" applyAlignment="1">
      <alignment horizontal="left" vertical="top" wrapText="1"/>
    </xf>
    <xf numFmtId="0" fontId="181" fillId="5" borderId="3" xfId="0" applyFont="1" applyFill="1" applyBorder="1" applyAlignment="1">
      <alignment horizontal="left" vertical="top" wrapText="1"/>
    </xf>
    <xf numFmtId="0" fontId="182" fillId="5" borderId="3" xfId="0" applyFont="1" applyFill="1" applyBorder="1" applyAlignment="1">
      <alignment horizontal="left" vertical="top" wrapText="1"/>
    </xf>
    <xf numFmtId="0" fontId="183" fillId="5" borderId="3" xfId="0" applyFont="1" applyFill="1" applyBorder="1" applyAlignment="1">
      <alignment horizontal="left" vertical="top" wrapText="1"/>
    </xf>
    <xf numFmtId="0" fontId="184" fillId="5" borderId="3" xfId="0" applyFont="1" applyFill="1" applyBorder="1" applyAlignment="1">
      <alignment horizontal="left" vertical="top" wrapText="1"/>
    </xf>
    <xf numFmtId="0" fontId="185" fillId="5" borderId="3" xfId="0" applyFont="1" applyFill="1" applyBorder="1" applyAlignment="1">
      <alignment horizontal="left" vertical="top" wrapText="1"/>
    </xf>
    <xf numFmtId="0" fontId="186" fillId="5" borderId="3" xfId="0" applyFont="1" applyFill="1" applyBorder="1" applyAlignment="1">
      <alignment horizontal="left" vertical="top" wrapText="1"/>
    </xf>
    <xf numFmtId="0" fontId="187" fillId="5" borderId="3" xfId="0" applyFont="1" applyFill="1" applyBorder="1" applyAlignment="1">
      <alignment horizontal="center" vertical="top"/>
    </xf>
    <xf numFmtId="0" fontId="188" fillId="5" borderId="3" xfId="0" applyFont="1" applyFill="1" applyBorder="1" applyAlignment="1">
      <alignment horizontal="center" vertical="top"/>
    </xf>
    <xf numFmtId="0" fontId="189" fillId="5" borderId="3" xfId="0" applyFont="1" applyFill="1" applyBorder="1" applyAlignment="1">
      <alignment horizontal="center" vertical="top"/>
    </xf>
    <xf numFmtId="0" fontId="190" fillId="5" borderId="3" xfId="0" applyFont="1" applyFill="1" applyBorder="1" applyAlignment="1">
      <alignment horizontal="center" vertical="top"/>
    </xf>
    <xf numFmtId="0" fontId="191" fillId="5" borderId="3" xfId="0" applyFont="1" applyFill="1" applyBorder="1" applyAlignment="1">
      <alignment horizontal="center" vertical="top"/>
    </xf>
    <xf numFmtId="0" fontId="192" fillId="5" borderId="3" xfId="0" applyFont="1" applyFill="1" applyBorder="1" applyAlignment="1">
      <alignment horizontal="left" vertical="top" wrapText="1"/>
    </xf>
    <xf numFmtId="0" fontId="193" fillId="5" borderId="3" xfId="0" applyFont="1" applyFill="1" applyBorder="1" applyAlignment="1">
      <alignment horizontal="left" vertical="top" wrapText="1"/>
    </xf>
    <xf numFmtId="0" fontId="194" fillId="5" borderId="3" xfId="0" applyFont="1" applyFill="1" applyBorder="1" applyAlignment="1">
      <alignment horizontal="left" vertical="top" wrapText="1"/>
    </xf>
    <xf numFmtId="0" fontId="195" fillId="5" borderId="3" xfId="0" applyFont="1" applyFill="1" applyBorder="1" applyAlignment="1">
      <alignment horizontal="left" vertical="top" wrapText="1"/>
    </xf>
    <xf numFmtId="0" fontId="196" fillId="5" borderId="3" xfId="0" applyFont="1" applyFill="1" applyBorder="1" applyAlignment="1">
      <alignment horizontal="left" vertical="top" wrapText="1"/>
    </xf>
    <xf numFmtId="0" fontId="197" fillId="5" borderId="3" xfId="0" applyFont="1" applyFill="1" applyBorder="1" applyAlignment="1">
      <alignment horizontal="left" vertical="top" wrapText="1"/>
    </xf>
    <xf numFmtId="0" fontId="198" fillId="5" borderId="3" xfId="0" applyFont="1" applyFill="1" applyBorder="1" applyAlignment="1">
      <alignment horizontal="left" vertical="top" wrapText="1"/>
    </xf>
    <xf numFmtId="0" fontId="199"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left" vertical="top" wrapText="1"/>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left" vertical="top" wrapText="1"/>
    </xf>
    <xf numFmtId="0" fontId="210" fillId="5" borderId="3" xfId="0" applyFont="1" applyFill="1" applyBorder="1" applyAlignment="1">
      <alignment horizontal="left" vertical="top" wrapText="1"/>
    </xf>
    <xf numFmtId="0" fontId="211" fillId="5" borderId="3" xfId="0" applyFont="1" applyFill="1" applyBorder="1" applyAlignment="1">
      <alignment horizontal="left" vertical="top" wrapText="1"/>
    </xf>
    <xf numFmtId="0" fontId="212" fillId="5" borderId="3" xfId="0" applyFont="1" applyFill="1" applyBorder="1" applyAlignment="1">
      <alignment horizontal="left" vertical="top" wrapText="1"/>
    </xf>
    <xf numFmtId="0" fontId="213" fillId="5" borderId="3" xfId="0" applyFont="1" applyFill="1" applyBorder="1" applyAlignment="1">
      <alignment horizontal="left" vertical="top" wrapText="1"/>
    </xf>
    <xf numFmtId="0" fontId="214" fillId="5" borderId="3" xfId="0" applyFont="1" applyFill="1" applyBorder="1" applyAlignment="1">
      <alignment horizontal="left" vertical="top" wrapText="1"/>
    </xf>
    <xf numFmtId="0" fontId="215" fillId="5" borderId="3" xfId="0" applyFont="1" applyFill="1" applyBorder="1" applyAlignment="1">
      <alignment horizontal="left" vertical="top" wrapText="1"/>
    </xf>
    <xf numFmtId="0" fontId="216" fillId="5" borderId="3" xfId="0" applyFont="1" applyFill="1" applyBorder="1" applyAlignment="1">
      <alignment horizontal="left" vertical="top" wrapText="1"/>
    </xf>
    <xf numFmtId="0" fontId="217" fillId="5" borderId="3" xfId="0" applyFont="1" applyFill="1" applyBorder="1" applyAlignment="1">
      <alignment horizontal="left" vertical="top" wrapText="1"/>
    </xf>
    <xf numFmtId="0" fontId="218" fillId="5" borderId="3" xfId="0" applyFont="1" applyFill="1" applyBorder="1" applyAlignment="1">
      <alignment horizontal="left" vertical="top" wrapText="1"/>
    </xf>
    <xf numFmtId="0" fontId="221" fillId="5" borderId="3" xfId="0" applyFont="1" applyFill="1" applyBorder="1" applyAlignment="1">
      <alignment horizontal="left" vertical="top" wrapText="1"/>
    </xf>
    <xf numFmtId="0" fontId="222" fillId="5" borderId="3" xfId="0" applyFont="1" applyFill="1" applyBorder="1" applyAlignment="1">
      <alignment horizontal="center" vertical="top"/>
    </xf>
    <xf numFmtId="0" fontId="223" fillId="5" borderId="3" xfId="0" applyFont="1" applyFill="1" applyBorder="1" applyAlignment="1">
      <alignment horizontal="center" vertical="top"/>
    </xf>
    <xf numFmtId="0" fontId="224" fillId="5" borderId="3" xfId="0" applyFont="1" applyFill="1" applyBorder="1" applyAlignment="1">
      <alignment horizontal="center" vertical="top"/>
    </xf>
    <xf numFmtId="0" fontId="225" fillId="5" borderId="3" xfId="0" applyFont="1" applyFill="1" applyBorder="1" applyAlignment="1">
      <alignment horizontal="center" vertical="top"/>
    </xf>
    <xf numFmtId="0" fontId="226" fillId="5" borderId="3" xfId="0" applyFont="1" applyFill="1" applyBorder="1" applyAlignment="1">
      <alignment horizontal="center" vertical="top"/>
    </xf>
    <xf numFmtId="0" fontId="227" fillId="5" borderId="3" xfId="0" applyFont="1" applyFill="1" applyBorder="1" applyAlignment="1">
      <alignment horizontal="left" vertical="top" wrapText="1"/>
    </xf>
    <xf numFmtId="0" fontId="228" fillId="5" borderId="3" xfId="0" applyFont="1" applyFill="1" applyBorder="1" applyAlignment="1">
      <alignment horizontal="center" vertical="top"/>
    </xf>
    <xf numFmtId="0" fontId="229" fillId="5" borderId="3" xfId="0" applyFont="1" applyFill="1" applyBorder="1" applyAlignment="1">
      <alignment horizontal="center" vertical="top"/>
    </xf>
    <xf numFmtId="0" fontId="230" fillId="5" borderId="3" xfId="0" applyFont="1" applyFill="1" applyBorder="1" applyAlignment="1">
      <alignment horizontal="center" vertical="top"/>
    </xf>
    <xf numFmtId="0" fontId="231" fillId="5" borderId="3" xfId="0" applyFont="1" applyFill="1" applyBorder="1" applyAlignment="1">
      <alignment horizontal="center" vertical="top"/>
    </xf>
    <xf numFmtId="0" fontId="232" fillId="5" borderId="3" xfId="0" applyFont="1" applyFill="1" applyBorder="1" applyAlignment="1">
      <alignment horizontal="center" vertical="top"/>
    </xf>
    <xf numFmtId="0" fontId="233" fillId="5" borderId="3" xfId="0" applyFont="1" applyFill="1" applyBorder="1" applyAlignment="1">
      <alignment horizontal="center" vertical="top"/>
    </xf>
    <xf numFmtId="0" fontId="234" fillId="5" borderId="3" xfId="0" applyFont="1" applyFill="1" applyBorder="1" applyAlignment="1">
      <alignment horizontal="center" vertical="top"/>
    </xf>
    <xf numFmtId="0" fontId="235" fillId="5" borderId="3" xfId="0" applyFont="1" applyFill="1" applyBorder="1" applyAlignment="1">
      <alignment horizontal="center" vertical="top"/>
    </xf>
    <xf numFmtId="0" fontId="236" fillId="5" borderId="3" xfId="0" applyFont="1" applyFill="1" applyBorder="1" applyAlignment="1">
      <alignment horizontal="center" vertical="top"/>
    </xf>
    <xf numFmtId="0" fontId="237" fillId="5" borderId="3" xfId="0" applyFont="1" applyFill="1" applyBorder="1" applyAlignment="1">
      <alignment horizontal="center" vertical="top"/>
    </xf>
    <xf numFmtId="0" fontId="238" fillId="5" borderId="3" xfId="0" applyFont="1" applyFill="1" applyBorder="1" applyAlignment="1">
      <alignment horizontal="center" vertical="top"/>
    </xf>
    <xf numFmtId="0" fontId="239" fillId="5" borderId="3" xfId="0" applyFont="1" applyFill="1" applyBorder="1" applyAlignment="1">
      <alignment horizontal="center" vertical="top"/>
    </xf>
    <xf numFmtId="0" fontId="240" fillId="5" borderId="3" xfId="0" applyFont="1" applyFill="1" applyBorder="1" applyAlignment="1">
      <alignment horizontal="center" vertical="top"/>
    </xf>
    <xf numFmtId="0" fontId="241" fillId="5" borderId="3" xfId="0" applyFont="1" applyFill="1" applyBorder="1" applyAlignment="1">
      <alignment horizontal="left" vertical="top" wrapText="1"/>
    </xf>
    <xf numFmtId="0" fontId="242" fillId="5" borderId="3" xfId="0" applyFont="1" applyFill="1" applyBorder="1" applyAlignment="1">
      <alignment horizontal="center" vertical="top"/>
    </xf>
    <xf numFmtId="0" fontId="243" fillId="5" borderId="3" xfId="0" applyFont="1" applyFill="1" applyBorder="1" applyAlignment="1">
      <alignment horizontal="center" vertical="top"/>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left" vertical="top" wrapText="1"/>
    </xf>
    <xf numFmtId="0" fontId="260" fillId="5" borderId="3" xfId="0" applyFont="1" applyFill="1" applyBorder="1" applyAlignment="1">
      <alignment horizontal="left" vertical="top" wrapText="1"/>
    </xf>
    <xf numFmtId="0" fontId="261" fillId="5" borderId="3" xfId="0" applyFont="1" applyFill="1" applyBorder="1" applyAlignment="1">
      <alignment horizontal="left" vertical="top" wrapText="1"/>
    </xf>
    <xf numFmtId="0" fontId="262" fillId="5" borderId="3" xfId="0" applyFont="1" applyFill="1" applyBorder="1" applyAlignment="1">
      <alignment horizontal="left" vertical="top" wrapText="1"/>
    </xf>
    <xf numFmtId="0" fontId="263" fillId="5" borderId="3" xfId="0" applyFont="1" applyFill="1" applyBorder="1" applyAlignment="1">
      <alignment horizontal="left" vertical="top" wrapText="1"/>
    </xf>
    <xf numFmtId="0" fontId="264" fillId="5" borderId="3" xfId="0" applyFont="1" applyFill="1" applyBorder="1" applyAlignment="1">
      <alignment horizontal="left" vertical="top" wrapText="1"/>
    </xf>
    <xf numFmtId="0" fontId="265" fillId="5" borderId="3" xfId="0" applyFont="1" applyFill="1" applyBorder="1" applyAlignment="1">
      <alignment horizontal="left" vertical="top" wrapText="1"/>
    </xf>
    <xf numFmtId="0" fontId="266" fillId="5" borderId="3" xfId="0" applyFont="1" applyFill="1" applyBorder="1" applyAlignment="1">
      <alignment horizontal="center" vertical="top"/>
    </xf>
    <xf numFmtId="0" fontId="267" fillId="5" borderId="3" xfId="0" applyFont="1" applyFill="1" applyBorder="1" applyAlignment="1">
      <alignment horizontal="center" vertical="top"/>
    </xf>
    <xf numFmtId="0" fontId="268" fillId="5" borderId="3" xfId="0" applyFont="1" applyFill="1" applyBorder="1" applyAlignment="1">
      <alignment horizontal="center" vertical="top"/>
    </xf>
    <xf numFmtId="0" fontId="269" fillId="5" borderId="3" xfId="0" applyFont="1" applyFill="1" applyBorder="1" applyAlignment="1">
      <alignment horizontal="left" vertical="top" wrapText="1"/>
    </xf>
    <xf numFmtId="0" fontId="273" fillId="5" borderId="3" xfId="0" applyFont="1" applyFill="1" applyBorder="1" applyAlignment="1">
      <alignment horizontal="center" vertical="top"/>
    </xf>
    <xf numFmtId="0" fontId="275" fillId="5" borderId="3" xfId="0" applyFont="1" applyFill="1" applyBorder="1" applyAlignment="1">
      <alignment horizontal="left" vertical="top" wrapText="1"/>
    </xf>
    <xf numFmtId="0" fontId="276" fillId="5" borderId="3" xfId="0" applyFont="1" applyFill="1" applyBorder="1" applyAlignment="1">
      <alignment horizontal="center" vertical="top"/>
    </xf>
    <xf numFmtId="0" fontId="293" fillId="5" borderId="3" xfId="0" applyFont="1" applyFill="1" applyBorder="1" applyAlignment="1">
      <alignment horizontal="left" vertical="top" wrapText="1"/>
    </xf>
    <xf numFmtId="0" fontId="294" fillId="5" borderId="3" xfId="0" applyFont="1" applyFill="1" applyBorder="1" applyAlignment="1">
      <alignment horizontal="left" vertical="top" wrapText="1"/>
    </xf>
    <xf numFmtId="0" fontId="295" fillId="5" borderId="3" xfId="0" applyFont="1" applyFill="1" applyBorder="1" applyAlignment="1">
      <alignment horizontal="left" vertical="top" wrapText="1"/>
    </xf>
    <xf numFmtId="0" fontId="296" fillId="5" borderId="3" xfId="0" applyFont="1" applyFill="1" applyBorder="1" applyAlignment="1">
      <alignment horizontal="left" vertical="top" wrapText="1"/>
    </xf>
    <xf numFmtId="0" fontId="297" fillId="5" borderId="3" xfId="0" applyFont="1" applyFill="1" applyBorder="1" applyAlignment="1">
      <alignment horizontal="left" vertical="top" wrapText="1"/>
    </xf>
    <xf numFmtId="0" fontId="298" fillId="5" borderId="3" xfId="0" applyFont="1" applyFill="1" applyBorder="1" applyAlignment="1">
      <alignment horizontal="left" vertical="top" wrapText="1"/>
    </xf>
    <xf numFmtId="0" fontId="299" fillId="5" borderId="3" xfId="0" applyFont="1" applyFill="1" applyBorder="1" applyAlignment="1">
      <alignment horizontal="left" vertical="top" wrapText="1"/>
    </xf>
    <xf numFmtId="0" fontId="300" fillId="5" borderId="3" xfId="0" applyFont="1" applyFill="1" applyBorder="1" applyAlignment="1">
      <alignment horizontal="left" vertical="top" wrapText="1"/>
    </xf>
    <xf numFmtId="0" fontId="301" fillId="5" borderId="3" xfId="0" applyFont="1" applyFill="1" applyBorder="1" applyAlignment="1">
      <alignment horizontal="left" vertical="top" wrapText="1"/>
    </xf>
    <xf numFmtId="0" fontId="302" fillId="5" borderId="3" xfId="0" applyFont="1" applyFill="1" applyBorder="1" applyAlignment="1">
      <alignment horizontal="left" vertical="top" wrapText="1"/>
    </xf>
    <xf numFmtId="0" fontId="303" fillId="5" borderId="3" xfId="0" applyFont="1" applyFill="1" applyBorder="1" applyAlignment="1">
      <alignment horizontal="left" vertical="top" wrapText="1"/>
    </xf>
    <xf numFmtId="0" fontId="304" fillId="5" borderId="3" xfId="0" applyFont="1" applyFill="1" applyBorder="1" applyAlignment="1">
      <alignment horizontal="left" vertical="top" wrapText="1"/>
    </xf>
    <xf numFmtId="0" fontId="305" fillId="5" borderId="3" xfId="0" applyFont="1" applyFill="1" applyBorder="1" applyAlignment="1">
      <alignment horizontal="center" vertical="top"/>
    </xf>
    <xf numFmtId="0" fontId="306" fillId="5" borderId="3" xfId="0" applyFont="1" applyFill="1" applyBorder="1" applyAlignment="1">
      <alignment horizontal="center" vertical="top"/>
    </xf>
    <xf numFmtId="0" fontId="307" fillId="5" borderId="3" xfId="0" applyFont="1" applyFill="1" applyBorder="1" applyAlignment="1">
      <alignment horizontal="center" vertical="top"/>
    </xf>
    <xf numFmtId="0" fontId="308" fillId="5" borderId="3" xfId="0" applyFont="1" applyFill="1" applyBorder="1" applyAlignment="1">
      <alignment horizontal="center" vertical="top"/>
    </xf>
    <xf numFmtId="0" fontId="309" fillId="5" borderId="3" xfId="0" applyFont="1" applyFill="1" applyBorder="1" applyAlignment="1">
      <alignment horizontal="center" vertical="top"/>
    </xf>
    <xf numFmtId="0" fontId="310" fillId="5" borderId="3" xfId="0" applyFont="1" applyFill="1" applyBorder="1" applyAlignment="1">
      <alignment horizontal="center" vertical="top"/>
    </xf>
    <xf numFmtId="0" fontId="311" fillId="5" borderId="3" xfId="0" applyFont="1" applyFill="1" applyBorder="1" applyAlignment="1">
      <alignment horizontal="center" vertical="top"/>
    </xf>
    <xf numFmtId="0" fontId="312" fillId="5" borderId="3" xfId="0" applyFont="1" applyFill="1" applyBorder="1" applyAlignment="1">
      <alignment horizontal="center" vertical="top"/>
    </xf>
    <xf numFmtId="0" fontId="313" fillId="5" borderId="3" xfId="0" applyFont="1" applyFill="1" applyBorder="1" applyAlignment="1">
      <alignment horizontal="center" vertical="top"/>
    </xf>
    <xf numFmtId="0" fontId="314" fillId="5" borderId="3" xfId="0" applyFont="1" applyFill="1" applyBorder="1" applyAlignment="1">
      <alignment horizontal="center" vertical="top"/>
    </xf>
    <xf numFmtId="0" fontId="315" fillId="5" borderId="3" xfId="0" applyFont="1" applyFill="1" applyBorder="1" applyAlignment="1">
      <alignment horizontal="center" vertical="top"/>
    </xf>
    <xf numFmtId="0" fontId="316" fillId="5" borderId="3" xfId="0" applyFont="1" applyFill="1" applyBorder="1" applyAlignment="1">
      <alignment horizontal="center" vertical="top"/>
    </xf>
    <xf numFmtId="0" fontId="317" fillId="5" borderId="3" xfId="0" applyFont="1" applyFill="1" applyBorder="1" applyAlignment="1">
      <alignment horizontal="center" vertical="top"/>
    </xf>
    <xf numFmtId="0" fontId="318" fillId="5" borderId="3" xfId="0" applyFont="1" applyFill="1" applyBorder="1" applyAlignment="1">
      <alignment horizontal="center" vertical="top"/>
    </xf>
    <xf numFmtId="0" fontId="319" fillId="5" borderId="3" xfId="0" applyFont="1" applyFill="1" applyBorder="1" applyAlignment="1">
      <alignment horizontal="center" vertical="top"/>
    </xf>
    <xf numFmtId="0" fontId="320" fillId="5" borderId="3" xfId="0" applyFont="1" applyFill="1" applyBorder="1" applyAlignment="1">
      <alignment horizontal="center" vertical="top"/>
    </xf>
    <xf numFmtId="0" fontId="321" fillId="5" borderId="3" xfId="0" applyFont="1" applyFill="1" applyBorder="1" applyAlignment="1">
      <alignment horizontal="center" vertical="top"/>
    </xf>
    <xf numFmtId="0" fontId="322" fillId="5" borderId="3" xfId="0" applyFont="1" applyFill="1" applyBorder="1" applyAlignment="1">
      <alignment horizontal="center" vertical="top"/>
    </xf>
    <xf numFmtId="0" fontId="323" fillId="5" borderId="3" xfId="0" applyFont="1" applyFill="1" applyBorder="1" applyAlignment="1">
      <alignment horizontal="center" vertical="top"/>
    </xf>
    <xf numFmtId="0" fontId="324" fillId="5" borderId="3" xfId="0" applyFont="1" applyFill="1" applyBorder="1" applyAlignment="1">
      <alignment horizontal="center" vertical="top"/>
    </xf>
    <xf numFmtId="0" fontId="325" fillId="5" borderId="3" xfId="0" applyFont="1" applyFill="1" applyBorder="1" applyAlignment="1">
      <alignment horizontal="center" vertical="top"/>
    </xf>
    <xf numFmtId="0" fontId="326" fillId="5" borderId="3" xfId="0" applyFont="1" applyFill="1" applyBorder="1" applyAlignment="1">
      <alignment horizontal="center" vertical="top"/>
    </xf>
    <xf numFmtId="0" fontId="327" fillId="5" borderId="3" xfId="0" applyFont="1" applyFill="1" applyBorder="1" applyAlignment="1">
      <alignment horizontal="center" vertical="top"/>
    </xf>
    <xf numFmtId="0" fontId="330" fillId="5" borderId="3" xfId="0" applyFont="1" applyFill="1" applyBorder="1" applyAlignment="1">
      <alignment horizontal="left" vertical="top" wrapText="1"/>
    </xf>
    <xf numFmtId="0" fontId="331" fillId="5" borderId="3" xfId="0" applyFont="1" applyFill="1" applyBorder="1" applyAlignment="1">
      <alignment horizontal="center" vertical="top"/>
    </xf>
    <xf numFmtId="0" fontId="332" fillId="5" borderId="3" xfId="0" applyFont="1" applyFill="1" applyBorder="1" applyAlignment="1">
      <alignment horizontal="center" vertical="top"/>
    </xf>
    <xf numFmtId="0" fontId="333" fillId="5" borderId="3" xfId="0" applyFont="1" applyFill="1" applyBorder="1" applyAlignment="1">
      <alignment horizontal="left" vertical="top" wrapText="1"/>
    </xf>
    <xf numFmtId="0" fontId="334" fillId="5" borderId="3" xfId="0" applyFont="1" applyFill="1" applyBorder="1" applyAlignment="1">
      <alignment horizontal="left" vertical="top" wrapText="1"/>
    </xf>
    <xf numFmtId="0" fontId="335" fillId="5" borderId="3" xfId="0" applyFont="1" applyFill="1" applyBorder="1" applyAlignment="1">
      <alignment horizontal="left" vertical="top" wrapText="1"/>
    </xf>
    <xf numFmtId="0" fontId="336" fillId="5" borderId="3" xfId="0" applyFont="1" applyFill="1" applyBorder="1" applyAlignment="1">
      <alignment horizontal="left" vertical="top" wrapText="1"/>
    </xf>
    <xf numFmtId="0" fontId="337" fillId="5" borderId="3" xfId="0" applyFont="1" applyFill="1" applyBorder="1" applyAlignment="1">
      <alignment horizontal="left" vertical="top" wrapText="1"/>
    </xf>
    <xf numFmtId="0" fontId="338" fillId="5" borderId="3" xfId="0" applyFont="1" applyFill="1" applyBorder="1" applyAlignment="1">
      <alignment horizontal="center" vertical="top"/>
    </xf>
    <xf numFmtId="0" fontId="339" fillId="5" borderId="3" xfId="0" applyFont="1" applyFill="1" applyBorder="1" applyAlignment="1">
      <alignment horizontal="center" vertical="top"/>
    </xf>
    <xf numFmtId="0" fontId="340" fillId="5" borderId="3" xfId="0" applyFont="1" applyFill="1" applyBorder="1" applyAlignment="1">
      <alignment horizontal="left" vertical="top" wrapText="1"/>
    </xf>
    <xf numFmtId="0" fontId="370" fillId="5" borderId="3" xfId="0" applyFont="1" applyFill="1" applyBorder="1" applyAlignment="1">
      <alignment horizontal="left" vertical="top" wrapText="1"/>
    </xf>
    <xf numFmtId="0" fontId="371" fillId="5" borderId="3" xfId="0" applyFont="1" applyFill="1" applyBorder="1" applyAlignment="1">
      <alignment horizontal="left" vertical="top" wrapText="1"/>
    </xf>
    <xf numFmtId="0" fontId="372" fillId="5" borderId="3" xfId="0" applyFont="1" applyFill="1" applyBorder="1" applyAlignment="1">
      <alignment horizontal="left" vertical="top" wrapText="1"/>
    </xf>
    <xf numFmtId="0" fontId="373" fillId="5" borderId="3" xfId="0" applyFont="1" applyFill="1" applyBorder="1" applyAlignment="1">
      <alignment horizontal="left" vertical="top" wrapText="1"/>
    </xf>
    <xf numFmtId="0" fontId="374" fillId="5" borderId="3" xfId="0" applyFont="1" applyFill="1" applyBorder="1" applyAlignment="1">
      <alignment horizontal="left" vertical="top" wrapText="1"/>
    </xf>
    <xf numFmtId="0" fontId="375" fillId="5" borderId="3" xfId="0" applyFont="1" applyFill="1" applyBorder="1" applyAlignment="1">
      <alignment horizontal="left" vertical="top" wrapText="1"/>
    </xf>
    <xf numFmtId="0" fontId="376" fillId="5" borderId="3" xfId="0" applyFont="1" applyFill="1" applyBorder="1" applyAlignment="1">
      <alignment horizontal="left" vertical="top" wrapText="1"/>
    </xf>
    <xf numFmtId="0" fontId="377" fillId="5" borderId="3" xfId="0" applyFont="1" applyFill="1" applyBorder="1" applyAlignment="1">
      <alignment horizontal="left" vertical="top" wrapText="1"/>
    </xf>
    <xf numFmtId="0" fontId="378" fillId="5" borderId="3" xfId="0" applyFont="1" applyFill="1" applyBorder="1" applyAlignment="1">
      <alignment horizontal="center" vertical="top"/>
    </xf>
    <xf numFmtId="0" fontId="379" fillId="5" borderId="3" xfId="0" applyFont="1" applyFill="1" applyBorder="1" applyAlignment="1">
      <alignment horizontal="center" vertical="top"/>
    </xf>
    <xf numFmtId="0" fontId="380" fillId="5" borderId="3" xfId="0" applyFont="1" applyFill="1" applyBorder="1" applyAlignment="1">
      <alignment horizontal="center" vertical="top"/>
    </xf>
    <xf numFmtId="0" fontId="381" fillId="5" borderId="3" xfId="0" applyFont="1" applyFill="1" applyBorder="1" applyAlignment="1">
      <alignment horizontal="center" vertical="top"/>
    </xf>
    <xf numFmtId="0" fontId="382" fillId="5" borderId="3" xfId="0" applyFont="1" applyFill="1" applyBorder="1" applyAlignment="1">
      <alignment horizontal="center" vertical="top"/>
    </xf>
    <xf numFmtId="0" fontId="383" fillId="5" borderId="3" xfId="0" applyFont="1" applyFill="1" applyBorder="1" applyAlignment="1">
      <alignment horizontal="center" vertical="top"/>
    </xf>
    <xf numFmtId="0" fontId="384" fillId="5" borderId="3" xfId="0" applyFont="1" applyFill="1" applyBorder="1" applyAlignment="1">
      <alignment horizontal="center" vertical="top"/>
    </xf>
    <xf numFmtId="0" fontId="385" fillId="5" borderId="3" xfId="0" applyFont="1" applyFill="1" applyBorder="1" applyAlignment="1">
      <alignment horizontal="center" vertical="top"/>
    </xf>
    <xf numFmtId="0" fontId="386" fillId="5" borderId="3" xfId="0" applyFont="1" applyFill="1" applyBorder="1" applyAlignment="1">
      <alignment horizontal="center" vertical="top"/>
    </xf>
    <xf numFmtId="0" fontId="387" fillId="5" borderId="3" xfId="0" applyFont="1" applyFill="1" applyBorder="1" applyAlignment="1">
      <alignment horizontal="center" vertical="top"/>
    </xf>
    <xf numFmtId="0" fontId="388" fillId="5" borderId="3" xfId="0" applyFont="1" applyFill="1" applyBorder="1" applyAlignment="1">
      <alignment horizontal="center" vertical="top"/>
    </xf>
    <xf numFmtId="0" fontId="389" fillId="5" borderId="3" xfId="0" applyFont="1" applyFill="1" applyBorder="1" applyAlignment="1">
      <alignment horizontal="center" vertical="top"/>
    </xf>
    <xf numFmtId="0" fontId="390" fillId="5" borderId="3" xfId="0" applyFont="1" applyFill="1" applyBorder="1" applyAlignment="1">
      <alignment horizontal="center" vertical="top"/>
    </xf>
    <xf numFmtId="0" fontId="391" fillId="5" borderId="3" xfId="0" applyFont="1" applyFill="1" applyBorder="1" applyAlignment="1">
      <alignment horizontal="center" vertical="top"/>
    </xf>
    <xf numFmtId="0" fontId="392" fillId="5" borderId="3" xfId="0" applyFont="1" applyFill="1" applyBorder="1" applyAlignment="1">
      <alignment horizontal="center" vertical="top"/>
    </xf>
    <xf numFmtId="0" fontId="393" fillId="5" borderId="3" xfId="0" applyFont="1" applyFill="1" applyBorder="1" applyAlignment="1">
      <alignment horizontal="center" vertical="top"/>
    </xf>
    <xf numFmtId="0" fontId="394" fillId="5" borderId="3" xfId="0" applyFont="1" applyFill="1" applyBorder="1" applyAlignment="1">
      <alignment horizontal="center" vertical="top"/>
    </xf>
    <xf numFmtId="0" fontId="395" fillId="5" borderId="3" xfId="0" applyFont="1" applyFill="1" applyBorder="1" applyAlignment="1">
      <alignment horizontal="left" vertical="top" wrapText="1"/>
    </xf>
    <xf numFmtId="0" fontId="396" fillId="5" borderId="3" xfId="0" applyFont="1" applyFill="1" applyBorder="1" applyAlignment="1">
      <alignment horizontal="center" vertical="top"/>
    </xf>
    <xf numFmtId="0" fontId="397" fillId="5" borderId="3" xfId="0" applyFont="1" applyFill="1" applyBorder="1" applyAlignment="1">
      <alignment horizontal="center" vertical="top"/>
    </xf>
    <xf numFmtId="0" fontId="398" fillId="5" borderId="3" xfId="0" applyFont="1" applyFill="1" applyBorder="1" applyAlignment="1">
      <alignment horizontal="center" vertical="top"/>
    </xf>
    <xf numFmtId="0" fontId="399" fillId="5" borderId="3" xfId="0" applyFont="1" applyFill="1" applyBorder="1" applyAlignment="1">
      <alignment horizontal="center" vertical="top"/>
    </xf>
    <xf numFmtId="0" fontId="400" fillId="5" borderId="3" xfId="0" applyFont="1" applyFill="1" applyBorder="1" applyAlignment="1">
      <alignment horizontal="center" vertical="top"/>
    </xf>
    <xf numFmtId="0" fontId="401" fillId="5" borderId="3" xfId="0" applyFont="1" applyFill="1" applyBorder="1" applyAlignment="1">
      <alignment horizontal="center" vertical="top"/>
    </xf>
    <xf numFmtId="0" fontId="402" fillId="5" borderId="3" xfId="0" applyFont="1" applyFill="1" applyBorder="1" applyAlignment="1">
      <alignment horizontal="center" vertical="top"/>
    </xf>
    <xf numFmtId="0" fontId="403" fillId="5" borderId="3" xfId="0" applyFont="1" applyFill="1" applyBorder="1" applyAlignment="1">
      <alignment horizontal="center" vertical="top"/>
    </xf>
    <xf numFmtId="0" fontId="404" fillId="5" borderId="3" xfId="0" applyFont="1" applyFill="1" applyBorder="1" applyAlignment="1">
      <alignment horizontal="center" vertical="top"/>
    </xf>
    <xf numFmtId="0" fontId="405" fillId="5" borderId="3" xfId="0" applyFont="1" applyFill="1" applyBorder="1" applyAlignment="1">
      <alignment horizontal="center" vertical="top"/>
    </xf>
    <xf numFmtId="0" fontId="406" fillId="5" borderId="3" xfId="0" applyFont="1" applyFill="1" applyBorder="1" applyAlignment="1">
      <alignment horizontal="center" vertical="top"/>
    </xf>
    <xf numFmtId="0" fontId="407" fillId="5" borderId="3" xfId="0" applyFont="1" applyFill="1" applyBorder="1" applyAlignment="1">
      <alignment horizontal="center" vertical="top"/>
    </xf>
    <xf numFmtId="0" fontId="408" fillId="5" borderId="3" xfId="0" applyFont="1" applyFill="1" applyBorder="1" applyAlignment="1">
      <alignment horizontal="center" vertical="top"/>
    </xf>
    <xf numFmtId="0" fontId="409" fillId="5" borderId="3" xfId="0" applyFont="1" applyFill="1" applyBorder="1" applyAlignment="1">
      <alignment horizontal="center" vertical="top"/>
    </xf>
    <xf numFmtId="0" fontId="410" fillId="5" borderId="3" xfId="0" applyFont="1" applyFill="1" applyBorder="1" applyAlignment="1">
      <alignment horizontal="center" vertical="top"/>
    </xf>
    <xf numFmtId="0" fontId="411" fillId="5" borderId="3" xfId="0" applyFont="1" applyFill="1" applyBorder="1" applyAlignment="1">
      <alignment horizontal="center" vertical="top"/>
    </xf>
    <xf numFmtId="0" fontId="412" fillId="5" borderId="3" xfId="0" applyFont="1" applyFill="1" applyBorder="1" applyAlignment="1">
      <alignment horizontal="center" vertical="top"/>
    </xf>
    <xf numFmtId="0" fontId="413" fillId="5" borderId="3" xfId="0" applyFont="1" applyFill="1" applyBorder="1" applyAlignment="1">
      <alignment horizontal="center" vertical="top"/>
    </xf>
    <xf numFmtId="0" fontId="414" fillId="5" borderId="3" xfId="0" applyFont="1" applyFill="1" applyBorder="1" applyAlignment="1">
      <alignment horizontal="center" vertical="top"/>
    </xf>
    <xf numFmtId="0" fontId="415" fillId="5" borderId="3" xfId="0" applyFont="1" applyFill="1" applyBorder="1" applyAlignment="1">
      <alignment horizontal="center" vertical="top"/>
    </xf>
    <xf numFmtId="0" fontId="416" fillId="5" borderId="3" xfId="0" applyFont="1" applyFill="1" applyBorder="1" applyAlignment="1">
      <alignment horizontal="center" vertical="top"/>
    </xf>
    <xf numFmtId="0" fontId="417" fillId="5" borderId="3" xfId="0" applyFont="1" applyFill="1" applyBorder="1" applyAlignment="1">
      <alignment horizontal="left" vertical="top" wrapText="1"/>
    </xf>
    <xf numFmtId="0" fontId="418" fillId="5" borderId="3" xfId="0" applyFont="1" applyFill="1" applyBorder="1" applyAlignment="1">
      <alignment horizontal="center" vertical="top"/>
    </xf>
    <xf numFmtId="0" fontId="419" fillId="5" borderId="3" xfId="0" applyFont="1" applyFill="1" applyBorder="1" applyAlignment="1">
      <alignment horizontal="center" vertical="top"/>
    </xf>
    <xf numFmtId="0" fontId="420" fillId="5" borderId="3" xfId="0" applyFont="1" applyFill="1" applyBorder="1" applyAlignment="1">
      <alignment horizontal="center" vertical="top"/>
    </xf>
    <xf numFmtId="0" fontId="421" fillId="5" borderId="3" xfId="0" applyFont="1" applyFill="1" applyBorder="1" applyAlignment="1">
      <alignment horizontal="left" vertical="top" wrapText="1"/>
    </xf>
    <xf numFmtId="0" fontId="422" fillId="5" borderId="3" xfId="0" applyFont="1" applyFill="1" applyBorder="1" applyAlignment="1">
      <alignment horizontal="left" vertical="top" wrapText="1"/>
    </xf>
    <xf numFmtId="0" fontId="423" fillId="5" borderId="3" xfId="0" applyFont="1" applyFill="1" applyBorder="1" applyAlignment="1">
      <alignment horizontal="left" vertical="top" wrapText="1"/>
    </xf>
    <xf numFmtId="0" fontId="429" fillId="5" borderId="3" xfId="0" applyFont="1" applyFill="1" applyBorder="1" applyAlignment="1">
      <alignment horizontal="left" vertical="top" wrapText="1"/>
    </xf>
    <xf numFmtId="0" fontId="430" fillId="5" borderId="3" xfId="0" applyFont="1" applyFill="1" applyBorder="1" applyAlignment="1">
      <alignment horizontal="center" vertical="top"/>
    </xf>
    <xf numFmtId="0" fontId="431" fillId="5" borderId="3" xfId="0" applyFont="1" applyFill="1" applyBorder="1" applyAlignment="1">
      <alignment horizontal="center" vertical="top"/>
    </xf>
    <xf numFmtId="0" fontId="432" fillId="5" borderId="3" xfId="0" applyFont="1" applyFill="1" applyBorder="1" applyAlignment="1">
      <alignment horizontal="center" vertical="top"/>
    </xf>
    <xf numFmtId="0" fontId="433" fillId="5" borderId="3" xfId="0" applyFont="1" applyFill="1" applyBorder="1" applyAlignment="1">
      <alignment horizontal="center" vertical="top"/>
    </xf>
    <xf numFmtId="0" fontId="434" fillId="5" borderId="3" xfId="0" applyFont="1" applyFill="1" applyBorder="1" applyAlignment="1">
      <alignment horizontal="center" vertical="top"/>
    </xf>
    <xf numFmtId="0" fontId="435" fillId="5" borderId="3" xfId="0" applyFont="1" applyFill="1" applyBorder="1" applyAlignment="1">
      <alignment horizontal="center" vertical="top"/>
    </xf>
    <xf numFmtId="0" fontId="436" fillId="5" borderId="3" xfId="0" applyFont="1" applyFill="1" applyBorder="1" applyAlignment="1">
      <alignment horizontal="center" vertical="top"/>
    </xf>
    <xf numFmtId="0" fontId="437" fillId="5" borderId="3" xfId="0" applyFont="1" applyFill="1" applyBorder="1" applyAlignment="1">
      <alignment horizontal="center" vertical="top"/>
    </xf>
    <xf numFmtId="0" fontId="438" fillId="5" borderId="3" xfId="0" applyFont="1" applyFill="1" applyBorder="1" applyAlignment="1">
      <alignment horizontal="center" vertical="top"/>
    </xf>
    <xf numFmtId="0" fontId="439" fillId="5" borderId="3" xfId="0" applyFont="1" applyFill="1" applyBorder="1" applyAlignment="1">
      <alignment horizontal="center" vertical="top"/>
    </xf>
    <xf numFmtId="0" fontId="440" fillId="5" borderId="3" xfId="0" applyFont="1" applyFill="1" applyBorder="1" applyAlignment="1">
      <alignment horizontal="center" vertical="top"/>
    </xf>
    <xf numFmtId="0" fontId="441" fillId="5" borderId="3" xfId="0" applyFont="1" applyFill="1" applyBorder="1" applyAlignment="1">
      <alignment horizontal="center" vertical="top"/>
    </xf>
    <xf numFmtId="0" fontId="442" fillId="5" borderId="3" xfId="0" applyFont="1" applyFill="1" applyBorder="1" applyAlignment="1">
      <alignment horizontal="center" vertical="top"/>
    </xf>
    <xf numFmtId="0" fontId="443" fillId="5" borderId="3" xfId="0" applyFont="1" applyFill="1" applyBorder="1" applyAlignment="1">
      <alignment horizontal="center" vertical="top"/>
    </xf>
    <xf numFmtId="0" fontId="444" fillId="5" borderId="3" xfId="0" applyFont="1" applyFill="1" applyBorder="1" applyAlignment="1">
      <alignment horizontal="center" vertical="top"/>
    </xf>
    <xf numFmtId="0" fontId="445" fillId="5" borderId="3" xfId="0" applyFont="1" applyFill="1" applyBorder="1" applyAlignment="1">
      <alignment horizontal="left" vertical="top" wrapText="1"/>
    </xf>
    <xf numFmtId="0" fontId="446" fillId="5" borderId="3" xfId="0" applyFont="1" applyFill="1" applyBorder="1" applyAlignment="1">
      <alignment horizontal="left" vertical="top" wrapText="1"/>
    </xf>
    <xf numFmtId="0" fontId="447" fillId="5" borderId="3" xfId="0" applyFont="1" applyFill="1" applyBorder="1" applyAlignment="1">
      <alignment horizontal="left" vertical="top" wrapText="1"/>
    </xf>
    <xf numFmtId="0" fontId="450" fillId="5" borderId="3" xfId="0" applyFont="1" applyFill="1" applyBorder="1" applyAlignment="1">
      <alignment horizontal="left" vertical="top" wrapText="1"/>
    </xf>
    <xf numFmtId="0" fontId="451" fillId="5" borderId="3" xfId="0" applyFont="1" applyFill="1" applyBorder="1" applyAlignment="1">
      <alignment horizontal="left" vertical="top" wrapText="1"/>
    </xf>
    <xf numFmtId="0" fontId="452" fillId="5" borderId="3" xfId="0" applyFont="1" applyFill="1" applyBorder="1" applyAlignment="1">
      <alignment horizontal="left" vertical="top" wrapText="1"/>
    </xf>
    <xf numFmtId="0" fontId="453" fillId="5" borderId="3" xfId="0" applyFont="1" applyFill="1" applyBorder="1" applyAlignment="1">
      <alignment horizontal="left" vertical="top" wrapText="1"/>
    </xf>
    <xf numFmtId="0" fontId="454" fillId="5" borderId="3" xfId="0" applyFont="1" applyFill="1" applyBorder="1" applyAlignment="1">
      <alignment horizontal="left" vertical="top" wrapText="1"/>
    </xf>
    <xf numFmtId="0" fontId="455" fillId="5" borderId="3" xfId="0" applyFont="1" applyFill="1" applyBorder="1" applyAlignment="1">
      <alignment horizontal="left" vertical="top" wrapText="1"/>
    </xf>
    <xf numFmtId="0" fontId="456" fillId="5" borderId="3" xfId="0" applyFont="1" applyFill="1" applyBorder="1" applyAlignment="1">
      <alignment horizontal="left" vertical="top" wrapText="1"/>
    </xf>
    <xf numFmtId="0" fontId="457" fillId="5" borderId="3" xfId="0" applyFont="1" applyFill="1" applyBorder="1" applyAlignment="1">
      <alignment horizontal="left" vertical="top" wrapText="1"/>
    </xf>
    <xf numFmtId="0" fontId="458" fillId="5" borderId="3" xfId="0" applyFont="1" applyFill="1" applyBorder="1" applyAlignment="1">
      <alignment horizontal="left" vertical="top" wrapText="1"/>
    </xf>
    <xf numFmtId="0" fontId="459" fillId="5" borderId="3" xfId="0" applyFont="1" applyFill="1" applyBorder="1" applyAlignment="1">
      <alignment horizontal="left" vertical="top" wrapText="1"/>
    </xf>
    <xf numFmtId="0" fontId="460" fillId="5" borderId="3" xfId="0" applyFont="1" applyFill="1" applyBorder="1" applyAlignment="1">
      <alignment horizontal="left" vertical="top" wrapText="1"/>
    </xf>
    <xf numFmtId="0" fontId="461" fillId="5" borderId="3" xfId="0" applyFont="1" applyFill="1" applyBorder="1" applyAlignment="1">
      <alignment horizontal="left" vertical="top" wrapText="1"/>
    </xf>
    <xf numFmtId="0" fontId="462" fillId="5" borderId="3" xfId="0" applyFont="1" applyFill="1" applyBorder="1" applyAlignment="1">
      <alignment horizontal="left" vertical="top" wrapText="1"/>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66" fillId="5" borderId="3" xfId="0" applyFont="1" applyFill="1" applyBorder="1" applyAlignment="1">
      <alignment horizontal="left" vertical="top" wrapText="1"/>
    </xf>
    <xf numFmtId="0" fontId="467" fillId="5" borderId="3" xfId="0" applyFont="1" applyFill="1" applyBorder="1" applyAlignment="1">
      <alignment horizontal="left" vertical="top" wrapText="1"/>
    </xf>
    <xf numFmtId="0" fontId="468" fillId="5" borderId="3" xfId="0" applyFont="1" applyFill="1" applyBorder="1" applyAlignment="1">
      <alignment horizontal="left" vertical="top" wrapText="1"/>
    </xf>
    <xf numFmtId="0" fontId="469" fillId="5" borderId="3" xfId="0" applyFont="1" applyFill="1" applyBorder="1" applyAlignment="1">
      <alignment horizontal="left" vertical="top" wrapText="1"/>
    </xf>
    <xf numFmtId="0" fontId="470" fillId="5" borderId="3" xfId="0" applyFont="1" applyFill="1" applyBorder="1" applyAlignment="1">
      <alignment horizontal="left" vertical="top" wrapText="1"/>
    </xf>
    <xf numFmtId="0" fontId="471" fillId="5" borderId="3" xfId="0" applyFont="1" applyFill="1" applyBorder="1" applyAlignment="1">
      <alignment horizontal="left" vertical="top" wrapText="1"/>
    </xf>
    <xf numFmtId="0" fontId="472" fillId="5" borderId="3" xfId="0" applyFont="1" applyFill="1" applyBorder="1" applyAlignment="1">
      <alignment horizontal="left" vertical="top" wrapText="1"/>
    </xf>
    <xf numFmtId="0" fontId="473" fillId="5" borderId="3" xfId="0" applyFont="1" applyFill="1" applyBorder="1" applyAlignment="1">
      <alignment horizontal="left" vertical="top" wrapText="1"/>
    </xf>
    <xf numFmtId="0" fontId="474" fillId="5" borderId="3" xfId="0" applyFont="1" applyFill="1" applyBorder="1" applyAlignment="1">
      <alignment horizontal="left" vertical="top" wrapText="1"/>
    </xf>
    <xf numFmtId="0" fontId="475" fillId="5" borderId="3" xfId="0" applyFont="1" applyFill="1" applyBorder="1" applyAlignment="1">
      <alignment horizontal="left" vertical="top" wrapText="1"/>
    </xf>
    <xf numFmtId="0" fontId="476" fillId="5" borderId="3" xfId="0" applyFont="1" applyFill="1" applyBorder="1" applyAlignment="1">
      <alignment horizontal="left" vertical="top" wrapText="1"/>
    </xf>
    <xf numFmtId="0" fontId="477" fillId="5" borderId="3" xfId="0" applyFont="1" applyFill="1" applyBorder="1" applyAlignment="1">
      <alignment horizontal="left" vertical="top" wrapText="1"/>
    </xf>
    <xf numFmtId="0" fontId="478" fillId="5" borderId="3" xfId="0" applyFont="1" applyFill="1" applyBorder="1" applyAlignment="1">
      <alignment horizontal="left" vertical="top" wrapText="1"/>
    </xf>
    <xf numFmtId="0" fontId="479" fillId="5" borderId="3" xfId="0" applyFont="1" applyFill="1" applyBorder="1" applyAlignment="1">
      <alignment horizontal="center" vertical="top"/>
    </xf>
    <xf numFmtId="0" fontId="480" fillId="5" borderId="3" xfId="0" applyFont="1" applyFill="1" applyBorder="1" applyAlignment="1">
      <alignment horizontal="left" vertical="top" wrapText="1"/>
    </xf>
    <xf numFmtId="0" fontId="481" fillId="5" borderId="3" xfId="0" applyFont="1" applyFill="1" applyBorder="1" applyAlignment="1">
      <alignment horizontal="left" vertical="top" wrapText="1"/>
    </xf>
    <xf numFmtId="0" fontId="482" fillId="5" borderId="3" xfId="0" applyFont="1" applyFill="1" applyBorder="1" applyAlignment="1">
      <alignment horizontal="left" vertical="top" wrapText="1"/>
    </xf>
    <xf numFmtId="0" fontId="483" fillId="5" borderId="3" xfId="0" applyFont="1" applyFill="1" applyBorder="1" applyAlignment="1">
      <alignment horizontal="left" vertical="top" wrapText="1"/>
    </xf>
    <xf numFmtId="0" fontId="484" fillId="5" borderId="3" xfId="0" applyFont="1" applyFill="1" applyBorder="1" applyAlignment="1">
      <alignment horizontal="left" vertical="top" wrapText="1"/>
    </xf>
    <xf numFmtId="0" fontId="485" fillId="5" borderId="3" xfId="0" applyFont="1" applyFill="1" applyBorder="1" applyAlignment="1">
      <alignment horizontal="center" vertical="top"/>
    </xf>
    <xf numFmtId="0" fontId="486" fillId="5" borderId="3" xfId="0" applyFont="1" applyFill="1" applyBorder="1" applyAlignment="1">
      <alignment horizontal="center" vertical="top"/>
    </xf>
    <xf numFmtId="0" fontId="487" fillId="5" borderId="3" xfId="0" applyFont="1" applyFill="1" applyBorder="1" applyAlignment="1">
      <alignment horizontal="center" vertical="top"/>
    </xf>
    <xf numFmtId="0" fontId="488" fillId="5" borderId="3" xfId="0" applyFont="1" applyFill="1" applyBorder="1" applyAlignment="1">
      <alignment horizontal="center" vertical="top"/>
    </xf>
    <xf numFmtId="0" fontId="489" fillId="5" borderId="3" xfId="0" applyFont="1" applyFill="1" applyBorder="1" applyAlignment="1">
      <alignment horizontal="left" vertical="top" wrapText="1"/>
    </xf>
    <xf numFmtId="0" fontId="490" fillId="5" borderId="3" xfId="0" applyFont="1" applyFill="1" applyBorder="1" applyAlignment="1">
      <alignment horizontal="left" vertical="top" wrapText="1"/>
    </xf>
    <xf numFmtId="0" fontId="491" fillId="5" borderId="3" xfId="0" applyFont="1" applyFill="1" applyBorder="1" applyAlignment="1">
      <alignment horizontal="left" vertical="top" wrapText="1"/>
    </xf>
    <xf numFmtId="0" fontId="492" fillId="5" borderId="3" xfId="0" applyFont="1" applyFill="1" applyBorder="1" applyAlignment="1">
      <alignment horizontal="left" vertical="top" wrapText="1"/>
    </xf>
    <xf numFmtId="0" fontId="493" fillId="5" borderId="3" xfId="0" applyFont="1" applyFill="1" applyBorder="1" applyAlignment="1">
      <alignment horizontal="left" vertical="top" wrapText="1"/>
    </xf>
    <xf numFmtId="0" fontId="494" fillId="5" borderId="3" xfId="0" applyFont="1" applyFill="1" applyBorder="1" applyAlignment="1">
      <alignment horizontal="left" vertical="top" wrapText="1"/>
    </xf>
    <xf numFmtId="0" fontId="495" fillId="5" borderId="3" xfId="0" applyFont="1" applyFill="1" applyBorder="1" applyAlignment="1">
      <alignment horizontal="left" vertical="top" wrapText="1"/>
    </xf>
    <xf numFmtId="0" fontId="496" fillId="5" borderId="3" xfId="0" applyFont="1" applyFill="1" applyBorder="1" applyAlignment="1">
      <alignment horizontal="left" vertical="top" wrapText="1"/>
    </xf>
    <xf numFmtId="0" fontId="497" fillId="5" borderId="3" xfId="0" applyFont="1" applyFill="1" applyBorder="1" applyAlignment="1">
      <alignment horizontal="left" vertical="top" wrapText="1"/>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left" vertical="top" wrapText="1"/>
    </xf>
    <xf numFmtId="0" fontId="504" fillId="5" borderId="3" xfId="0" applyFont="1" applyFill="1" applyBorder="1" applyAlignment="1">
      <alignment horizontal="left" vertical="top" wrapText="1"/>
    </xf>
    <xf numFmtId="0" fontId="505" fillId="5" borderId="3" xfId="0" applyFont="1" applyFill="1" applyBorder="1" applyAlignment="1">
      <alignment horizontal="left" vertical="top" wrapText="1"/>
    </xf>
    <xf numFmtId="0" fontId="506" fillId="5" borderId="3" xfId="0" applyFont="1" applyFill="1" applyBorder="1" applyAlignment="1">
      <alignment horizontal="left" vertical="top" wrapText="1"/>
    </xf>
    <xf numFmtId="0" fontId="507" fillId="5" borderId="3" xfId="0" applyFont="1" applyFill="1" applyBorder="1" applyAlignment="1">
      <alignment horizontal="left" vertical="top" wrapText="1"/>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left" vertical="top" wrapText="1"/>
    </xf>
    <xf numFmtId="0" fontId="512" fillId="5" borderId="3" xfId="0" applyFont="1" applyFill="1" applyBorder="1" applyAlignment="1">
      <alignment horizontal="left" vertical="top" wrapText="1"/>
    </xf>
    <xf numFmtId="0" fontId="513" fillId="5" borderId="3" xfId="0" applyFont="1" applyFill="1" applyBorder="1" applyAlignment="1">
      <alignment horizontal="left" vertical="top" wrapText="1"/>
    </xf>
    <xf numFmtId="0" fontId="514" fillId="5" borderId="3" xfId="0" applyFont="1" applyFill="1" applyBorder="1" applyAlignment="1">
      <alignment horizontal="left" vertical="top" wrapText="1"/>
    </xf>
    <xf numFmtId="0" fontId="515" fillId="5" borderId="3" xfId="0" applyFont="1" applyFill="1" applyBorder="1" applyAlignment="1">
      <alignment horizontal="left" vertical="top" wrapText="1"/>
    </xf>
    <xf numFmtId="0" fontId="516" fillId="5" borderId="3" xfId="0" applyFont="1" applyFill="1" applyBorder="1" applyAlignment="1">
      <alignment horizontal="left" vertical="top" wrapText="1"/>
    </xf>
    <xf numFmtId="0" fontId="517" fillId="5" borderId="3" xfId="0" applyFont="1" applyFill="1" applyBorder="1" applyAlignment="1">
      <alignment horizontal="left" vertical="top" wrapText="1"/>
    </xf>
    <xf numFmtId="0" fontId="518" fillId="5" borderId="3" xfId="0" applyFont="1" applyFill="1" applyBorder="1" applyAlignment="1">
      <alignment horizontal="left" vertical="top" wrapText="1"/>
    </xf>
    <xf numFmtId="0" fontId="519" fillId="5" borderId="3" xfId="0" applyFont="1" applyFill="1" applyBorder="1" applyAlignment="1">
      <alignment horizontal="left" vertical="top" wrapText="1"/>
    </xf>
    <xf numFmtId="0" fontId="520" fillId="5" borderId="3" xfId="0" applyFont="1" applyFill="1" applyBorder="1" applyAlignment="1">
      <alignment horizontal="left" vertical="top" wrapText="1"/>
    </xf>
    <xf numFmtId="0" fontId="521" fillId="5" borderId="3" xfId="0" applyFont="1" applyFill="1" applyBorder="1" applyAlignment="1">
      <alignment horizontal="left" vertical="top" wrapText="1"/>
    </xf>
    <xf numFmtId="0" fontId="522" fillId="5" borderId="3" xfId="0" applyFont="1" applyFill="1" applyBorder="1" applyAlignment="1">
      <alignment horizontal="left" vertical="top" wrapText="1"/>
    </xf>
    <xf numFmtId="0" fontId="523" fillId="5" borderId="3" xfId="0" applyFont="1" applyFill="1" applyBorder="1" applyAlignment="1">
      <alignment horizontal="left" vertical="top" wrapText="1"/>
    </xf>
    <xf numFmtId="0" fontId="524" fillId="5" borderId="3" xfId="0" applyFont="1" applyFill="1" applyBorder="1" applyAlignment="1">
      <alignment horizontal="left" vertical="top" wrapText="1"/>
    </xf>
    <xf numFmtId="0" fontId="525" fillId="5" borderId="3" xfId="0" applyFont="1" applyFill="1" applyBorder="1" applyAlignment="1">
      <alignment horizontal="left" vertical="top" wrapText="1"/>
    </xf>
    <xf numFmtId="0" fontId="526" fillId="5" borderId="3" xfId="0" applyFont="1" applyFill="1" applyBorder="1" applyAlignment="1">
      <alignment horizontal="left" vertical="top" wrapText="1"/>
    </xf>
    <xf numFmtId="0" fontId="527" fillId="5" borderId="3" xfId="0" applyFont="1" applyFill="1" applyBorder="1" applyAlignment="1">
      <alignment horizontal="left" vertical="top" wrapText="1"/>
    </xf>
    <xf numFmtId="0" fontId="528" fillId="5" borderId="3" xfId="0" applyFont="1" applyFill="1" applyBorder="1" applyAlignment="1">
      <alignment horizontal="left" vertical="top" wrapText="1"/>
    </xf>
    <xf numFmtId="0" fontId="529" fillId="5" borderId="3" xfId="0" applyFont="1" applyFill="1" applyBorder="1" applyAlignment="1">
      <alignment horizontal="left" vertical="top" wrapText="1"/>
    </xf>
    <xf numFmtId="0" fontId="530" fillId="5" borderId="3" xfId="0" applyFont="1" applyFill="1" applyBorder="1" applyAlignment="1">
      <alignment horizontal="left" vertical="top" wrapText="1"/>
    </xf>
    <xf numFmtId="0" fontId="531" fillId="5" borderId="3" xfId="0" applyFont="1" applyFill="1" applyBorder="1" applyAlignment="1">
      <alignment horizontal="left" vertical="top" wrapText="1"/>
    </xf>
    <xf numFmtId="0" fontId="532" fillId="5" borderId="3" xfId="0" applyFont="1" applyFill="1" applyBorder="1" applyAlignment="1">
      <alignment horizontal="left" vertical="top" wrapText="1"/>
    </xf>
    <xf numFmtId="0" fontId="533" fillId="5" borderId="3" xfId="0" applyFont="1" applyFill="1" applyBorder="1" applyAlignment="1">
      <alignment horizontal="center" vertical="top"/>
    </xf>
    <xf numFmtId="0" fontId="534" fillId="5" borderId="3" xfId="0" applyFont="1" applyFill="1" applyBorder="1" applyAlignment="1">
      <alignment horizontal="center" vertical="top"/>
    </xf>
    <xf numFmtId="0" fontId="535" fillId="5" borderId="3" xfId="0" applyFont="1" applyFill="1" applyBorder="1" applyAlignment="1">
      <alignment horizontal="left" vertical="top" wrapText="1"/>
    </xf>
    <xf numFmtId="0" fontId="536" fillId="5" borderId="3" xfId="0" applyFont="1" applyFill="1" applyBorder="1" applyAlignment="1">
      <alignment horizontal="left" vertical="top" wrapText="1"/>
    </xf>
    <xf numFmtId="0" fontId="537" fillId="5" borderId="3" xfId="0" applyFont="1" applyFill="1" applyBorder="1" applyAlignment="1">
      <alignment horizontal="left" vertical="top" wrapText="1"/>
    </xf>
    <xf numFmtId="0" fontId="538" fillId="5" borderId="3" xfId="0" applyFont="1" applyFill="1" applyBorder="1" applyAlignment="1">
      <alignment horizontal="left" vertical="top" wrapText="1"/>
    </xf>
    <xf numFmtId="0" fontId="539" fillId="5" borderId="3" xfId="0" applyFont="1" applyFill="1" applyBorder="1" applyAlignment="1">
      <alignment horizontal="left" vertical="top" wrapText="1"/>
    </xf>
    <xf numFmtId="0" fontId="540" fillId="5" borderId="3" xfId="0" applyFont="1" applyFill="1" applyBorder="1" applyAlignment="1">
      <alignment horizontal="left" vertical="top" wrapText="1"/>
    </xf>
    <xf numFmtId="0" fontId="541" fillId="5" borderId="3" xfId="0" applyFont="1" applyFill="1" applyBorder="1" applyAlignment="1">
      <alignment horizontal="left" vertical="top" wrapText="1"/>
    </xf>
    <xf numFmtId="0" fontId="542" fillId="5" borderId="3" xfId="0" applyFont="1" applyFill="1" applyBorder="1" applyAlignment="1">
      <alignment horizontal="left" vertical="top" wrapText="1"/>
    </xf>
    <xf numFmtId="0" fontId="543" fillId="5" borderId="3" xfId="0" applyFont="1" applyFill="1" applyBorder="1" applyAlignment="1">
      <alignment horizontal="left" vertical="top" wrapText="1"/>
    </xf>
    <xf numFmtId="0" fontId="544" fillId="5" borderId="3" xfId="0" applyFont="1" applyFill="1" applyBorder="1" applyAlignment="1">
      <alignment horizontal="left" vertical="top" wrapText="1"/>
    </xf>
    <xf numFmtId="0" fontId="545" fillId="5" borderId="3" xfId="0" applyFont="1" applyFill="1" applyBorder="1" applyAlignment="1">
      <alignment horizontal="left" vertical="top" wrapText="1"/>
    </xf>
    <xf numFmtId="0" fontId="546" fillId="5" borderId="3" xfId="0" applyFont="1" applyFill="1" applyBorder="1" applyAlignment="1">
      <alignment horizontal="left" vertical="top" wrapText="1"/>
    </xf>
    <xf numFmtId="0" fontId="547" fillId="5" borderId="3" xfId="0" applyFont="1" applyFill="1" applyBorder="1" applyAlignment="1">
      <alignment horizontal="left" vertical="top" wrapText="1"/>
    </xf>
    <xf numFmtId="0" fontId="548" fillId="5" borderId="3" xfId="0" applyFont="1" applyFill="1" applyBorder="1" applyAlignment="1">
      <alignment horizontal="left" vertical="top" wrapText="1"/>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left" vertical="top" wrapText="1"/>
    </xf>
    <xf numFmtId="0" fontId="554" fillId="3" borderId="3" xfId="0" applyFont="1" applyFill="1" applyBorder="1" applyAlignment="1">
      <alignment horizontal="left" vertical="top" wrapText="1"/>
    </xf>
    <xf numFmtId="0" fontId="556" fillId="4" borderId="3" xfId="0" applyFont="1" applyFill="1" applyBorder="1" applyAlignment="1">
      <alignment horizontal="center" vertical="top" wrapText="1"/>
    </xf>
    <xf numFmtId="0" fontId="572" fillId="5" borderId="3" xfId="0" applyFont="1" applyFill="1" applyBorder="1" applyAlignment="1">
      <alignment horizontal="center" vertical="top"/>
    </xf>
    <xf numFmtId="0" fontId="574" fillId="5" borderId="3" xfId="0" applyFont="1" applyFill="1" applyBorder="1" applyAlignment="1">
      <alignment horizontal="left" vertical="top" wrapText="1"/>
    </xf>
    <xf numFmtId="0" fontId="575" fillId="5" borderId="3" xfId="0" applyFont="1" applyFill="1" applyBorder="1" applyAlignment="1">
      <alignment horizontal="left" vertical="top" wrapText="1"/>
    </xf>
    <xf numFmtId="0" fontId="597" fillId="5" borderId="3" xfId="0" applyFont="1" applyFill="1" applyBorder="1" applyAlignment="1">
      <alignment horizontal="left" vertical="top" wrapText="1"/>
    </xf>
    <xf numFmtId="0" fontId="598" fillId="5" borderId="3" xfId="0" applyFont="1" applyFill="1" applyBorder="1" applyAlignment="1">
      <alignment horizontal="center" vertical="top"/>
    </xf>
    <xf numFmtId="0" fontId="599" fillId="5" borderId="3" xfId="0" applyFont="1" applyFill="1" applyBorder="1" applyAlignment="1">
      <alignment horizontal="center" vertical="top"/>
    </xf>
    <xf numFmtId="0" fontId="600" fillId="5" borderId="3" xfId="0" applyFont="1" applyFill="1" applyBorder="1" applyAlignment="1">
      <alignment horizontal="center" vertical="top"/>
    </xf>
    <xf numFmtId="0" fontId="601" fillId="5" borderId="3" xfId="0" applyFont="1" applyFill="1" applyBorder="1" applyAlignment="1">
      <alignment horizontal="center" vertical="top"/>
    </xf>
    <xf numFmtId="0" fontId="602" fillId="5" borderId="3" xfId="0" applyFont="1" applyFill="1" applyBorder="1" applyAlignment="1">
      <alignment horizontal="center" vertical="top"/>
    </xf>
    <xf numFmtId="0" fontId="603" fillId="5" borderId="3" xfId="0" applyFont="1" applyFill="1" applyBorder="1" applyAlignment="1">
      <alignment horizontal="center" vertical="top"/>
    </xf>
    <xf numFmtId="0" fontId="604" fillId="5" borderId="3" xfId="0" applyFont="1" applyFill="1" applyBorder="1" applyAlignment="1">
      <alignment horizontal="center" vertical="top"/>
    </xf>
    <xf numFmtId="0" fontId="605" fillId="5" borderId="3" xfId="0" applyFont="1" applyFill="1" applyBorder="1" applyAlignment="1">
      <alignment horizontal="center" vertical="top"/>
    </xf>
    <xf numFmtId="0" fontId="606" fillId="5" borderId="3" xfId="0" applyFont="1" applyFill="1" applyBorder="1" applyAlignment="1">
      <alignment horizontal="left" vertical="top" wrapText="1"/>
    </xf>
    <xf numFmtId="0" fontId="607" fillId="5" borderId="3" xfId="0" applyFont="1" applyFill="1" applyBorder="1" applyAlignment="1">
      <alignment horizontal="center" vertical="top"/>
    </xf>
    <xf numFmtId="0" fontId="608" fillId="5" borderId="3" xfId="0" applyFont="1" applyFill="1" applyBorder="1" applyAlignment="1">
      <alignment horizontal="left" vertical="top" wrapText="1"/>
    </xf>
    <xf numFmtId="0" fontId="609" fillId="5" borderId="3" xfId="0" applyFont="1" applyFill="1" applyBorder="1" applyAlignment="1">
      <alignment horizontal="left" vertical="top" wrapText="1"/>
    </xf>
    <xf numFmtId="0" fontId="610" fillId="5" borderId="3" xfId="0" applyFont="1" applyFill="1" applyBorder="1" applyAlignment="1">
      <alignment horizontal="center" vertical="top"/>
    </xf>
    <xf numFmtId="0" fontId="611" fillId="5" borderId="3" xfId="0" applyFont="1" applyFill="1" applyBorder="1" applyAlignment="1">
      <alignment horizontal="center" vertical="top"/>
    </xf>
    <xf numFmtId="0" fontId="612" fillId="5" borderId="3" xfId="0" applyFont="1" applyFill="1" applyBorder="1" applyAlignment="1">
      <alignment horizontal="left" vertical="top" wrapText="1"/>
    </xf>
    <xf numFmtId="0" fontId="613" fillId="5" borderId="3" xfId="0" applyFont="1" applyFill="1" applyBorder="1" applyAlignment="1">
      <alignment horizontal="left" vertical="top" wrapText="1"/>
    </xf>
    <xf numFmtId="0" fontId="615" fillId="5" borderId="3" xfId="0" applyFont="1" applyFill="1" applyBorder="1" applyAlignment="1">
      <alignment horizontal="left" vertical="top" wrapText="1"/>
    </xf>
    <xf numFmtId="0" fontId="616" fillId="5" borderId="3" xfId="0" applyFont="1" applyFill="1" applyBorder="1" applyAlignment="1">
      <alignment horizontal="left" vertical="top" wrapText="1"/>
    </xf>
    <xf numFmtId="0" fontId="617" fillId="5" borderId="3" xfId="0" applyFont="1" applyFill="1" applyBorder="1" applyAlignment="1">
      <alignment horizontal="left" vertical="top" wrapText="1"/>
    </xf>
    <xf numFmtId="0" fontId="618" fillId="5" borderId="3" xfId="0" applyFont="1" applyFill="1" applyBorder="1" applyAlignment="1">
      <alignment horizontal="left" vertical="top" wrapText="1"/>
    </xf>
    <xf numFmtId="0" fontId="619" fillId="5" borderId="3" xfId="0" applyFont="1" applyFill="1" applyBorder="1" applyAlignment="1">
      <alignment horizontal="left" vertical="top" wrapText="1"/>
    </xf>
    <xf numFmtId="0" fontId="620" fillId="5" borderId="3" xfId="0" applyFont="1" applyFill="1" applyBorder="1" applyAlignment="1">
      <alignment horizontal="left" vertical="top" wrapText="1"/>
    </xf>
    <xf numFmtId="0" fontId="621" fillId="5" borderId="3" xfId="0" applyFont="1" applyFill="1" applyBorder="1" applyAlignment="1">
      <alignment horizontal="left" vertical="top" wrapText="1"/>
    </xf>
    <xf numFmtId="0" fontId="622" fillId="5" borderId="3" xfId="0" applyFont="1" applyFill="1" applyBorder="1" applyAlignment="1">
      <alignment horizontal="left" vertical="top" wrapText="1"/>
    </xf>
    <xf numFmtId="0" fontId="623" fillId="5" borderId="3" xfId="0" applyFont="1" applyFill="1" applyBorder="1" applyAlignment="1">
      <alignment horizontal="left" vertical="top" wrapText="1"/>
    </xf>
    <xf numFmtId="0" fontId="624" fillId="5" borderId="3" xfId="0" applyFont="1" applyFill="1" applyBorder="1" applyAlignment="1">
      <alignment horizontal="left" vertical="top" wrapText="1"/>
    </xf>
    <xf numFmtId="0" fontId="625" fillId="5" borderId="3" xfId="0" applyFont="1" applyFill="1" applyBorder="1" applyAlignment="1">
      <alignment horizontal="left" vertical="top" wrapText="1"/>
    </xf>
    <xf numFmtId="0" fontId="626" fillId="5" borderId="3" xfId="0" applyFont="1" applyFill="1" applyBorder="1" applyAlignment="1">
      <alignment horizontal="left" vertical="top" wrapText="1"/>
    </xf>
    <xf numFmtId="0" fontId="627" fillId="5" borderId="3" xfId="0" applyFont="1" applyFill="1" applyBorder="1" applyAlignment="1">
      <alignment horizontal="left" vertical="top" wrapText="1"/>
    </xf>
    <xf numFmtId="0" fontId="628" fillId="5" borderId="3" xfId="0" applyFont="1" applyFill="1" applyBorder="1" applyAlignment="1">
      <alignment horizontal="left" vertical="top" wrapText="1"/>
    </xf>
    <xf numFmtId="0" fontId="629" fillId="5" borderId="3" xfId="0" applyFont="1" applyFill="1" applyBorder="1" applyAlignment="1">
      <alignment horizontal="left" vertical="top" wrapText="1"/>
    </xf>
    <xf numFmtId="0" fontId="630" fillId="5" borderId="3" xfId="0" applyFont="1" applyFill="1" applyBorder="1" applyAlignment="1">
      <alignment horizontal="left" vertical="top" wrapText="1"/>
    </xf>
    <xf numFmtId="0" fontId="631" fillId="5" borderId="3" xfId="0" applyFont="1" applyFill="1" applyBorder="1" applyAlignment="1">
      <alignment horizontal="left" vertical="top" wrapText="1"/>
    </xf>
    <xf numFmtId="0" fontId="632" fillId="5" borderId="3" xfId="0" applyFont="1" applyFill="1" applyBorder="1" applyAlignment="1">
      <alignment horizontal="left" vertical="top" wrapText="1"/>
    </xf>
    <xf numFmtId="0" fontId="633" fillId="5" borderId="3" xfId="0" applyFont="1" applyFill="1" applyBorder="1" applyAlignment="1">
      <alignment horizontal="left" vertical="top" wrapText="1"/>
    </xf>
    <xf numFmtId="0" fontId="634" fillId="5" borderId="3" xfId="0" applyFont="1" applyFill="1" applyBorder="1" applyAlignment="1">
      <alignment horizontal="left" vertical="top" wrapText="1"/>
    </xf>
    <xf numFmtId="0" fontId="635" fillId="5" borderId="3" xfId="0" applyFont="1" applyFill="1" applyBorder="1" applyAlignment="1">
      <alignment horizontal="left" vertical="top" wrapText="1"/>
    </xf>
    <xf numFmtId="0" fontId="636" fillId="5" borderId="3" xfId="0" applyFont="1" applyFill="1" applyBorder="1" applyAlignment="1">
      <alignment horizontal="left" vertical="top" wrapText="1"/>
    </xf>
    <xf numFmtId="0" fontId="637" fillId="5" borderId="3" xfId="0" applyFont="1" applyFill="1" applyBorder="1" applyAlignment="1">
      <alignment horizontal="left" vertical="top" wrapText="1"/>
    </xf>
    <xf numFmtId="0" fontId="638" fillId="5" borderId="3" xfId="0" applyFont="1" applyFill="1" applyBorder="1" applyAlignment="1">
      <alignment horizontal="left" vertical="top" wrapText="1"/>
    </xf>
    <xf numFmtId="0" fontId="639" fillId="5" borderId="3" xfId="0" applyFont="1" applyFill="1" applyBorder="1" applyAlignment="1">
      <alignment horizontal="left" vertical="top" wrapText="1"/>
    </xf>
    <xf numFmtId="0" fontId="640" fillId="5" borderId="3" xfId="0" applyFont="1" applyFill="1" applyBorder="1" applyAlignment="1">
      <alignment horizontal="left" vertical="top" wrapText="1"/>
    </xf>
    <xf numFmtId="0" fontId="641" fillId="5" borderId="3" xfId="0" applyFont="1" applyFill="1" applyBorder="1" applyAlignment="1">
      <alignment horizontal="left" vertical="top" wrapText="1"/>
    </xf>
    <xf numFmtId="0" fontId="642" fillId="5" borderId="3" xfId="0" applyFont="1" applyFill="1" applyBorder="1" applyAlignment="1">
      <alignment horizontal="left" vertical="top" wrapText="1"/>
    </xf>
    <xf numFmtId="0" fontId="643" fillId="5" borderId="3" xfId="0" applyFont="1" applyFill="1" applyBorder="1" applyAlignment="1">
      <alignment horizontal="left" vertical="top" wrapText="1"/>
    </xf>
    <xf numFmtId="0" fontId="644" fillId="5" borderId="3" xfId="0" applyFont="1" applyFill="1" applyBorder="1" applyAlignment="1">
      <alignment horizontal="left" vertical="top" wrapText="1"/>
    </xf>
    <xf numFmtId="0" fontId="645" fillId="5" borderId="3" xfId="0" applyFont="1" applyFill="1" applyBorder="1" applyAlignment="1">
      <alignment horizontal="left" vertical="top" wrapText="1"/>
    </xf>
    <xf numFmtId="0" fontId="646" fillId="5" borderId="3" xfId="0" applyFont="1" applyFill="1" applyBorder="1" applyAlignment="1">
      <alignment horizontal="left" vertical="top" wrapText="1"/>
    </xf>
    <xf numFmtId="0" fontId="647" fillId="5" borderId="3" xfId="0" applyFont="1" applyFill="1" applyBorder="1" applyAlignment="1">
      <alignment horizontal="left" vertical="top" wrapText="1"/>
    </xf>
    <xf numFmtId="0" fontId="648" fillId="5" borderId="3" xfId="0" applyFont="1" applyFill="1" applyBorder="1" applyAlignment="1">
      <alignment horizontal="left" vertical="top" wrapText="1"/>
    </xf>
    <xf numFmtId="0" fontId="649" fillId="5" borderId="3" xfId="0" applyFont="1" applyFill="1" applyBorder="1" applyAlignment="1">
      <alignment horizontal="left" vertical="top" wrapText="1"/>
    </xf>
    <xf numFmtId="0" fontId="650" fillId="5" borderId="3" xfId="0" applyFont="1" applyFill="1" applyBorder="1" applyAlignment="1">
      <alignment horizontal="left" vertical="top" wrapText="1"/>
    </xf>
    <xf numFmtId="0" fontId="651" fillId="5" borderId="3" xfId="0" applyFont="1" applyFill="1" applyBorder="1" applyAlignment="1">
      <alignment horizontal="left" vertical="top" wrapText="1"/>
    </xf>
    <xf numFmtId="0" fontId="652" fillId="5" borderId="3" xfId="0" applyFont="1" applyFill="1" applyBorder="1" applyAlignment="1">
      <alignment horizontal="left" vertical="top" wrapText="1"/>
    </xf>
    <xf numFmtId="0" fontId="653" fillId="5" borderId="3" xfId="0" applyFont="1" applyFill="1" applyBorder="1" applyAlignment="1">
      <alignment horizontal="left" vertical="top" wrapText="1"/>
    </xf>
    <xf numFmtId="0" fontId="654" fillId="5" borderId="3" xfId="0" applyFont="1" applyFill="1" applyBorder="1" applyAlignment="1">
      <alignment horizontal="left" vertical="top" wrapText="1"/>
    </xf>
    <xf numFmtId="0" fontId="655" fillId="5" borderId="3" xfId="0" applyFont="1" applyFill="1" applyBorder="1" applyAlignment="1">
      <alignment horizontal="left" vertical="top" wrapText="1"/>
    </xf>
    <xf numFmtId="0" fontId="656" fillId="5" borderId="3" xfId="0" applyFont="1" applyFill="1" applyBorder="1" applyAlignment="1">
      <alignment horizontal="left" vertical="top" wrapText="1"/>
    </xf>
    <xf numFmtId="0" fontId="657" fillId="5" borderId="3" xfId="0" applyFont="1" applyFill="1" applyBorder="1" applyAlignment="1">
      <alignment horizontal="left" vertical="top" wrapText="1"/>
    </xf>
    <xf numFmtId="0" fontId="658" fillId="5" borderId="3" xfId="0" applyFont="1" applyFill="1" applyBorder="1" applyAlignment="1">
      <alignment horizontal="left" vertical="top" wrapText="1"/>
    </xf>
    <xf numFmtId="0" fontId="659" fillId="5" borderId="3" xfId="0" applyFont="1" applyFill="1" applyBorder="1" applyAlignment="1">
      <alignment horizontal="left" vertical="top" wrapText="1"/>
    </xf>
    <xf numFmtId="0" fontId="660" fillId="5" borderId="3" xfId="0" applyFont="1" applyFill="1" applyBorder="1" applyAlignment="1">
      <alignment horizontal="left" vertical="top" wrapText="1"/>
    </xf>
    <xf numFmtId="0" fontId="661" fillId="5" borderId="3" xfId="0" applyFont="1" applyFill="1" applyBorder="1" applyAlignment="1">
      <alignment horizontal="left" vertical="top" wrapText="1"/>
    </xf>
    <xf numFmtId="0" fontId="662" fillId="5" borderId="3" xfId="0" applyFont="1" applyFill="1" applyBorder="1" applyAlignment="1">
      <alignment horizontal="left" vertical="top" wrapText="1"/>
    </xf>
    <xf numFmtId="0" fontId="663" fillId="5" borderId="3" xfId="0" applyFont="1" applyFill="1" applyBorder="1" applyAlignment="1">
      <alignment horizontal="left" vertical="top" wrapText="1"/>
    </xf>
    <xf numFmtId="0" fontId="664" fillId="5" borderId="3" xfId="0" applyFont="1" applyFill="1" applyBorder="1" applyAlignment="1">
      <alignment horizontal="left" vertical="top" wrapText="1"/>
    </xf>
    <xf numFmtId="0" fontId="665" fillId="5" borderId="3" xfId="0" applyFont="1" applyFill="1" applyBorder="1" applyAlignment="1">
      <alignment horizontal="left" vertical="top" wrapText="1"/>
    </xf>
    <xf numFmtId="0" fontId="666" fillId="5" borderId="3" xfId="0" applyFont="1" applyFill="1" applyBorder="1" applyAlignment="1">
      <alignment horizontal="left" vertical="top" wrapText="1"/>
    </xf>
    <xf numFmtId="0" fontId="667" fillId="5" borderId="3" xfId="0" applyFont="1" applyFill="1" applyBorder="1" applyAlignment="1">
      <alignment horizontal="left" vertical="top" wrapText="1"/>
    </xf>
    <xf numFmtId="0" fontId="668" fillId="5" borderId="3" xfId="0" applyFont="1" applyFill="1" applyBorder="1" applyAlignment="1">
      <alignment horizontal="left" vertical="top" wrapText="1"/>
    </xf>
    <xf numFmtId="0" fontId="669" fillId="5" borderId="3" xfId="0" applyFont="1" applyFill="1" applyBorder="1" applyAlignment="1">
      <alignment horizontal="left" vertical="top" wrapText="1"/>
    </xf>
    <xf numFmtId="0" fontId="670" fillId="5" borderId="3" xfId="0" applyFont="1" applyFill="1" applyBorder="1" applyAlignment="1">
      <alignment horizontal="left" vertical="top" wrapText="1"/>
    </xf>
    <xf numFmtId="0" fontId="671" fillId="5" borderId="3" xfId="0" applyFont="1" applyFill="1" applyBorder="1" applyAlignment="1">
      <alignment horizontal="left" vertical="top" wrapText="1"/>
    </xf>
    <xf numFmtId="0" fontId="672" fillId="5" borderId="3" xfId="0" applyFont="1" applyFill="1" applyBorder="1" applyAlignment="1">
      <alignment horizontal="center" vertical="top"/>
    </xf>
    <xf numFmtId="0" fontId="673" fillId="5" borderId="3" xfId="0" applyFont="1" applyFill="1" applyBorder="1" applyAlignment="1">
      <alignment horizontal="center" vertical="top"/>
    </xf>
    <xf numFmtId="0" fontId="674" fillId="5" borderId="3" xfId="0" applyFont="1" applyFill="1" applyBorder="1" applyAlignment="1">
      <alignment horizontal="center" vertical="top"/>
    </xf>
    <xf numFmtId="0" fontId="675" fillId="5" borderId="3" xfId="0" applyFont="1" applyFill="1" applyBorder="1" applyAlignment="1">
      <alignment horizontal="center" vertical="top"/>
    </xf>
    <xf numFmtId="0" fontId="676" fillId="5" borderId="3" xfId="0" applyFont="1" applyFill="1" applyBorder="1" applyAlignment="1">
      <alignment horizontal="center" vertical="top"/>
    </xf>
    <xf numFmtId="0" fontId="677" fillId="5" borderId="3" xfId="0" applyFont="1" applyFill="1" applyBorder="1" applyAlignment="1">
      <alignment horizontal="center" vertical="top"/>
    </xf>
    <xf numFmtId="0" fontId="678" fillId="5" borderId="3" xfId="0" applyFont="1" applyFill="1" applyBorder="1" applyAlignment="1">
      <alignment horizontal="center" vertical="top"/>
    </xf>
    <xf numFmtId="0" fontId="679" fillId="5" borderId="3" xfId="0" applyFont="1" applyFill="1" applyBorder="1" applyAlignment="1">
      <alignment horizontal="center" vertical="top"/>
    </xf>
    <xf numFmtId="0" fontId="680" fillId="5" borderId="3" xfId="0" applyFont="1" applyFill="1" applyBorder="1" applyAlignment="1">
      <alignment horizontal="center" vertical="top"/>
    </xf>
    <xf numFmtId="0" fontId="681" fillId="5" borderId="3" xfId="0" applyFont="1" applyFill="1" applyBorder="1" applyAlignment="1">
      <alignment horizontal="center" vertical="top"/>
    </xf>
    <xf numFmtId="0" fontId="682" fillId="5" borderId="3" xfId="0" applyFont="1" applyFill="1" applyBorder="1" applyAlignment="1">
      <alignment horizontal="left" vertical="top" wrapText="1"/>
    </xf>
    <xf numFmtId="0" fontId="683" fillId="5" borderId="3" xfId="0" applyFont="1" applyFill="1" applyBorder="1" applyAlignment="1">
      <alignment horizontal="center" vertical="top"/>
    </xf>
    <xf numFmtId="0" fontId="684" fillId="5" borderId="3" xfId="0" applyFont="1" applyFill="1" applyBorder="1" applyAlignment="1">
      <alignment horizontal="center" vertical="top"/>
    </xf>
    <xf numFmtId="0" fontId="685" fillId="5" borderId="3" xfId="0" applyFont="1" applyFill="1" applyBorder="1" applyAlignment="1">
      <alignment horizontal="center" vertical="top"/>
    </xf>
    <xf numFmtId="0" fontId="686" fillId="5" borderId="3" xfId="0" applyFont="1" applyFill="1" applyBorder="1" applyAlignment="1">
      <alignment horizontal="left" vertical="top" wrapText="1"/>
    </xf>
    <xf numFmtId="0" fontId="687" fillId="5" borderId="3" xfId="0" applyFont="1" applyFill="1" applyBorder="1" applyAlignment="1">
      <alignment horizontal="center" vertical="top"/>
    </xf>
    <xf numFmtId="0" fontId="688" fillId="5" borderId="3" xfId="0" applyFont="1" applyFill="1" applyBorder="1" applyAlignment="1">
      <alignment horizontal="center" vertical="top"/>
    </xf>
    <xf numFmtId="0" fontId="689" fillId="5" borderId="3" xfId="0" applyFont="1" applyFill="1" applyBorder="1" applyAlignment="1">
      <alignment horizontal="center" vertical="top"/>
    </xf>
    <xf numFmtId="0" fontId="690" fillId="5" borderId="3" xfId="0" applyFont="1" applyFill="1" applyBorder="1" applyAlignment="1">
      <alignment horizontal="center" vertical="top"/>
    </xf>
    <xf numFmtId="0" fontId="691" fillId="5" borderId="3" xfId="0" applyFont="1" applyFill="1" applyBorder="1" applyAlignment="1">
      <alignment horizontal="center" vertical="top"/>
    </xf>
    <xf numFmtId="0" fontId="692" fillId="5" borderId="3" xfId="0" applyFont="1" applyFill="1" applyBorder="1" applyAlignment="1">
      <alignment horizontal="center" vertical="top"/>
    </xf>
    <xf numFmtId="0" fontId="693" fillId="5" borderId="3" xfId="0" applyFont="1" applyFill="1" applyBorder="1" applyAlignment="1">
      <alignment horizontal="left" vertical="top" wrapText="1"/>
    </xf>
    <xf numFmtId="0" fontId="694" fillId="5" borderId="3" xfId="0" applyFont="1" applyFill="1" applyBorder="1" applyAlignment="1">
      <alignment horizontal="center" vertical="top"/>
    </xf>
    <xf numFmtId="0" fontId="695" fillId="5" borderId="3" xfId="0" applyFont="1" applyFill="1" applyBorder="1" applyAlignment="1">
      <alignment horizontal="left" vertical="top" wrapText="1"/>
    </xf>
    <xf numFmtId="0" fontId="696" fillId="5" borderId="3" xfId="0" applyFont="1" applyFill="1" applyBorder="1" applyAlignment="1">
      <alignment horizontal="left" vertical="top" wrapText="1"/>
    </xf>
    <xf numFmtId="0" fontId="697" fillId="5" borderId="3" xfId="0" applyFont="1" applyFill="1" applyBorder="1" applyAlignment="1">
      <alignment horizontal="left" vertical="top" wrapText="1"/>
    </xf>
    <xf numFmtId="0" fontId="698" fillId="5" borderId="3" xfId="0" applyFont="1" applyFill="1" applyBorder="1" applyAlignment="1">
      <alignment horizontal="center" vertical="top"/>
    </xf>
    <xf numFmtId="0" fontId="699" fillId="5" borderId="3" xfId="0" applyFont="1" applyFill="1" applyBorder="1" applyAlignment="1">
      <alignment horizontal="center" vertical="top"/>
    </xf>
    <xf numFmtId="0" fontId="700" fillId="5" borderId="3" xfId="0" applyFont="1" applyFill="1" applyBorder="1" applyAlignment="1">
      <alignment horizontal="center" vertical="top"/>
    </xf>
    <xf numFmtId="0" fontId="701" fillId="5" borderId="3" xfId="0" applyFont="1" applyFill="1" applyBorder="1" applyAlignment="1">
      <alignment horizontal="center" vertical="top"/>
    </xf>
    <xf numFmtId="0" fontId="702" fillId="5" borderId="3" xfId="0" applyFont="1" applyFill="1" applyBorder="1" applyAlignment="1">
      <alignment horizontal="center" vertical="top"/>
    </xf>
    <xf numFmtId="0" fontId="703" fillId="5" borderId="3" xfId="0" applyFont="1" applyFill="1" applyBorder="1" applyAlignment="1">
      <alignment horizontal="left" vertical="top" wrapText="1"/>
    </xf>
    <xf numFmtId="0" fontId="704" fillId="5" borderId="3" xfId="0" applyFont="1" applyFill="1" applyBorder="1" applyAlignment="1">
      <alignment horizontal="left" vertical="top" wrapText="1"/>
    </xf>
    <xf numFmtId="0" fontId="705" fillId="5" borderId="3" xfId="0" applyFont="1" applyFill="1" applyBorder="1" applyAlignment="1">
      <alignment horizontal="center" vertical="top"/>
    </xf>
    <xf numFmtId="0" fontId="706" fillId="5" borderId="3" xfId="0" applyFont="1" applyFill="1" applyBorder="1" applyAlignment="1">
      <alignment horizontal="center" vertical="top"/>
    </xf>
    <xf numFmtId="0" fontId="707" fillId="5" borderId="3" xfId="0" applyFont="1" applyFill="1" applyBorder="1" applyAlignment="1">
      <alignment horizontal="center" vertical="top"/>
    </xf>
    <xf numFmtId="0" fontId="708" fillId="5" borderId="3" xfId="0" applyFont="1" applyFill="1" applyBorder="1" applyAlignment="1">
      <alignment horizontal="center" vertical="top"/>
    </xf>
    <xf numFmtId="0" fontId="709" fillId="5" borderId="3" xfId="0" applyFont="1" applyFill="1" applyBorder="1" applyAlignment="1">
      <alignment horizontal="center" vertical="top"/>
    </xf>
    <xf numFmtId="0" fontId="710" fillId="5" borderId="3" xfId="0" applyFont="1" applyFill="1" applyBorder="1" applyAlignment="1">
      <alignment horizontal="center" vertical="top"/>
    </xf>
    <xf numFmtId="0" fontId="711" fillId="5" borderId="3" xfId="0" applyFont="1" applyFill="1" applyBorder="1" applyAlignment="1">
      <alignment horizontal="center" vertical="top"/>
    </xf>
    <xf numFmtId="0" fontId="712" fillId="5" borderId="3" xfId="0" applyFont="1" applyFill="1" applyBorder="1" applyAlignment="1">
      <alignment horizontal="center" vertical="top"/>
    </xf>
    <xf numFmtId="0" fontId="713" fillId="5" borderId="3" xfId="0" applyFont="1" applyFill="1" applyBorder="1" applyAlignment="1">
      <alignment horizontal="center" vertical="top"/>
    </xf>
    <xf numFmtId="0" fontId="714" fillId="5" borderId="3" xfId="0" applyFont="1" applyFill="1" applyBorder="1" applyAlignment="1">
      <alignment horizontal="center" vertical="top"/>
    </xf>
    <xf numFmtId="0" fontId="715" fillId="5" borderId="3" xfId="0" applyFont="1" applyFill="1" applyBorder="1" applyAlignment="1">
      <alignment horizontal="center" vertical="top"/>
    </xf>
    <xf numFmtId="0" fontId="716" fillId="5" borderId="3" xfId="0" applyFont="1" applyFill="1" applyBorder="1" applyAlignment="1">
      <alignment horizontal="left" vertical="top" wrapText="1"/>
    </xf>
    <xf numFmtId="0" fontId="717" fillId="5" borderId="3" xfId="0" applyFont="1" applyFill="1" applyBorder="1" applyAlignment="1">
      <alignment horizontal="left" vertical="top" wrapText="1"/>
    </xf>
    <xf numFmtId="0" fontId="718" fillId="5" borderId="3" xfId="0" applyFont="1" applyFill="1" applyBorder="1" applyAlignment="1">
      <alignment horizontal="left" vertical="top" wrapText="1"/>
    </xf>
    <xf numFmtId="0" fontId="719" fillId="5" borderId="3" xfId="0" applyFont="1" applyFill="1" applyBorder="1" applyAlignment="1">
      <alignment horizontal="left" vertical="top" wrapText="1"/>
    </xf>
    <xf numFmtId="0" fontId="726" fillId="5" borderId="3" xfId="0" applyFont="1" applyFill="1" applyBorder="1" applyAlignment="1">
      <alignment horizontal="left" vertical="top" wrapText="1"/>
    </xf>
    <xf numFmtId="0" fontId="727" fillId="5" borderId="3" xfId="0" applyFont="1" applyFill="1" applyBorder="1" applyAlignment="1">
      <alignment horizontal="left" vertical="top" wrapText="1"/>
    </xf>
    <xf numFmtId="0" fontId="728" fillId="5" borderId="3" xfId="0" applyFont="1" applyFill="1" applyBorder="1" applyAlignment="1">
      <alignment horizontal="left" vertical="top" wrapText="1"/>
    </xf>
    <xf numFmtId="0" fontId="729" fillId="5" borderId="3" xfId="0" applyFont="1" applyFill="1" applyBorder="1" applyAlignment="1">
      <alignment horizontal="left" vertical="top" wrapText="1"/>
    </xf>
    <xf numFmtId="0" fontId="730" fillId="5" borderId="3" xfId="0" applyFont="1" applyFill="1" applyBorder="1" applyAlignment="1">
      <alignment horizontal="left" vertical="top" wrapText="1"/>
    </xf>
    <xf numFmtId="0" fontId="731" fillId="5" borderId="3" xfId="0" applyFont="1" applyFill="1" applyBorder="1" applyAlignment="1">
      <alignment horizontal="left" vertical="top" wrapText="1"/>
    </xf>
    <xf numFmtId="0" fontId="732" fillId="5" borderId="3" xfId="0" applyFont="1" applyFill="1" applyBorder="1" applyAlignment="1">
      <alignment horizontal="left" vertical="top" wrapText="1"/>
    </xf>
    <xf numFmtId="0" fontId="733" fillId="5" borderId="3" xfId="0" applyFont="1" applyFill="1" applyBorder="1" applyAlignment="1">
      <alignment horizontal="left" vertical="top" wrapText="1"/>
    </xf>
    <xf numFmtId="0" fontId="734" fillId="5" borderId="3" xfId="0" applyFont="1" applyFill="1" applyBorder="1" applyAlignment="1">
      <alignment horizontal="left" vertical="top" wrapText="1"/>
    </xf>
    <xf numFmtId="0" fontId="735" fillId="5" borderId="3" xfId="0" applyFont="1" applyFill="1" applyBorder="1" applyAlignment="1">
      <alignment horizontal="left" vertical="top" wrapText="1"/>
    </xf>
    <xf numFmtId="0" fontId="736" fillId="5" borderId="3" xfId="0" applyFont="1" applyFill="1" applyBorder="1" applyAlignment="1">
      <alignment horizontal="left" vertical="top" wrapText="1"/>
    </xf>
    <xf numFmtId="0" fontId="737" fillId="5" borderId="3" xfId="0" applyFont="1" applyFill="1" applyBorder="1" applyAlignment="1">
      <alignment horizontal="left" vertical="top" wrapText="1"/>
    </xf>
    <xf numFmtId="0" fontId="738" fillId="5" borderId="3" xfId="0" applyFont="1" applyFill="1" applyBorder="1" applyAlignment="1">
      <alignment horizontal="left" vertical="top" wrapText="1"/>
    </xf>
    <xf numFmtId="0" fontId="739" fillId="3" borderId="3" xfId="0" applyFont="1" applyFill="1" applyBorder="1" applyAlignment="1">
      <alignment horizontal="left" vertical="top" wrapText="1"/>
    </xf>
    <xf numFmtId="0" fontId="742" fillId="4" borderId="3" xfId="0" applyFont="1" applyFill="1" applyBorder="1" applyAlignment="1">
      <alignment horizontal="center" vertical="top" wrapText="1"/>
    </xf>
    <xf numFmtId="0" fontId="743" fillId="5" borderId="3" xfId="0" applyFont="1" applyFill="1" applyBorder="1" applyAlignment="1">
      <alignment horizontal="center" vertical="top"/>
    </xf>
    <xf numFmtId="0" fontId="744" fillId="5" borderId="3" xfId="0" applyFont="1" applyFill="1" applyBorder="1" applyAlignment="1">
      <alignment horizontal="center" vertical="top"/>
    </xf>
    <xf numFmtId="0" fontId="745" fillId="5" borderId="3" xfId="0" applyFont="1" applyFill="1" applyBorder="1" applyAlignment="1">
      <alignment horizontal="center" vertical="top"/>
    </xf>
    <xf numFmtId="0" fontId="746" fillId="5" borderId="3" xfId="0" applyFont="1" applyFill="1" applyBorder="1" applyAlignment="1">
      <alignment horizontal="center" vertical="top"/>
    </xf>
    <xf numFmtId="0" fontId="747" fillId="5" borderId="3" xfId="0" applyFont="1" applyFill="1" applyBorder="1" applyAlignment="1">
      <alignment horizontal="center" vertical="top"/>
    </xf>
    <xf numFmtId="0" fontId="748" fillId="5" borderId="3" xfId="0" applyFont="1" applyFill="1" applyBorder="1" applyAlignment="1">
      <alignment horizontal="center" vertical="top"/>
    </xf>
    <xf numFmtId="0" fontId="749" fillId="5" borderId="3" xfId="0" applyFont="1" applyFill="1" applyBorder="1" applyAlignment="1">
      <alignment horizontal="center" vertical="top"/>
    </xf>
    <xf numFmtId="0" fontId="750" fillId="5" borderId="3" xfId="0" applyFont="1" applyFill="1" applyBorder="1" applyAlignment="1">
      <alignment horizontal="center" vertical="top"/>
    </xf>
    <xf numFmtId="0" fontId="751" fillId="5" borderId="3" xfId="0" applyFont="1" applyFill="1" applyBorder="1" applyAlignment="1">
      <alignment horizontal="center" vertical="top"/>
    </xf>
    <xf numFmtId="0" fontId="752" fillId="5" borderId="3" xfId="0" applyFont="1" applyFill="1" applyBorder="1" applyAlignment="1">
      <alignment horizontal="center" vertical="top"/>
    </xf>
    <xf numFmtId="0" fontId="753" fillId="5" borderId="3" xfId="0" applyFont="1" applyFill="1" applyBorder="1" applyAlignment="1">
      <alignment horizontal="center" vertical="top"/>
    </xf>
    <xf numFmtId="0" fontId="754" fillId="5" borderId="3" xfId="0" applyFont="1" applyFill="1" applyBorder="1" applyAlignment="1">
      <alignment horizontal="center" vertical="top"/>
    </xf>
    <xf numFmtId="0" fontId="755" fillId="5" borderId="3" xfId="0" applyFont="1" applyFill="1" applyBorder="1" applyAlignment="1">
      <alignment horizontal="center" vertical="top"/>
    </xf>
    <xf numFmtId="0" fontId="756" fillId="5" borderId="3" xfId="0" applyFont="1" applyFill="1" applyBorder="1" applyAlignment="1">
      <alignment horizontal="left" vertical="top" wrapText="1"/>
    </xf>
    <xf numFmtId="0" fontId="757" fillId="5" borderId="3" xfId="0" applyFont="1" applyFill="1" applyBorder="1" applyAlignment="1">
      <alignment horizontal="left" vertical="top" wrapText="1"/>
    </xf>
    <xf numFmtId="0" fontId="758" fillId="5" borderId="3" xfId="0" applyFont="1" applyFill="1" applyBorder="1" applyAlignment="1">
      <alignment horizontal="left" vertical="top" wrapText="1"/>
    </xf>
    <xf numFmtId="0" fontId="759" fillId="5" borderId="3" xfId="0" applyFont="1" applyFill="1" applyBorder="1" applyAlignment="1">
      <alignment horizontal="left" vertical="top" wrapText="1"/>
    </xf>
    <xf numFmtId="0" fontId="760" fillId="5" borderId="3" xfId="0" applyFont="1" applyFill="1" applyBorder="1" applyAlignment="1">
      <alignment horizontal="left" vertical="top" wrapText="1"/>
    </xf>
    <xf numFmtId="0" fontId="761" fillId="5" borderId="3" xfId="0" applyFont="1" applyFill="1" applyBorder="1" applyAlignment="1">
      <alignment horizontal="left" vertical="top" wrapText="1"/>
    </xf>
    <xf numFmtId="0" fontId="762" fillId="5" borderId="3" xfId="0" applyFont="1" applyFill="1" applyBorder="1" applyAlignment="1">
      <alignment horizontal="left" vertical="top" wrapText="1"/>
    </xf>
    <xf numFmtId="0" fontId="763" fillId="5" borderId="3" xfId="0" applyFont="1" applyFill="1" applyBorder="1" applyAlignment="1">
      <alignment horizontal="left" vertical="top" wrapText="1"/>
    </xf>
    <xf numFmtId="0" fontId="764" fillId="5" borderId="3" xfId="0" applyFont="1" applyFill="1" applyBorder="1" applyAlignment="1">
      <alignment horizontal="left" vertical="top" wrapText="1"/>
    </xf>
    <xf numFmtId="0" fontId="765" fillId="5" borderId="3" xfId="0" applyFont="1" applyFill="1" applyBorder="1" applyAlignment="1">
      <alignment horizontal="left" vertical="top" wrapText="1"/>
    </xf>
    <xf numFmtId="0" fontId="766" fillId="5" borderId="3" xfId="0" applyFont="1" applyFill="1" applyBorder="1" applyAlignment="1">
      <alignment horizontal="left" vertical="top" wrapText="1"/>
    </xf>
    <xf numFmtId="0" fontId="767" fillId="5" borderId="3" xfId="0" applyFont="1" applyFill="1" applyBorder="1" applyAlignment="1">
      <alignment horizontal="left" vertical="top" wrapText="1"/>
    </xf>
    <xf numFmtId="0" fontId="768" fillId="5" borderId="3" xfId="0" applyFont="1" applyFill="1" applyBorder="1" applyAlignment="1">
      <alignment horizontal="left" vertical="top" wrapText="1"/>
    </xf>
    <xf numFmtId="0" fontId="769" fillId="5" borderId="3" xfId="0" applyFont="1" applyFill="1" applyBorder="1" applyAlignment="1">
      <alignment horizontal="left" vertical="top" wrapText="1"/>
    </xf>
    <xf numFmtId="0" fontId="770" fillId="5" borderId="3" xfId="0" applyFont="1" applyFill="1" applyBorder="1" applyAlignment="1">
      <alignment horizontal="left" vertical="top" wrapText="1"/>
    </xf>
    <xf numFmtId="0" fontId="771" fillId="5" borderId="3" xfId="0" applyFont="1" applyFill="1" applyBorder="1" applyAlignment="1">
      <alignment horizontal="left" vertical="top" wrapText="1"/>
    </xf>
    <xf numFmtId="0" fontId="772" fillId="5" borderId="3" xfId="0" applyFont="1" applyFill="1" applyBorder="1" applyAlignment="1">
      <alignment horizontal="left" vertical="top" wrapText="1"/>
    </xf>
    <xf numFmtId="0" fontId="773" fillId="5" borderId="3" xfId="0" applyFont="1" applyFill="1" applyBorder="1" applyAlignment="1">
      <alignment horizontal="left" vertical="top" wrapText="1"/>
    </xf>
    <xf numFmtId="0" fontId="774" fillId="5" borderId="3" xfId="0" applyFont="1" applyFill="1" applyBorder="1" applyAlignment="1">
      <alignment horizontal="left" vertical="top" wrapText="1"/>
    </xf>
    <xf numFmtId="0" fontId="775" fillId="5" borderId="3" xfId="0" applyFont="1" applyFill="1" applyBorder="1" applyAlignment="1">
      <alignment horizontal="left" vertical="top" wrapText="1"/>
    </xf>
    <xf numFmtId="0" fontId="776" fillId="5" borderId="3" xfId="0" applyFont="1" applyFill="1" applyBorder="1" applyAlignment="1">
      <alignment horizontal="left" vertical="top" wrapText="1"/>
    </xf>
    <xf numFmtId="0" fontId="777" fillId="5" borderId="3" xfId="0" applyFont="1" applyFill="1" applyBorder="1" applyAlignment="1">
      <alignment horizontal="left" vertical="top" wrapText="1"/>
    </xf>
    <xf numFmtId="0" fontId="778" fillId="5" borderId="3" xfId="0" applyFont="1" applyFill="1" applyBorder="1" applyAlignment="1">
      <alignment horizontal="left" vertical="top" wrapText="1"/>
    </xf>
    <xf numFmtId="0" fontId="779" fillId="5" borderId="3" xfId="0" applyFont="1" applyFill="1" applyBorder="1" applyAlignment="1">
      <alignment horizontal="left" vertical="top" wrapText="1"/>
    </xf>
    <xf numFmtId="0" fontId="780" fillId="5" borderId="3" xfId="0" applyFont="1" applyFill="1" applyBorder="1" applyAlignment="1">
      <alignment horizontal="left" vertical="top" wrapText="1"/>
    </xf>
    <xf numFmtId="0" fontId="782" fillId="5" borderId="3" xfId="0" applyFont="1" applyFill="1" applyBorder="1" applyAlignment="1">
      <alignment horizontal="left" vertical="top" wrapText="1"/>
    </xf>
    <xf numFmtId="0" fontId="783" fillId="5" borderId="3" xfId="0" applyFont="1" applyFill="1" applyBorder="1" applyAlignment="1">
      <alignment horizontal="left" vertical="top" wrapText="1"/>
    </xf>
    <xf numFmtId="0" fontId="784" fillId="5" borderId="3" xfId="0" applyFont="1" applyFill="1" applyBorder="1" applyAlignment="1">
      <alignment horizontal="left" vertical="top" wrapText="1"/>
    </xf>
    <xf numFmtId="0" fontId="785" fillId="5" borderId="3" xfId="0" applyFont="1" applyFill="1" applyBorder="1" applyAlignment="1">
      <alignment horizontal="center" vertical="top"/>
    </xf>
    <xf numFmtId="0" fontId="786" fillId="5" borderId="3" xfId="0" applyFont="1" applyFill="1" applyBorder="1" applyAlignment="1">
      <alignment horizontal="center" vertical="top"/>
    </xf>
    <xf numFmtId="0" fontId="787" fillId="5" borderId="3" xfId="0" applyFont="1" applyFill="1" applyBorder="1" applyAlignment="1">
      <alignment horizontal="center" vertical="top"/>
    </xf>
    <xf numFmtId="0" fontId="788" fillId="5" borderId="3" xfId="0" applyFont="1" applyFill="1" applyBorder="1" applyAlignment="1">
      <alignment horizontal="left" vertical="top" wrapText="1"/>
    </xf>
    <xf numFmtId="0" fontId="789" fillId="5" borderId="3" xfId="0" applyFont="1" applyFill="1" applyBorder="1" applyAlignment="1">
      <alignment horizontal="left" vertical="top" wrapText="1"/>
    </xf>
    <xf numFmtId="0" fontId="790" fillId="5" borderId="3" xfId="0" applyFont="1" applyFill="1" applyBorder="1" applyAlignment="1">
      <alignment horizontal="left" vertical="top" wrapText="1"/>
    </xf>
    <xf numFmtId="0" fontId="791" fillId="5" borderId="3" xfId="0" applyFont="1" applyFill="1" applyBorder="1" applyAlignment="1">
      <alignment horizontal="left" vertical="top" wrapText="1"/>
    </xf>
    <xf numFmtId="0" fontId="792" fillId="5" borderId="3" xfId="0" applyFont="1" applyFill="1" applyBorder="1" applyAlignment="1">
      <alignment horizontal="left" vertical="top" wrapText="1"/>
    </xf>
    <xf numFmtId="0" fontId="793" fillId="5" borderId="3" xfId="0" applyFont="1" applyFill="1" applyBorder="1" applyAlignment="1">
      <alignment horizontal="left" vertical="top" wrapText="1"/>
    </xf>
    <xf numFmtId="0" fontId="794" fillId="5" borderId="3" xfId="0" applyFont="1" applyFill="1" applyBorder="1" applyAlignment="1">
      <alignment horizontal="left" vertical="top" wrapText="1"/>
    </xf>
    <xf numFmtId="0" fontId="795" fillId="5" borderId="3" xfId="0" applyFont="1" applyFill="1" applyBorder="1" applyAlignment="1">
      <alignment horizontal="left" vertical="top" wrapText="1"/>
    </xf>
    <xf numFmtId="0" fontId="796" fillId="5" borderId="3" xfId="0" applyFont="1" applyFill="1" applyBorder="1" applyAlignment="1">
      <alignment horizontal="left" vertical="top" wrapText="1"/>
    </xf>
    <xf numFmtId="0" fontId="797" fillId="5" borderId="3" xfId="0" applyFont="1" applyFill="1" applyBorder="1" applyAlignment="1">
      <alignment horizontal="left" vertical="top" wrapText="1"/>
    </xf>
    <xf numFmtId="0" fontId="798" fillId="5" borderId="3" xfId="0" applyFont="1" applyFill="1" applyBorder="1" applyAlignment="1">
      <alignment horizontal="left" vertical="top" wrapText="1"/>
    </xf>
    <xf numFmtId="0" fontId="799" fillId="5" borderId="3" xfId="0" applyFont="1" applyFill="1" applyBorder="1" applyAlignment="1">
      <alignment horizontal="left" vertical="top" wrapText="1"/>
    </xf>
    <xf numFmtId="0" fontId="800" fillId="5" borderId="3" xfId="0" applyFont="1" applyFill="1" applyBorder="1" applyAlignment="1">
      <alignment horizontal="left" vertical="top" wrapText="1"/>
    </xf>
    <xf numFmtId="0" fontId="801" fillId="5" borderId="3" xfId="0" applyFont="1" applyFill="1" applyBorder="1" applyAlignment="1">
      <alignment horizontal="left" vertical="top" wrapText="1"/>
    </xf>
    <xf numFmtId="0" fontId="802" fillId="5" borderId="3" xfId="0" applyFont="1" applyFill="1" applyBorder="1" applyAlignment="1">
      <alignment horizontal="left" vertical="top" wrapText="1"/>
    </xf>
    <xf numFmtId="0" fontId="803" fillId="5" borderId="3" xfId="0" applyFont="1" applyFill="1" applyBorder="1" applyAlignment="1">
      <alignment horizontal="left" vertical="top" wrapText="1"/>
    </xf>
    <xf numFmtId="0" fontId="804" fillId="5" borderId="3" xfId="0" applyFont="1" applyFill="1" applyBorder="1" applyAlignment="1">
      <alignment horizontal="left" vertical="top" wrapText="1"/>
    </xf>
    <xf numFmtId="0" fontId="805" fillId="5" borderId="3" xfId="0" applyFont="1" applyFill="1" applyBorder="1" applyAlignment="1">
      <alignment horizontal="left" vertical="top" wrapText="1"/>
    </xf>
    <xf numFmtId="0" fontId="806" fillId="5" borderId="3" xfId="0" applyFont="1" applyFill="1" applyBorder="1" applyAlignment="1">
      <alignment horizontal="left" vertical="top" wrapText="1"/>
    </xf>
    <xf numFmtId="0" fontId="807" fillId="5" borderId="3" xfId="0" applyFont="1" applyFill="1" applyBorder="1" applyAlignment="1">
      <alignment horizontal="center" vertical="top"/>
    </xf>
    <xf numFmtId="0" fontId="808" fillId="5" borderId="3" xfId="0" applyFont="1" applyFill="1" applyBorder="1" applyAlignment="1">
      <alignment horizontal="center" vertical="top"/>
    </xf>
    <xf numFmtId="0" fontId="809" fillId="5" borderId="3" xfId="0" applyFont="1" applyFill="1" applyBorder="1" applyAlignment="1">
      <alignment horizontal="center" vertical="top"/>
    </xf>
    <xf numFmtId="0" fontId="810" fillId="5" borderId="3" xfId="0" applyFont="1" applyFill="1" applyBorder="1" applyAlignment="1">
      <alignment horizontal="center" vertical="top"/>
    </xf>
    <xf numFmtId="0" fontId="811" fillId="5" borderId="3" xfId="0" applyFont="1" applyFill="1" applyBorder="1" applyAlignment="1">
      <alignment horizontal="center" vertical="top"/>
    </xf>
    <xf numFmtId="0" fontId="812" fillId="5" borderId="3" xfId="0" applyFont="1" applyFill="1" applyBorder="1" applyAlignment="1">
      <alignment horizontal="center" vertical="top"/>
    </xf>
    <xf numFmtId="0" fontId="813" fillId="5" borderId="3" xfId="0" applyFont="1" applyFill="1" applyBorder="1" applyAlignment="1">
      <alignment horizontal="center" vertical="top"/>
    </xf>
    <xf numFmtId="0" fontId="814" fillId="5" borderId="3" xfId="0" applyFont="1" applyFill="1" applyBorder="1" applyAlignment="1">
      <alignment horizontal="center" vertical="top"/>
    </xf>
    <xf numFmtId="0" fontId="815" fillId="5" borderId="3" xfId="0" applyFont="1" applyFill="1" applyBorder="1" applyAlignment="1">
      <alignment horizontal="center" vertical="top"/>
    </xf>
    <xf numFmtId="0" fontId="816" fillId="5" borderId="3" xfId="0" applyFont="1" applyFill="1" applyBorder="1" applyAlignment="1">
      <alignment horizontal="center" vertical="top"/>
    </xf>
    <xf numFmtId="0" fontId="823" fillId="5" borderId="3" xfId="0" applyFont="1" applyFill="1" applyBorder="1" applyAlignment="1">
      <alignment horizontal="left" vertical="top" wrapText="1"/>
    </xf>
    <xf numFmtId="0" fontId="848" fillId="5" borderId="3" xfId="0" applyFont="1" applyFill="1" applyBorder="1" applyAlignment="1">
      <alignment horizontal="left" vertical="top" wrapText="1"/>
    </xf>
    <xf numFmtId="0" fontId="849" fillId="5" borderId="3" xfId="0" applyFont="1" applyFill="1" applyBorder="1" applyAlignment="1">
      <alignment horizontal="left" vertical="top" wrapText="1"/>
    </xf>
    <xf numFmtId="0" fontId="850" fillId="5" borderId="3" xfId="0" applyFont="1" applyFill="1" applyBorder="1" applyAlignment="1">
      <alignment horizontal="left" vertical="top" wrapText="1"/>
    </xf>
    <xf numFmtId="0" fontId="851" fillId="5" borderId="3" xfId="0" applyFont="1" applyFill="1" applyBorder="1" applyAlignment="1">
      <alignment horizontal="left" vertical="top" wrapText="1"/>
    </xf>
    <xf numFmtId="0" fontId="852" fillId="5" borderId="3" xfId="0" applyFont="1" applyFill="1" applyBorder="1" applyAlignment="1">
      <alignment horizontal="left" vertical="top" wrapText="1"/>
    </xf>
    <xf numFmtId="0" fontId="853" fillId="5" borderId="3" xfId="0" applyFont="1" applyFill="1" applyBorder="1" applyAlignment="1">
      <alignment horizontal="left" vertical="top" wrapText="1"/>
    </xf>
    <xf numFmtId="0" fontId="854" fillId="5" borderId="3" xfId="0" applyFont="1" applyFill="1" applyBorder="1" applyAlignment="1">
      <alignment horizontal="left" vertical="top" wrapText="1"/>
    </xf>
    <xf numFmtId="0" fontId="855"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59" fillId="5" borderId="3" xfId="0" applyFont="1" applyFill="1" applyBorder="1" applyAlignment="1">
      <alignment horizontal="center" vertical="top"/>
    </xf>
    <xf numFmtId="0" fontId="860" fillId="5" borderId="3" xfId="0" applyFont="1" applyFill="1" applyBorder="1" applyAlignment="1">
      <alignment horizontal="center" vertical="top"/>
    </xf>
    <xf numFmtId="0" fontId="861" fillId="5" borderId="3" xfId="0" applyFont="1" applyFill="1" applyBorder="1" applyAlignment="1">
      <alignment horizontal="center" vertical="top"/>
    </xf>
    <xf numFmtId="0" fontId="862" fillId="5" borderId="3" xfId="0" applyFont="1" applyFill="1" applyBorder="1" applyAlignment="1">
      <alignment horizontal="center" vertical="top"/>
    </xf>
    <xf numFmtId="0" fontId="863" fillId="5" borderId="3" xfId="0" applyFont="1" applyFill="1" applyBorder="1" applyAlignment="1">
      <alignment horizontal="center" vertical="top"/>
    </xf>
    <xf numFmtId="0" fontId="864" fillId="5" borderId="3" xfId="0" applyFont="1" applyFill="1" applyBorder="1" applyAlignment="1">
      <alignment horizontal="center" vertical="top"/>
    </xf>
    <xf numFmtId="0" fontId="865" fillId="5" borderId="3" xfId="0" applyFont="1" applyFill="1" applyBorder="1" applyAlignment="1">
      <alignment horizontal="center" vertical="top"/>
    </xf>
    <xf numFmtId="0" fontId="866" fillId="5" borderId="3" xfId="0" applyFont="1" applyFill="1" applyBorder="1" applyAlignment="1">
      <alignment horizontal="center" vertical="top"/>
    </xf>
    <xf numFmtId="0" fontId="867" fillId="5" borderId="3" xfId="0" applyFont="1" applyFill="1" applyBorder="1" applyAlignment="1">
      <alignment horizontal="left" vertical="top" wrapText="1"/>
    </xf>
    <xf numFmtId="0" fontId="868" fillId="5" borderId="3" xfId="0" applyFont="1" applyFill="1" applyBorder="1" applyAlignment="1">
      <alignment horizontal="left" vertical="top" wrapText="1"/>
    </xf>
    <xf numFmtId="0" fontId="869" fillId="5" borderId="3" xfId="0" applyFont="1" applyFill="1" applyBorder="1" applyAlignment="1">
      <alignment horizontal="left" vertical="top" wrapText="1"/>
    </xf>
    <xf numFmtId="0" fontId="870" fillId="5" borderId="3" xfId="0" applyFont="1" applyFill="1" applyBorder="1" applyAlignment="1">
      <alignment horizontal="left" vertical="top" wrapText="1"/>
    </xf>
    <xf numFmtId="0" fontId="871" fillId="5" borderId="3" xfId="0" applyFont="1" applyFill="1" applyBorder="1" applyAlignment="1">
      <alignment horizontal="left" vertical="top" wrapText="1"/>
    </xf>
    <xf numFmtId="0" fontId="872" fillId="5" borderId="3" xfId="0" applyFont="1" applyFill="1" applyBorder="1" applyAlignment="1">
      <alignment horizontal="left" vertical="top" wrapText="1"/>
    </xf>
    <xf numFmtId="0" fontId="873" fillId="5" borderId="3" xfId="0" applyFont="1" applyFill="1" applyBorder="1" applyAlignment="1">
      <alignment horizontal="left" vertical="top" wrapText="1"/>
    </xf>
    <xf numFmtId="0" fontId="874" fillId="5" borderId="3" xfId="0" applyFont="1" applyFill="1" applyBorder="1" applyAlignment="1">
      <alignment horizontal="left" vertical="top" wrapText="1"/>
    </xf>
    <xf numFmtId="0" fontId="881" fillId="5" borderId="3" xfId="0" applyFont="1" applyFill="1" applyBorder="1" applyAlignment="1">
      <alignment horizontal="left" vertical="top" wrapText="1"/>
    </xf>
    <xf numFmtId="0" fontId="882" fillId="5" borderId="3" xfId="0" applyFont="1" applyFill="1" applyBorder="1" applyAlignment="1">
      <alignment horizontal="left" vertical="top" wrapText="1"/>
    </xf>
    <xf numFmtId="0" fontId="883" fillId="5" borderId="3" xfId="0" applyFont="1" applyFill="1" applyBorder="1" applyAlignment="1">
      <alignment horizontal="left" vertical="top" wrapText="1"/>
    </xf>
    <xf numFmtId="0" fontId="884" fillId="5" borderId="3" xfId="0" applyFont="1" applyFill="1" applyBorder="1" applyAlignment="1">
      <alignment horizontal="center" vertical="top"/>
    </xf>
    <xf numFmtId="0" fontId="885" fillId="5" borderId="3" xfId="0" applyFont="1" applyFill="1" applyBorder="1" applyAlignment="1">
      <alignment horizontal="center" vertical="top"/>
    </xf>
    <xf numFmtId="0" fontId="886" fillId="5" borderId="3" xfId="0" applyFont="1" applyFill="1" applyBorder="1" applyAlignment="1">
      <alignment horizontal="center" vertical="top"/>
    </xf>
    <xf numFmtId="0" fontId="888" fillId="5" borderId="3" xfId="0" applyFont="1" applyFill="1" applyBorder="1" applyAlignment="1">
      <alignment horizontal="center" vertical="top"/>
    </xf>
    <xf numFmtId="0" fontId="889" fillId="5" borderId="3" xfId="0" applyFont="1" applyFill="1" applyBorder="1" applyAlignment="1">
      <alignment horizontal="center" vertical="top"/>
    </xf>
    <xf numFmtId="0" fontId="890" fillId="5" borderId="3" xfId="0" applyFont="1" applyFill="1" applyBorder="1" applyAlignment="1">
      <alignment horizontal="center" vertical="top"/>
    </xf>
    <xf numFmtId="0" fontId="891" fillId="5" borderId="3" xfId="0" applyFont="1" applyFill="1" applyBorder="1" applyAlignment="1">
      <alignment horizontal="center" vertical="top"/>
    </xf>
    <xf numFmtId="0" fontId="892" fillId="5" borderId="3" xfId="0" applyFont="1" applyFill="1" applyBorder="1" applyAlignment="1">
      <alignment horizontal="center" vertical="top"/>
    </xf>
    <xf numFmtId="0" fontId="893" fillId="5" borderId="3" xfId="0" applyFont="1" applyFill="1" applyBorder="1" applyAlignment="1">
      <alignment horizontal="center" vertical="top"/>
    </xf>
    <xf numFmtId="0" fontId="894" fillId="5" borderId="3" xfId="0" applyFont="1" applyFill="1" applyBorder="1" applyAlignment="1">
      <alignment horizontal="center" vertical="top"/>
    </xf>
    <xf numFmtId="0" fontId="895" fillId="5" borderId="3" xfId="0" applyFont="1" applyFill="1" applyBorder="1" applyAlignment="1">
      <alignment horizontal="center" vertical="top"/>
    </xf>
    <xf numFmtId="0" fontId="896" fillId="5" borderId="3" xfId="0" applyFont="1" applyFill="1" applyBorder="1" applyAlignment="1">
      <alignment horizontal="center" vertical="top"/>
    </xf>
    <xf numFmtId="0" fontId="897" fillId="5" borderId="3" xfId="0" applyFont="1" applyFill="1" applyBorder="1" applyAlignment="1">
      <alignment horizontal="center" vertical="top"/>
    </xf>
    <xf numFmtId="0" fontId="898" fillId="5" borderId="3" xfId="0" applyFont="1" applyFill="1" applyBorder="1" applyAlignment="1">
      <alignment horizontal="left" vertical="top" wrapText="1"/>
    </xf>
    <xf numFmtId="0" fontId="899" fillId="5" borderId="3" xfId="0" applyFont="1" applyFill="1" applyBorder="1" applyAlignment="1">
      <alignment horizontal="left" vertical="top" wrapText="1"/>
    </xf>
    <xf numFmtId="0" fontId="900" fillId="5" borderId="3" xfId="0" applyFont="1" applyFill="1" applyBorder="1" applyAlignment="1">
      <alignment horizontal="left" vertical="top" wrapText="1"/>
    </xf>
    <xf numFmtId="0" fontId="901" fillId="5" borderId="3" xfId="0" applyFont="1" applyFill="1" applyBorder="1" applyAlignment="1">
      <alignment horizontal="center" vertical="top"/>
    </xf>
    <xf numFmtId="0" fontId="902" fillId="5" borderId="3" xfId="0" applyFont="1" applyFill="1" applyBorder="1" applyAlignment="1">
      <alignment horizontal="center" vertical="top"/>
    </xf>
    <xf numFmtId="0" fontId="903" fillId="5" borderId="3" xfId="0" applyFont="1" applyFill="1" applyBorder="1" applyAlignment="1">
      <alignment horizontal="center" vertical="top"/>
    </xf>
    <xf numFmtId="0" fontId="904" fillId="5" borderId="3" xfId="0" applyFont="1" applyFill="1" applyBorder="1" applyAlignment="1">
      <alignment horizontal="left" vertical="top" wrapText="1"/>
    </xf>
    <xf numFmtId="0" fontId="905" fillId="5" borderId="3" xfId="0" applyFont="1" applyFill="1" applyBorder="1" applyAlignment="1">
      <alignment horizontal="left" vertical="top" wrapText="1"/>
    </xf>
    <xf numFmtId="0" fontId="906" fillId="5" borderId="3" xfId="0" applyFont="1" applyFill="1" applyBorder="1" applyAlignment="1">
      <alignment horizontal="left" vertical="top" wrapText="1"/>
    </xf>
    <xf numFmtId="0" fontId="907" fillId="5" borderId="3" xfId="0" applyFont="1" applyFill="1" applyBorder="1" applyAlignment="1">
      <alignment horizontal="left" vertical="top" wrapText="1"/>
    </xf>
    <xf numFmtId="0" fontId="908" fillId="5" borderId="3" xfId="0" applyFont="1" applyFill="1" applyBorder="1" applyAlignment="1">
      <alignment horizontal="center" vertical="top"/>
    </xf>
    <xf numFmtId="0" fontId="909" fillId="5" borderId="3" xfId="0" applyFont="1" applyFill="1" applyBorder="1" applyAlignment="1">
      <alignment horizontal="center" vertical="top"/>
    </xf>
    <xf numFmtId="0" fontId="911" fillId="5" borderId="3" xfId="0" applyFont="1" applyFill="1" applyBorder="1" applyAlignment="1">
      <alignment horizontal="center" vertical="top"/>
    </xf>
    <xf numFmtId="0" fontId="912" fillId="5" borderId="3" xfId="0" applyFont="1" applyFill="1" applyBorder="1" applyAlignment="1">
      <alignment horizontal="center" vertical="top"/>
    </xf>
    <xf numFmtId="0" fontId="913" fillId="5" borderId="3" xfId="0" applyFont="1" applyFill="1" applyBorder="1" applyAlignment="1">
      <alignment horizontal="center" vertical="top"/>
    </xf>
    <xf numFmtId="0" fontId="914" fillId="5" borderId="3" xfId="0" applyFont="1" applyFill="1" applyBorder="1" applyAlignment="1">
      <alignment horizontal="center" vertical="top"/>
    </xf>
    <xf numFmtId="0" fontId="915" fillId="5" borderId="3" xfId="0" applyFont="1" applyFill="1" applyBorder="1" applyAlignment="1">
      <alignment horizontal="center" vertical="top"/>
    </xf>
    <xf numFmtId="0" fontId="916" fillId="5" borderId="3" xfId="0" applyFont="1" applyFill="1" applyBorder="1" applyAlignment="1">
      <alignment horizontal="center" vertical="top"/>
    </xf>
    <xf numFmtId="0" fontId="917" fillId="5" borderId="3" xfId="0" applyFont="1" applyFill="1" applyBorder="1" applyAlignment="1">
      <alignment horizontal="center" vertical="top"/>
    </xf>
    <xf numFmtId="0" fontId="918" fillId="5" borderId="3" xfId="0" applyFont="1" applyFill="1" applyBorder="1" applyAlignment="1">
      <alignment horizontal="center" vertical="top"/>
    </xf>
    <xf numFmtId="0" fontId="919" fillId="5" borderId="3" xfId="0" applyFont="1" applyFill="1" applyBorder="1" applyAlignment="1">
      <alignment horizontal="center" vertical="top"/>
    </xf>
    <xf numFmtId="0" fontId="920" fillId="5" borderId="3" xfId="0" applyFont="1" applyFill="1" applyBorder="1" applyAlignment="1">
      <alignment horizontal="center" vertical="top"/>
    </xf>
    <xf numFmtId="0" fontId="921" fillId="5" borderId="3" xfId="0" applyFont="1" applyFill="1" applyBorder="1" applyAlignment="1">
      <alignment horizontal="center" vertical="top"/>
    </xf>
    <xf numFmtId="0" fontId="922" fillId="5" borderId="3" xfId="0" applyFont="1" applyFill="1" applyBorder="1" applyAlignment="1">
      <alignment horizontal="center" vertical="top"/>
    </xf>
    <xf numFmtId="0" fontId="923" fillId="5" borderId="3" xfId="0" applyFont="1" applyFill="1" applyBorder="1" applyAlignment="1">
      <alignment horizontal="center" vertical="top"/>
    </xf>
    <xf numFmtId="0" fontId="924" fillId="5" borderId="3" xfId="0" applyFont="1" applyFill="1" applyBorder="1" applyAlignment="1">
      <alignment horizontal="left" vertical="top" wrapText="1"/>
    </xf>
    <xf numFmtId="0" fontId="925" fillId="5" borderId="3" xfId="0" applyFont="1" applyFill="1" applyBorder="1" applyAlignment="1">
      <alignment horizontal="center" vertical="top"/>
    </xf>
    <xf numFmtId="0" fontId="926" fillId="5" borderId="3" xfId="0" applyFont="1" applyFill="1" applyBorder="1" applyAlignment="1">
      <alignment horizontal="center" vertical="top"/>
    </xf>
    <xf numFmtId="0" fontId="927" fillId="5" borderId="3" xfId="0" applyFont="1" applyFill="1" applyBorder="1" applyAlignment="1">
      <alignment horizontal="left" vertical="top" wrapText="1"/>
    </xf>
    <xf numFmtId="0" fontId="928" fillId="5" borderId="3" xfId="0" applyFont="1" applyFill="1" applyBorder="1" applyAlignment="1">
      <alignment horizontal="left" vertical="top" wrapText="1"/>
    </xf>
    <xf numFmtId="0" fontId="929" fillId="5" borderId="3" xfId="0" applyFont="1" applyFill="1" applyBorder="1" applyAlignment="1">
      <alignment horizontal="left" vertical="top" wrapText="1"/>
    </xf>
    <xf numFmtId="0" fontId="930" fillId="5" borderId="3" xfId="0" applyFont="1" applyFill="1" applyBorder="1" applyAlignment="1">
      <alignment horizontal="center" vertical="top"/>
    </xf>
    <xf numFmtId="0" fontId="931" fillId="5" borderId="3" xfId="0" applyFont="1" applyFill="1" applyBorder="1" applyAlignment="1">
      <alignment horizontal="left" vertical="top" wrapText="1"/>
    </xf>
    <xf numFmtId="0" fontId="932" fillId="5" borderId="3" xfId="0" applyFont="1" applyFill="1" applyBorder="1" applyAlignment="1">
      <alignment horizontal="left" vertical="top" wrapText="1"/>
    </xf>
    <xf numFmtId="0" fontId="933" fillId="5" borderId="3" xfId="0" applyFont="1" applyFill="1" applyBorder="1" applyAlignment="1">
      <alignment horizontal="left" vertical="top" wrapText="1"/>
    </xf>
    <xf numFmtId="0" fontId="934" fillId="5" borderId="3" xfId="0" applyFont="1" applyFill="1" applyBorder="1" applyAlignment="1">
      <alignment horizontal="left" vertical="top" wrapText="1"/>
    </xf>
    <xf numFmtId="0" fontId="935" fillId="5" borderId="3" xfId="0" applyFont="1" applyFill="1" applyBorder="1" applyAlignment="1">
      <alignment horizontal="left" vertical="top" wrapText="1"/>
    </xf>
    <xf numFmtId="0" fontId="936" fillId="5" borderId="3" xfId="0" applyFont="1" applyFill="1" applyBorder="1" applyAlignment="1">
      <alignment horizontal="left" vertical="top" wrapText="1"/>
    </xf>
    <xf numFmtId="0" fontId="937" fillId="5" borderId="3" xfId="0" applyFont="1" applyFill="1" applyBorder="1" applyAlignment="1">
      <alignment horizontal="left" vertical="top" wrapText="1"/>
    </xf>
    <xf numFmtId="0" fontId="938" fillId="5" borderId="3" xfId="0" applyFont="1" applyFill="1" applyBorder="1" applyAlignment="1">
      <alignment horizontal="left" vertical="top" wrapText="1"/>
    </xf>
    <xf numFmtId="0" fontId="939" fillId="5" borderId="3" xfId="0" applyFont="1" applyFill="1" applyBorder="1" applyAlignment="1">
      <alignment horizontal="left" vertical="top" wrapText="1"/>
    </xf>
    <xf numFmtId="0" fontId="940" fillId="5" borderId="3" xfId="0" applyFont="1" applyFill="1" applyBorder="1" applyAlignment="1">
      <alignment horizontal="left" vertical="top" wrapText="1"/>
    </xf>
    <xf numFmtId="0" fontId="941" fillId="5" borderId="3" xfId="0" applyFont="1" applyFill="1" applyBorder="1" applyAlignment="1">
      <alignment horizontal="left" vertical="top" wrapText="1"/>
    </xf>
    <xf numFmtId="0" fontId="942" fillId="5" borderId="3" xfId="0" applyFont="1" applyFill="1" applyBorder="1" applyAlignment="1">
      <alignment horizontal="left" vertical="top" wrapText="1"/>
    </xf>
    <xf numFmtId="0" fontId="943" fillId="5" borderId="3" xfId="0" applyFont="1" applyFill="1" applyBorder="1" applyAlignment="1">
      <alignment horizontal="left" vertical="top" wrapText="1"/>
    </xf>
    <xf numFmtId="0" fontId="944" fillId="5" borderId="3" xfId="0" applyFont="1" applyFill="1" applyBorder="1" applyAlignment="1">
      <alignment horizontal="left" vertical="top" wrapText="1"/>
    </xf>
    <xf numFmtId="0" fontId="945" fillId="5" borderId="3" xfId="0" applyFont="1" applyFill="1" applyBorder="1" applyAlignment="1">
      <alignment horizontal="left" vertical="top" wrapText="1"/>
    </xf>
    <xf numFmtId="0" fontId="946" fillId="5" borderId="3" xfId="0" applyFont="1" applyFill="1" applyBorder="1" applyAlignment="1">
      <alignment horizontal="left" vertical="top" wrapText="1"/>
    </xf>
    <xf numFmtId="0" fontId="947" fillId="5" borderId="3" xfId="0" applyFont="1" applyFill="1" applyBorder="1" applyAlignment="1">
      <alignment horizontal="left" vertical="top" wrapText="1"/>
    </xf>
    <xf numFmtId="0" fontId="948" fillId="5" borderId="3" xfId="0" applyFont="1" applyFill="1" applyBorder="1" applyAlignment="1">
      <alignment horizontal="left" vertical="top" wrapText="1"/>
    </xf>
    <xf numFmtId="0" fontId="949" fillId="5" borderId="3" xfId="0" applyFont="1" applyFill="1" applyBorder="1" applyAlignment="1">
      <alignment horizontal="left" vertical="top" wrapText="1"/>
    </xf>
    <xf numFmtId="0" fontId="958" fillId="5" borderId="3" xfId="0" applyFont="1" applyFill="1" applyBorder="1" applyAlignment="1">
      <alignment horizontal="center" vertical="top"/>
    </xf>
    <xf numFmtId="0" fontId="969" fillId="5" borderId="3" xfId="0" applyFont="1" applyFill="1" applyBorder="1" applyAlignment="1">
      <alignment horizontal="left" vertical="top" wrapText="1"/>
    </xf>
    <xf numFmtId="0" fontId="970" fillId="5" borderId="3" xfId="0" applyFont="1" applyFill="1" applyBorder="1" applyAlignment="1">
      <alignment horizontal="left" vertical="top" wrapText="1"/>
    </xf>
    <xf numFmtId="0" fontId="971" fillId="5" borderId="3" xfId="0" applyFont="1" applyFill="1" applyBorder="1" applyAlignment="1">
      <alignment horizontal="left" vertical="top" wrapText="1"/>
    </xf>
    <xf numFmtId="0" fontId="972" fillId="5" borderId="3" xfId="0" applyFont="1" applyFill="1" applyBorder="1" applyAlignment="1">
      <alignment horizontal="left" vertical="top" wrapText="1"/>
    </xf>
    <xf numFmtId="0" fontId="973" fillId="5" borderId="3" xfId="0" applyFont="1" applyFill="1" applyBorder="1" applyAlignment="1">
      <alignment horizontal="left" vertical="top" wrapText="1"/>
    </xf>
    <xf numFmtId="0" fontId="974" fillId="5" borderId="3" xfId="0" applyFont="1" applyFill="1" applyBorder="1" applyAlignment="1">
      <alignment horizontal="left" vertical="top" wrapText="1"/>
    </xf>
    <xf numFmtId="0" fontId="975" fillId="5" borderId="3" xfId="0" applyFont="1" applyFill="1" applyBorder="1" applyAlignment="1">
      <alignment horizontal="left" vertical="top" wrapText="1"/>
    </xf>
    <xf numFmtId="0" fontId="976" fillId="5" borderId="3" xfId="0" applyFont="1" applyFill="1" applyBorder="1" applyAlignment="1">
      <alignment horizontal="left" vertical="top" wrapText="1"/>
    </xf>
    <xf numFmtId="0" fontId="977" fillId="5" borderId="3" xfId="0" applyFont="1" applyFill="1" applyBorder="1" applyAlignment="1">
      <alignment horizontal="left" vertical="top" wrapText="1"/>
    </xf>
    <xf numFmtId="0" fontId="978" fillId="5" borderId="3" xfId="0" applyFont="1" applyFill="1" applyBorder="1" applyAlignment="1">
      <alignment horizontal="left" vertical="top" wrapText="1"/>
    </xf>
    <xf numFmtId="0" fontId="979" fillId="5" borderId="3" xfId="0" applyFont="1" applyFill="1" applyBorder="1" applyAlignment="1">
      <alignment horizontal="left" vertical="top" wrapText="1"/>
    </xf>
    <xf numFmtId="0" fontId="980" fillId="5" borderId="3" xfId="0" applyFont="1" applyFill="1" applyBorder="1" applyAlignment="1">
      <alignment horizontal="left" vertical="top" wrapText="1"/>
    </xf>
    <xf numFmtId="0" fontId="981" fillId="5" borderId="3" xfId="0" applyFont="1" applyFill="1" applyBorder="1" applyAlignment="1">
      <alignment horizontal="left" vertical="top" wrapText="1"/>
    </xf>
    <xf numFmtId="0" fontId="982" fillId="5" borderId="3" xfId="0" applyFont="1" applyFill="1" applyBorder="1" applyAlignment="1">
      <alignment horizontal="left" vertical="top" wrapText="1"/>
    </xf>
    <xf numFmtId="0" fontId="983" fillId="5" borderId="3" xfId="0" applyFont="1" applyFill="1" applyBorder="1" applyAlignment="1">
      <alignment horizontal="left" vertical="top" wrapText="1"/>
    </xf>
    <xf numFmtId="0" fontId="984" fillId="5" borderId="3" xfId="0" applyFont="1" applyFill="1" applyBorder="1" applyAlignment="1">
      <alignment horizontal="left" vertical="top" wrapText="1"/>
    </xf>
    <xf numFmtId="0" fontId="985" fillId="5" borderId="3" xfId="0" applyFont="1" applyFill="1" applyBorder="1" applyAlignment="1">
      <alignment horizontal="left" vertical="top" wrapText="1"/>
    </xf>
    <xf numFmtId="0" fontId="986" fillId="5" borderId="3" xfId="0" applyFont="1" applyFill="1" applyBorder="1" applyAlignment="1">
      <alignment horizontal="left" vertical="top" wrapText="1"/>
    </xf>
    <xf numFmtId="0" fontId="987" fillId="5" borderId="3" xfId="0" applyFont="1" applyFill="1" applyBorder="1" applyAlignment="1">
      <alignment horizontal="left" vertical="top" wrapText="1"/>
    </xf>
    <xf numFmtId="0" fontId="988" fillId="5" borderId="3" xfId="0" applyFont="1" applyFill="1" applyBorder="1" applyAlignment="1">
      <alignment horizontal="left" vertical="top" wrapText="1"/>
    </xf>
    <xf numFmtId="0" fontId="989" fillId="5" borderId="3" xfId="0" applyFont="1" applyFill="1" applyBorder="1" applyAlignment="1">
      <alignment horizontal="left" vertical="top" wrapText="1"/>
    </xf>
    <xf numFmtId="0" fontId="990" fillId="5" borderId="3" xfId="0" applyFont="1" applyFill="1" applyBorder="1" applyAlignment="1">
      <alignment horizontal="left" vertical="top" wrapText="1"/>
    </xf>
    <xf numFmtId="0" fontId="991" fillId="5" borderId="3" xfId="0" applyFont="1" applyFill="1" applyBorder="1" applyAlignment="1">
      <alignment horizontal="left" vertical="top" wrapText="1"/>
    </xf>
    <xf numFmtId="0" fontId="992" fillId="5" borderId="3" xfId="0" applyFont="1" applyFill="1" applyBorder="1" applyAlignment="1">
      <alignment horizontal="left" vertical="top" wrapText="1"/>
    </xf>
    <xf numFmtId="0" fontId="993" fillId="5" borderId="3" xfId="0" applyFont="1" applyFill="1" applyBorder="1" applyAlignment="1">
      <alignment horizontal="left" vertical="top" wrapText="1"/>
    </xf>
    <xf numFmtId="0" fontId="994" fillId="5" borderId="3" xfId="0" applyFont="1" applyFill="1" applyBorder="1" applyAlignment="1">
      <alignment horizontal="left" vertical="top" wrapText="1"/>
    </xf>
    <xf numFmtId="0" fontId="995" fillId="5" borderId="3" xfId="0" applyFont="1" applyFill="1" applyBorder="1" applyAlignment="1">
      <alignment horizontal="left" vertical="top" wrapText="1"/>
    </xf>
    <xf numFmtId="0" fontId="996" fillId="5" borderId="3" xfId="0" applyFont="1" applyFill="1" applyBorder="1" applyAlignment="1">
      <alignment horizontal="left" vertical="top" wrapText="1"/>
    </xf>
    <xf numFmtId="0" fontId="997" fillId="5" borderId="3" xfId="0" applyFont="1" applyFill="1" applyBorder="1" applyAlignment="1">
      <alignment horizontal="left" vertical="top" wrapText="1"/>
    </xf>
    <xf numFmtId="0" fontId="998" fillId="5" borderId="3" xfId="0" applyFont="1" applyFill="1" applyBorder="1" applyAlignment="1">
      <alignment horizontal="left" vertical="top" wrapText="1"/>
    </xf>
    <xf numFmtId="0" fontId="999" fillId="5" borderId="3" xfId="0" applyFont="1" applyFill="1" applyBorder="1" applyAlignment="1">
      <alignment horizontal="left" vertical="top" wrapText="1"/>
    </xf>
    <xf numFmtId="0" fontId="1000" fillId="5" borderId="3" xfId="0" applyFont="1" applyFill="1" applyBorder="1" applyAlignment="1">
      <alignment horizontal="left" vertical="top" wrapText="1"/>
    </xf>
    <xf numFmtId="0" fontId="1001" fillId="5" borderId="3" xfId="0" applyFont="1" applyFill="1" applyBorder="1" applyAlignment="1">
      <alignment horizontal="left" vertical="top" wrapText="1"/>
    </xf>
    <xf numFmtId="0" fontId="1002" fillId="5" borderId="3" xfId="0" applyFont="1" applyFill="1" applyBorder="1" applyAlignment="1">
      <alignment horizontal="left" vertical="top" wrapText="1"/>
    </xf>
    <xf numFmtId="0" fontId="1003" fillId="5" borderId="3" xfId="0" applyFont="1" applyFill="1" applyBorder="1" applyAlignment="1">
      <alignment horizontal="left" vertical="top" wrapText="1"/>
    </xf>
    <xf numFmtId="0" fontId="1004" fillId="5" borderId="3" xfId="0" applyFont="1" applyFill="1" applyBorder="1" applyAlignment="1">
      <alignment horizontal="left" vertical="top" wrapText="1"/>
    </xf>
    <xf numFmtId="0" fontId="1005" fillId="5" borderId="3" xfId="0" applyFont="1" applyFill="1" applyBorder="1" applyAlignment="1">
      <alignment horizontal="left" vertical="top" wrapText="1"/>
    </xf>
    <xf numFmtId="0" fontId="1006" fillId="5" borderId="3" xfId="0" applyFont="1" applyFill="1" applyBorder="1" applyAlignment="1">
      <alignment horizontal="left" vertical="top" wrapText="1"/>
    </xf>
    <xf numFmtId="0" fontId="1007" fillId="5" borderId="3" xfId="0" applyFont="1" applyFill="1" applyBorder="1" applyAlignment="1">
      <alignment horizontal="center" vertical="top"/>
    </xf>
    <xf numFmtId="0" fontId="1008" fillId="3" borderId="3" xfId="0" applyFont="1" applyFill="1" applyBorder="1" applyAlignment="1">
      <alignment horizontal="left" vertical="top" wrapText="1"/>
    </xf>
    <xf numFmtId="0" fontId="1011" fillId="4" borderId="3" xfId="0" applyFont="1" applyFill="1" applyBorder="1" applyAlignment="1">
      <alignment horizontal="center" vertical="top" wrapText="1"/>
    </xf>
    <xf numFmtId="0" fontId="1015" fillId="5" borderId="3" xfId="0" applyFont="1" applyFill="1" applyBorder="1" applyAlignment="1">
      <alignment horizontal="left" vertical="top" wrapText="1"/>
    </xf>
    <xf numFmtId="0" fontId="1016" fillId="5" borderId="3" xfId="0" applyFont="1" applyFill="1" applyBorder="1" applyAlignment="1">
      <alignment horizontal="left" vertical="top" wrapText="1"/>
    </xf>
    <xf numFmtId="0" fontId="1017" fillId="5" borderId="3" xfId="0" applyFont="1" applyFill="1" applyBorder="1" applyAlignment="1">
      <alignment horizontal="left" vertical="top" wrapText="1"/>
    </xf>
    <xf numFmtId="0" fontId="1018" fillId="5" borderId="3" xfId="0" applyFont="1" applyFill="1" applyBorder="1" applyAlignment="1">
      <alignment horizontal="left" vertical="top" wrapText="1"/>
    </xf>
    <xf numFmtId="0" fontId="1019" fillId="5" borderId="3" xfId="0" applyFont="1" applyFill="1" applyBorder="1" applyAlignment="1">
      <alignment horizontal="left" vertical="top" wrapText="1"/>
    </xf>
    <xf numFmtId="0" fontId="1020" fillId="5" borderId="3" xfId="0" applyFont="1" applyFill="1" applyBorder="1" applyAlignment="1">
      <alignment horizontal="left" vertical="top" wrapText="1"/>
    </xf>
    <xf numFmtId="0" fontId="1021" fillId="5" borderId="3" xfId="0" applyFont="1" applyFill="1" applyBorder="1" applyAlignment="1">
      <alignment horizontal="center" vertical="top"/>
    </xf>
    <xf numFmtId="0" fontId="1022" fillId="5" borderId="3" xfId="0" applyFont="1" applyFill="1" applyBorder="1" applyAlignment="1">
      <alignment horizontal="left" vertical="top" wrapText="1"/>
    </xf>
    <xf numFmtId="0" fontId="1023" fillId="5" borderId="3" xfId="0" applyFont="1" applyFill="1" applyBorder="1" applyAlignment="1">
      <alignment horizontal="center" vertical="top"/>
    </xf>
    <xf numFmtId="0" fontId="1024" fillId="5" borderId="3" xfId="0" applyFont="1" applyFill="1" applyBorder="1" applyAlignment="1">
      <alignment horizontal="left" vertical="top" wrapText="1"/>
    </xf>
    <xf numFmtId="0" fontId="1025" fillId="5" borderId="3" xfId="0" applyFont="1" applyFill="1" applyBorder="1" applyAlignment="1">
      <alignment horizontal="left" vertical="top" wrapText="1"/>
    </xf>
    <xf numFmtId="0" fontId="1026" fillId="5" borderId="3" xfId="0" applyFont="1" applyFill="1" applyBorder="1" applyAlignment="1">
      <alignment horizontal="left" vertical="top" wrapText="1"/>
    </xf>
    <xf numFmtId="0" fontId="1027" fillId="5" borderId="3" xfId="0" applyFont="1" applyFill="1" applyBorder="1" applyAlignment="1">
      <alignment horizontal="left" vertical="top" wrapText="1"/>
    </xf>
    <xf numFmtId="0" fontId="1028" fillId="5" borderId="3" xfId="0" applyFont="1" applyFill="1" applyBorder="1" applyAlignment="1">
      <alignment horizontal="left" vertical="top" wrapText="1"/>
    </xf>
    <xf numFmtId="0" fontId="1029" fillId="5" borderId="3" xfId="0" applyFont="1" applyFill="1" applyBorder="1" applyAlignment="1">
      <alignment horizontal="left" vertical="top" wrapText="1"/>
    </xf>
    <xf numFmtId="0" fontId="1030" fillId="5" borderId="3" xfId="0" applyFont="1" applyFill="1" applyBorder="1" applyAlignment="1">
      <alignment horizontal="left" vertical="top" wrapText="1"/>
    </xf>
    <xf numFmtId="0" fontId="1031" fillId="5" borderId="3" xfId="0" applyFont="1" applyFill="1" applyBorder="1" applyAlignment="1">
      <alignment horizontal="left" vertical="top" wrapText="1"/>
    </xf>
    <xf numFmtId="0" fontId="1032" fillId="5" borderId="3" xfId="0" applyFont="1" applyFill="1" applyBorder="1" applyAlignment="1">
      <alignment horizontal="left" vertical="top" wrapText="1"/>
    </xf>
    <xf numFmtId="0" fontId="1033" fillId="5" borderId="3" xfId="0" applyFont="1" applyFill="1" applyBorder="1" applyAlignment="1">
      <alignment horizontal="left" vertical="top" wrapText="1"/>
    </xf>
    <xf numFmtId="0" fontId="1034" fillId="5" borderId="3" xfId="0" applyFont="1" applyFill="1" applyBorder="1" applyAlignment="1">
      <alignment horizontal="left" vertical="top" wrapText="1"/>
    </xf>
    <xf numFmtId="0" fontId="1035" fillId="5" borderId="3" xfId="0" applyFont="1" applyFill="1" applyBorder="1" applyAlignment="1">
      <alignment horizontal="left" vertical="top" wrapText="1"/>
    </xf>
    <xf numFmtId="0" fontId="1036" fillId="5" borderId="3" xfId="0" applyFont="1" applyFill="1" applyBorder="1" applyAlignment="1">
      <alignment horizontal="left" vertical="top" wrapText="1"/>
    </xf>
    <xf numFmtId="0" fontId="1037" fillId="5" borderId="3" xfId="0" applyFont="1" applyFill="1" applyBorder="1" applyAlignment="1">
      <alignment horizontal="left" vertical="top" wrapText="1"/>
    </xf>
    <xf numFmtId="0" fontId="1038" fillId="5" borderId="3" xfId="0" applyFont="1" applyFill="1" applyBorder="1" applyAlignment="1">
      <alignment horizontal="left" vertical="top" wrapText="1"/>
    </xf>
    <xf numFmtId="0" fontId="1039" fillId="5" borderId="3" xfId="0" applyFont="1" applyFill="1" applyBorder="1" applyAlignment="1">
      <alignment horizontal="left" vertical="top" wrapText="1"/>
    </xf>
    <xf numFmtId="0" fontId="1040" fillId="5" borderId="3" xfId="0" applyFont="1" applyFill="1" applyBorder="1" applyAlignment="1">
      <alignment horizontal="left" vertical="top" wrapText="1"/>
    </xf>
    <xf numFmtId="0" fontId="1041" fillId="5" borderId="3" xfId="0" applyFont="1" applyFill="1" applyBorder="1" applyAlignment="1">
      <alignment horizontal="left" vertical="top" wrapText="1"/>
    </xf>
    <xf numFmtId="0" fontId="1042" fillId="5" borderId="3" xfId="0" applyFont="1" applyFill="1" applyBorder="1" applyAlignment="1">
      <alignment horizontal="left" vertical="top" wrapText="1"/>
    </xf>
    <xf numFmtId="0" fontId="1043" fillId="5" borderId="3" xfId="0" applyFont="1" applyFill="1" applyBorder="1" applyAlignment="1">
      <alignment horizontal="left" vertical="top" wrapText="1"/>
    </xf>
    <xf numFmtId="0" fontId="1044" fillId="5" borderId="3" xfId="0" applyFont="1" applyFill="1" applyBorder="1" applyAlignment="1">
      <alignment horizontal="left" vertical="top" wrapText="1"/>
    </xf>
    <xf numFmtId="0" fontId="1045" fillId="5" borderId="3" xfId="0" applyFont="1" applyFill="1" applyBorder="1" applyAlignment="1">
      <alignment horizontal="left" vertical="top" wrapText="1"/>
    </xf>
    <xf numFmtId="0" fontId="1046" fillId="5" borderId="3" xfId="0" applyFont="1" applyFill="1" applyBorder="1" applyAlignment="1">
      <alignment horizontal="left" vertical="top" wrapText="1"/>
    </xf>
    <xf numFmtId="0" fontId="1047" fillId="5" borderId="3" xfId="0" applyFont="1" applyFill="1" applyBorder="1" applyAlignment="1">
      <alignment horizontal="left" vertical="top" wrapText="1"/>
    </xf>
    <xf numFmtId="0" fontId="1048" fillId="5" borderId="3" xfId="0" applyFont="1" applyFill="1" applyBorder="1" applyAlignment="1">
      <alignment horizontal="left" vertical="top" wrapText="1"/>
    </xf>
    <xf numFmtId="0" fontId="1049" fillId="5" borderId="3" xfId="0" applyFont="1" applyFill="1" applyBorder="1" applyAlignment="1">
      <alignment horizontal="left" vertical="top" wrapText="1"/>
    </xf>
    <xf numFmtId="0" fontId="1050" fillId="5" borderId="3" xfId="0" applyFont="1" applyFill="1" applyBorder="1" applyAlignment="1">
      <alignment horizontal="left" vertical="top" wrapText="1"/>
    </xf>
    <xf numFmtId="0" fontId="1051" fillId="5" borderId="3" xfId="0" applyFont="1" applyFill="1" applyBorder="1" applyAlignment="1">
      <alignment horizontal="left" vertical="top" wrapText="1"/>
    </xf>
    <xf numFmtId="0" fontId="1052" fillId="5" borderId="3" xfId="0" applyFont="1" applyFill="1" applyBorder="1" applyAlignment="1">
      <alignment horizontal="center" vertical="top"/>
    </xf>
    <xf numFmtId="0" fontId="1053"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left" vertical="top" wrapText="1"/>
    </xf>
    <xf numFmtId="0" fontId="1056" fillId="5" borderId="3" xfId="0" applyFont="1" applyFill="1" applyBorder="1" applyAlignment="1">
      <alignment horizontal="left" vertical="top" wrapText="1"/>
    </xf>
    <xf numFmtId="0" fontId="1057" fillId="5" borderId="3" xfId="0" applyFont="1" applyFill="1" applyBorder="1" applyAlignment="1">
      <alignment horizontal="left" vertical="top" wrapText="1"/>
    </xf>
    <xf numFmtId="0" fontId="1058" fillId="5" borderId="3" xfId="0" applyFont="1" applyFill="1" applyBorder="1" applyAlignment="1">
      <alignment horizontal="left" vertical="top" wrapText="1"/>
    </xf>
    <xf numFmtId="0" fontId="1059" fillId="5" borderId="3" xfId="0" applyFont="1" applyFill="1" applyBorder="1" applyAlignment="1">
      <alignment horizontal="left" vertical="top" wrapText="1"/>
    </xf>
    <xf numFmtId="0" fontId="1060" fillId="5" borderId="3" xfId="0" applyFont="1" applyFill="1" applyBorder="1" applyAlignment="1">
      <alignment horizontal="left" vertical="top" wrapText="1"/>
    </xf>
    <xf numFmtId="0" fontId="1061" fillId="5" borderId="3" xfId="0" applyFont="1" applyFill="1" applyBorder="1" applyAlignment="1">
      <alignment horizontal="left" vertical="top" wrapText="1"/>
    </xf>
    <xf numFmtId="0" fontId="1062" fillId="5" borderId="3" xfId="0" applyFont="1" applyFill="1" applyBorder="1" applyAlignment="1">
      <alignment horizontal="left" vertical="top" wrapText="1"/>
    </xf>
    <xf numFmtId="0" fontId="1072" fillId="5" borderId="3" xfId="0" applyFont="1" applyFill="1" applyBorder="1" applyAlignment="1">
      <alignment horizontal="left" vertical="top" wrapText="1"/>
    </xf>
    <xf numFmtId="0" fontId="1073" fillId="5" borderId="3" xfId="0" applyFont="1" applyFill="1" applyBorder="1" applyAlignment="1">
      <alignment horizontal="left" vertical="top" wrapText="1"/>
    </xf>
    <xf numFmtId="0" fontId="1074" fillId="5" borderId="3" xfId="0" applyFont="1" applyFill="1" applyBorder="1" applyAlignment="1">
      <alignment horizontal="left" vertical="top" wrapText="1"/>
    </xf>
    <xf numFmtId="0" fontId="1075" fillId="5" borderId="3" xfId="0" applyFont="1" applyFill="1" applyBorder="1" applyAlignment="1">
      <alignment horizontal="left" vertical="top" wrapText="1"/>
    </xf>
    <xf numFmtId="0" fontId="1076" fillId="5" borderId="3" xfId="0" applyFont="1" applyFill="1" applyBorder="1" applyAlignment="1">
      <alignment horizontal="left" vertical="top" wrapText="1"/>
    </xf>
    <xf numFmtId="0" fontId="1077" fillId="5" borderId="3" xfId="0" applyFont="1" applyFill="1" applyBorder="1" applyAlignment="1">
      <alignment horizontal="center" vertical="top"/>
    </xf>
    <xf numFmtId="0" fontId="1078" fillId="5" borderId="3" xfId="0" applyFont="1" applyFill="1" applyBorder="1" applyAlignment="1">
      <alignment horizontal="center" vertical="top"/>
    </xf>
    <xf numFmtId="0" fontId="1079" fillId="5" borderId="3" xfId="0" applyFont="1" applyFill="1" applyBorder="1" applyAlignment="1">
      <alignment horizontal="center" vertical="top"/>
    </xf>
    <xf numFmtId="0" fontId="1080" fillId="5" borderId="3" xfId="0" applyFont="1" applyFill="1" applyBorder="1" applyAlignment="1">
      <alignment horizontal="center" vertical="top"/>
    </xf>
    <xf numFmtId="0" fontId="1081" fillId="5" borderId="3" xfId="0" applyFont="1" applyFill="1" applyBorder="1" applyAlignment="1">
      <alignment horizontal="center" vertical="top"/>
    </xf>
    <xf numFmtId="0" fontId="1082" fillId="5" borderId="3" xfId="0" applyFont="1" applyFill="1" applyBorder="1" applyAlignment="1">
      <alignment horizontal="center" vertical="top"/>
    </xf>
    <xf numFmtId="0" fontId="1083" fillId="5" borderId="3" xfId="0" applyFont="1" applyFill="1" applyBorder="1" applyAlignment="1">
      <alignment horizontal="center" vertical="top"/>
    </xf>
    <xf numFmtId="0" fontId="1084" fillId="5" borderId="3" xfId="0" applyFont="1" applyFill="1" applyBorder="1" applyAlignment="1">
      <alignment horizontal="left" vertical="top" wrapText="1"/>
    </xf>
    <xf numFmtId="0" fontId="1085" fillId="5" borderId="3" xfId="0" applyFont="1" applyFill="1" applyBorder="1" applyAlignment="1">
      <alignment horizontal="left" vertical="top" wrapText="1"/>
    </xf>
    <xf numFmtId="0" fontId="1086" fillId="5" borderId="3" xfId="0" applyFont="1" applyFill="1" applyBorder="1" applyAlignment="1">
      <alignment horizontal="left" vertical="top" wrapText="1"/>
    </xf>
    <xf numFmtId="0" fontId="1087" fillId="5" borderId="3" xfId="0" applyFont="1" applyFill="1" applyBorder="1" applyAlignment="1">
      <alignment horizontal="left" vertical="top" wrapText="1"/>
    </xf>
    <xf numFmtId="0" fontId="1088" fillId="5" borderId="3" xfId="0" applyFont="1" applyFill="1" applyBorder="1" applyAlignment="1">
      <alignment horizontal="left" vertical="top" wrapText="1"/>
    </xf>
    <xf numFmtId="0" fontId="1089" fillId="5" borderId="3" xfId="0" applyFont="1" applyFill="1" applyBorder="1" applyAlignment="1">
      <alignment horizontal="left" vertical="top" wrapText="1"/>
    </xf>
    <xf numFmtId="0" fontId="1090" fillId="5" borderId="3" xfId="0" applyFont="1" applyFill="1" applyBorder="1" applyAlignment="1">
      <alignment horizontal="left" vertical="top" wrapText="1"/>
    </xf>
    <xf numFmtId="0" fontId="1091" fillId="5" borderId="3" xfId="0" applyFont="1" applyFill="1" applyBorder="1" applyAlignment="1">
      <alignment horizontal="left" vertical="top" wrapText="1"/>
    </xf>
    <xf numFmtId="0" fontId="1092" fillId="5" borderId="3" xfId="0" applyFont="1" applyFill="1" applyBorder="1" applyAlignment="1">
      <alignment horizontal="center" vertical="top"/>
    </xf>
    <xf numFmtId="0" fontId="1093" fillId="5" borderId="3" xfId="0" applyFont="1" applyFill="1" applyBorder="1" applyAlignment="1">
      <alignment horizontal="center" vertical="top"/>
    </xf>
    <xf numFmtId="0" fontId="1094" fillId="5" borderId="3" xfId="0" applyFont="1" applyFill="1" applyBorder="1" applyAlignment="1">
      <alignment horizontal="center" vertical="top"/>
    </xf>
    <xf numFmtId="0" fontId="1095" fillId="5" borderId="3" xfId="0" applyFont="1" applyFill="1" applyBorder="1" applyAlignment="1">
      <alignment horizontal="center" vertical="top"/>
    </xf>
    <xf numFmtId="0" fontId="1096" fillId="5" borderId="3" xfId="0" applyFont="1" applyFill="1" applyBorder="1" applyAlignment="1">
      <alignment horizontal="center" vertical="top"/>
    </xf>
    <xf numFmtId="0" fontId="1097" fillId="5" borderId="3" xfId="0" applyFont="1" applyFill="1" applyBorder="1" applyAlignment="1">
      <alignment horizontal="center" vertical="top"/>
    </xf>
    <xf numFmtId="0" fontId="1098" fillId="5" borderId="3" xfId="0" applyFont="1" applyFill="1" applyBorder="1" applyAlignment="1">
      <alignment horizontal="center" vertical="top"/>
    </xf>
    <xf numFmtId="0" fontId="1099" fillId="5" borderId="3" xfId="0" applyFont="1" applyFill="1" applyBorder="1" applyAlignment="1">
      <alignment horizontal="center" vertical="top"/>
    </xf>
    <xf numFmtId="0" fontId="1100" fillId="5" borderId="3" xfId="0" applyFont="1" applyFill="1" applyBorder="1" applyAlignment="1">
      <alignment horizontal="center" vertical="top"/>
    </xf>
    <xf numFmtId="0" fontId="1101" fillId="5" borderId="3" xfId="0" applyFont="1" applyFill="1" applyBorder="1" applyAlignment="1">
      <alignment horizontal="center" vertical="top"/>
    </xf>
    <xf numFmtId="0" fontId="1102" fillId="5" borderId="3" xfId="0" applyFont="1" applyFill="1" applyBorder="1" applyAlignment="1">
      <alignment horizontal="center" vertical="top"/>
    </xf>
    <xf numFmtId="0" fontId="1103" fillId="5" borderId="3" xfId="0" applyFont="1" applyFill="1" applyBorder="1" applyAlignment="1">
      <alignment horizontal="center" vertical="top"/>
    </xf>
    <xf numFmtId="0" fontId="1104"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08" fillId="5" borderId="3" xfId="0" applyFont="1" applyFill="1" applyBorder="1" applyAlignment="1">
      <alignment horizontal="left" vertical="top" wrapText="1"/>
    </xf>
    <xf numFmtId="0" fontId="1109" fillId="5" borderId="3" xfId="0" applyFont="1" applyFill="1" applyBorder="1" applyAlignment="1">
      <alignment horizontal="left" vertical="top" wrapText="1"/>
    </xf>
    <xf numFmtId="0" fontId="1110" fillId="5" borderId="3" xfId="0" applyFont="1" applyFill="1" applyBorder="1" applyAlignment="1">
      <alignment horizontal="left" vertical="top" wrapText="1"/>
    </xf>
    <xf numFmtId="0" fontId="1111" fillId="5" borderId="3" xfId="0" applyFont="1" applyFill="1" applyBorder="1" applyAlignment="1">
      <alignment horizontal="center" vertical="top"/>
    </xf>
    <xf numFmtId="0" fontId="1112" fillId="5" borderId="3" xfId="0" applyFont="1" applyFill="1" applyBorder="1" applyAlignment="1">
      <alignment horizontal="center" vertical="top"/>
    </xf>
    <xf numFmtId="0" fontId="1113" fillId="5" borderId="3" xfId="0" applyFont="1" applyFill="1" applyBorder="1" applyAlignment="1">
      <alignment horizontal="center" vertical="top"/>
    </xf>
    <xf numFmtId="0" fontId="1114" fillId="5" borderId="3" xfId="0" applyFont="1" applyFill="1" applyBorder="1" applyAlignment="1">
      <alignment horizontal="center" vertical="top"/>
    </xf>
    <xf numFmtId="0" fontId="1115" fillId="5" borderId="3" xfId="0" applyFont="1" applyFill="1" applyBorder="1" applyAlignment="1">
      <alignment horizontal="center" vertical="top"/>
    </xf>
    <xf numFmtId="0" fontId="1116" fillId="5" borderId="3" xfId="0" applyFont="1" applyFill="1" applyBorder="1" applyAlignment="1">
      <alignment horizontal="center" vertical="top"/>
    </xf>
    <xf numFmtId="0" fontId="1117" fillId="5" borderId="3" xfId="0" applyFont="1" applyFill="1" applyBorder="1" applyAlignment="1">
      <alignment horizontal="center" vertical="top"/>
    </xf>
    <xf numFmtId="0" fontId="1118" fillId="5" borderId="3" xfId="0" applyFont="1" applyFill="1" applyBorder="1" applyAlignment="1">
      <alignment horizontal="center" vertical="top"/>
    </xf>
    <xf numFmtId="0" fontId="1119" fillId="5" borderId="3" xfId="0" applyFont="1" applyFill="1" applyBorder="1" applyAlignment="1">
      <alignment horizontal="center" vertical="top"/>
    </xf>
    <xf numFmtId="0" fontId="1120" fillId="5" borderId="3" xfId="0" applyFont="1" applyFill="1" applyBorder="1" applyAlignment="1">
      <alignment horizontal="center" vertical="top"/>
    </xf>
    <xf numFmtId="0" fontId="1121" fillId="5" borderId="3" xfId="0" applyFont="1" applyFill="1" applyBorder="1" applyAlignment="1">
      <alignment horizontal="center" vertical="top"/>
    </xf>
    <xf numFmtId="0" fontId="1122" fillId="5" borderId="3" xfId="0" applyFont="1" applyFill="1" applyBorder="1" applyAlignment="1">
      <alignment horizontal="center" vertical="top"/>
    </xf>
    <xf numFmtId="0" fontId="1123" fillId="5" borderId="3" xfId="0" applyFont="1" applyFill="1" applyBorder="1" applyAlignment="1">
      <alignment horizontal="center" vertical="top"/>
    </xf>
    <xf numFmtId="0" fontId="1124" fillId="5" borderId="3" xfId="0" applyFont="1" applyFill="1" applyBorder="1" applyAlignment="1">
      <alignment horizontal="center" vertical="top"/>
    </xf>
    <xf numFmtId="0" fontId="1125" fillId="5" borderId="3" xfId="0" applyFont="1" applyFill="1" applyBorder="1" applyAlignment="1">
      <alignment horizontal="center" vertical="top"/>
    </xf>
    <xf numFmtId="0" fontId="1126" fillId="5" borderId="3" xfId="0" applyFont="1" applyFill="1" applyBorder="1" applyAlignment="1">
      <alignment horizontal="center" vertical="top"/>
    </xf>
    <xf numFmtId="0" fontId="1127" fillId="5" borderId="3" xfId="0" applyFont="1" applyFill="1" applyBorder="1" applyAlignment="1">
      <alignment horizontal="center" vertical="top"/>
    </xf>
    <xf numFmtId="0" fontId="1128" fillId="5" borderId="3" xfId="0" applyFont="1" applyFill="1" applyBorder="1" applyAlignment="1">
      <alignment horizontal="left" vertical="top" wrapText="1"/>
    </xf>
    <xf numFmtId="0" fontId="1129" fillId="5" borderId="3" xfId="0" applyFont="1" applyFill="1" applyBorder="1" applyAlignment="1">
      <alignment horizontal="left" vertical="top" wrapText="1"/>
    </xf>
    <xf numFmtId="0" fontId="1130" fillId="5" borderId="3" xfId="0" applyFont="1" applyFill="1" applyBorder="1" applyAlignment="1">
      <alignment horizontal="left" vertical="top" wrapText="1"/>
    </xf>
    <xf numFmtId="0" fontId="1131" fillId="5" borderId="3" xfId="0" applyFont="1" applyFill="1" applyBorder="1" applyAlignment="1">
      <alignment horizontal="left" vertical="top" wrapText="1"/>
    </xf>
    <xf numFmtId="0" fontId="1132" fillId="5" borderId="3" xfId="0" applyFont="1" applyFill="1" applyBorder="1" applyAlignment="1">
      <alignment horizontal="left" vertical="top" wrapText="1"/>
    </xf>
    <xf numFmtId="0" fontId="1133" fillId="5" borderId="3" xfId="0" applyFont="1" applyFill="1" applyBorder="1" applyAlignment="1">
      <alignment horizontal="left" vertical="top" wrapText="1"/>
    </xf>
    <xf numFmtId="0" fontId="1134" fillId="5" borderId="3" xfId="0" applyFont="1" applyFill="1" applyBorder="1" applyAlignment="1">
      <alignment horizontal="left" vertical="top" wrapText="1"/>
    </xf>
    <xf numFmtId="0" fontId="1135" fillId="5" borderId="3" xfId="0" applyFont="1" applyFill="1" applyBorder="1" applyAlignment="1">
      <alignment horizontal="left" vertical="top" wrapText="1"/>
    </xf>
    <xf numFmtId="0" fontId="1136" fillId="5" borderId="3" xfId="0" applyFont="1" applyFill="1" applyBorder="1" applyAlignment="1">
      <alignment horizontal="left" vertical="top" wrapText="1"/>
    </xf>
    <xf numFmtId="0" fontId="1137" fillId="5" borderId="3" xfId="0" applyFont="1" applyFill="1" applyBorder="1" applyAlignment="1">
      <alignment horizontal="left" vertical="top" wrapText="1"/>
    </xf>
    <xf numFmtId="0" fontId="1138" fillId="5" borderId="3" xfId="0" applyFont="1" applyFill="1" applyBorder="1" applyAlignment="1">
      <alignment horizontal="center" vertical="top"/>
    </xf>
    <xf numFmtId="0" fontId="1139" fillId="5" borderId="3" xfId="0" applyFont="1" applyFill="1" applyBorder="1" applyAlignment="1">
      <alignment horizontal="center" vertical="top"/>
    </xf>
    <xf numFmtId="0" fontId="1140" fillId="5" borderId="3" xfId="0" applyFont="1" applyFill="1" applyBorder="1" applyAlignment="1">
      <alignment horizontal="left" vertical="top" wrapText="1"/>
    </xf>
    <xf numFmtId="0" fontId="1141" fillId="5" borderId="3" xfId="0" applyFont="1" applyFill="1" applyBorder="1" applyAlignment="1">
      <alignment horizontal="left" vertical="top" wrapText="1"/>
    </xf>
    <xf numFmtId="0" fontId="1142" fillId="5" borderId="3" xfId="0" applyFont="1" applyFill="1" applyBorder="1" applyAlignment="1">
      <alignment horizontal="left" vertical="top" wrapText="1"/>
    </xf>
    <xf numFmtId="0" fontId="1143" fillId="5" borderId="3" xfId="0" applyFont="1" applyFill="1" applyBorder="1" applyAlignment="1">
      <alignment horizontal="left" vertical="top" wrapText="1"/>
    </xf>
    <xf numFmtId="0" fontId="1144" fillId="5" borderId="3" xfId="0" applyFont="1" applyFill="1" applyBorder="1" applyAlignment="1">
      <alignment horizontal="center" vertical="top"/>
    </xf>
    <xf numFmtId="0" fontId="1145" fillId="5" borderId="3" xfId="0" applyFont="1" applyFill="1" applyBorder="1" applyAlignment="1">
      <alignment horizontal="left" vertical="top" wrapText="1"/>
    </xf>
    <xf numFmtId="0" fontId="1146" fillId="5" borderId="3" xfId="0" applyFont="1" applyFill="1" applyBorder="1" applyAlignment="1">
      <alignment horizontal="left" vertical="top" wrapText="1"/>
    </xf>
    <xf numFmtId="0" fontId="1147" fillId="5" borderId="3" xfId="0" applyFont="1" applyFill="1" applyBorder="1" applyAlignment="1">
      <alignment horizontal="left" vertical="top" wrapText="1"/>
    </xf>
    <xf numFmtId="0" fontId="1148" fillId="5" borderId="3" xfId="0" applyFont="1" applyFill="1" applyBorder="1" applyAlignment="1">
      <alignment horizontal="left" vertical="top" wrapText="1"/>
    </xf>
    <xf numFmtId="0" fontId="1149" fillId="5" borderId="3" xfId="0" applyFont="1" applyFill="1" applyBorder="1" applyAlignment="1">
      <alignment horizontal="center" vertical="top"/>
    </xf>
    <xf numFmtId="0" fontId="1150" fillId="5" borderId="3" xfId="0" applyFont="1" applyFill="1" applyBorder="1" applyAlignment="1">
      <alignment horizontal="center" vertical="top"/>
    </xf>
    <xf numFmtId="0" fontId="1151" fillId="5" borderId="3" xfId="0" applyFont="1" applyFill="1" applyBorder="1" applyAlignment="1">
      <alignment horizontal="center" vertical="top"/>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79" fillId="5" borderId="3" xfId="0" applyFont="1" applyFill="1" applyBorder="1" applyAlignment="1">
      <alignment horizontal="left" vertical="top" wrapText="1"/>
    </xf>
    <xf numFmtId="0" fontId="1180" fillId="3" borderId="3" xfId="0" applyFont="1" applyFill="1" applyBorder="1" applyAlignment="1">
      <alignment horizontal="left" vertical="top" wrapText="1"/>
    </xf>
    <xf numFmtId="0" fontId="1183" fillId="4" borderId="3" xfId="0" applyFont="1" applyFill="1" applyBorder="1" applyAlignment="1">
      <alignment horizontal="center" vertical="top" wrapText="1"/>
    </xf>
    <xf numFmtId="0" fontId="1184" fillId="5" borderId="3" xfId="0" applyFont="1" applyFill="1" applyBorder="1" applyAlignment="1">
      <alignment horizontal="center" vertical="top"/>
    </xf>
    <xf numFmtId="0" fontId="1185" fillId="5" borderId="3" xfId="0" applyFont="1" applyFill="1" applyBorder="1" applyAlignment="1">
      <alignment horizontal="center" vertical="top"/>
    </xf>
    <xf numFmtId="0" fontId="1186" fillId="5" borderId="3" xfId="0" applyFont="1" applyFill="1" applyBorder="1" applyAlignment="1">
      <alignment horizontal="center" vertical="top"/>
    </xf>
    <xf numFmtId="0" fontId="1187" fillId="5" borderId="3" xfId="0" applyFont="1" applyFill="1" applyBorder="1" applyAlignment="1">
      <alignment horizontal="center" vertical="top"/>
    </xf>
    <xf numFmtId="0" fontId="1188" fillId="5" borderId="3" xfId="0" applyFont="1" applyFill="1" applyBorder="1" applyAlignment="1">
      <alignment horizontal="center" vertical="top"/>
    </xf>
    <xf numFmtId="0" fontId="1189" fillId="5" borderId="3" xfId="0" applyFont="1" applyFill="1" applyBorder="1" applyAlignment="1">
      <alignment horizontal="center" vertical="top"/>
    </xf>
    <xf numFmtId="0" fontId="1190" fillId="5" borderId="3" xfId="0" applyFont="1" applyFill="1" applyBorder="1" applyAlignment="1">
      <alignment horizontal="left" vertical="top" wrapText="1"/>
    </xf>
    <xf numFmtId="0" fontId="1191" fillId="5" borderId="3" xfId="0" applyFont="1" applyFill="1" applyBorder="1" applyAlignment="1">
      <alignment horizontal="left" vertical="top" wrapText="1"/>
    </xf>
    <xf numFmtId="0" fontId="1192" fillId="5" borderId="3" xfId="0" applyFont="1" applyFill="1" applyBorder="1" applyAlignment="1">
      <alignment horizontal="left" vertical="top" wrapText="1"/>
    </xf>
    <xf numFmtId="0" fontId="1193" fillId="5" borderId="3" xfId="0" applyFont="1" applyFill="1" applyBorder="1" applyAlignment="1">
      <alignment horizontal="left" vertical="top" wrapText="1"/>
    </xf>
    <xf numFmtId="0" fontId="1194" fillId="5" borderId="3" xfId="0" applyFont="1" applyFill="1" applyBorder="1" applyAlignment="1">
      <alignment horizontal="left" vertical="top" wrapText="1"/>
    </xf>
    <xf numFmtId="0" fontId="1195" fillId="5" borderId="3" xfId="0" applyFont="1" applyFill="1" applyBorder="1" applyAlignment="1">
      <alignment horizontal="center" vertical="top"/>
    </xf>
    <xf numFmtId="0" fontId="1196" fillId="5" borderId="3" xfId="0" applyFont="1" applyFill="1" applyBorder="1" applyAlignment="1">
      <alignment horizontal="left" vertical="top" wrapText="1"/>
    </xf>
    <xf numFmtId="0" fontId="1197" fillId="5" borderId="3" xfId="0" applyFont="1" applyFill="1" applyBorder="1" applyAlignment="1">
      <alignment horizontal="left" vertical="top" wrapText="1"/>
    </xf>
    <xf numFmtId="0" fontId="1198" fillId="5" borderId="3" xfId="0" applyFont="1" applyFill="1" applyBorder="1" applyAlignment="1">
      <alignment horizontal="left" vertical="top" wrapText="1"/>
    </xf>
    <xf numFmtId="0" fontId="1199" fillId="5" borderId="3" xfId="0" applyFont="1" applyFill="1" applyBorder="1" applyAlignment="1">
      <alignment horizontal="left" vertical="top" wrapText="1"/>
    </xf>
    <xf numFmtId="0" fontId="1200" fillId="5" borderId="3" xfId="0" applyFont="1" applyFill="1" applyBorder="1" applyAlignment="1">
      <alignment horizontal="left" vertical="top" wrapText="1"/>
    </xf>
    <xf numFmtId="0" fontId="1201" fillId="5" borderId="3" xfId="0" applyFont="1" applyFill="1" applyBorder="1" applyAlignment="1">
      <alignment horizontal="left" vertical="top" wrapText="1"/>
    </xf>
    <xf numFmtId="0" fontId="1202" fillId="5" borderId="3" xfId="0" applyFont="1" applyFill="1" applyBorder="1" applyAlignment="1">
      <alignment horizontal="left" vertical="top" wrapText="1"/>
    </xf>
    <xf numFmtId="0" fontId="1203" fillId="5" borderId="3" xfId="0" applyFont="1" applyFill="1" applyBorder="1" applyAlignment="1">
      <alignment horizontal="left" vertical="top" wrapText="1"/>
    </xf>
    <xf numFmtId="0" fontId="1204" fillId="5" borderId="3" xfId="0" applyFont="1" applyFill="1" applyBorder="1" applyAlignment="1">
      <alignment horizontal="left" vertical="top" wrapText="1"/>
    </xf>
    <xf numFmtId="0" fontId="1205" fillId="5" borderId="3" xfId="0" applyFont="1" applyFill="1" applyBorder="1" applyAlignment="1">
      <alignment horizontal="center" vertical="top"/>
    </xf>
    <xf numFmtId="0" fontId="1206" fillId="5" borderId="3" xfId="0" applyFont="1" applyFill="1" applyBorder="1" applyAlignment="1">
      <alignment horizontal="center" vertical="top"/>
    </xf>
    <xf numFmtId="0" fontId="1207" fillId="5" borderId="3" xfId="0" applyFont="1" applyFill="1" applyBorder="1" applyAlignment="1">
      <alignment horizontal="center" vertical="top"/>
    </xf>
    <xf numFmtId="0" fontId="1208" fillId="5" borderId="3" xfId="0" applyFont="1" applyFill="1" applyBorder="1" applyAlignment="1">
      <alignment horizontal="center" vertical="top"/>
    </xf>
    <xf numFmtId="0" fontId="1209" fillId="5" borderId="3" xfId="0" applyFont="1" applyFill="1" applyBorder="1" applyAlignment="1">
      <alignment horizontal="center" vertical="top"/>
    </xf>
    <xf numFmtId="0" fontId="1210" fillId="5" borderId="3" xfId="0" applyFont="1" applyFill="1" applyBorder="1" applyAlignment="1">
      <alignment horizontal="center" vertical="top"/>
    </xf>
    <xf numFmtId="0" fontId="1211" fillId="5" borderId="3" xfId="0" applyFont="1" applyFill="1" applyBorder="1" applyAlignment="1">
      <alignment horizontal="center" vertical="top"/>
    </xf>
    <xf numFmtId="0" fontId="1212" fillId="5" borderId="3" xfId="0" applyFont="1" applyFill="1" applyBorder="1" applyAlignment="1">
      <alignment horizontal="center" vertical="top"/>
    </xf>
    <xf numFmtId="0" fontId="1213" fillId="5" borderId="3" xfId="0" applyFont="1" applyFill="1" applyBorder="1" applyAlignment="1">
      <alignment horizontal="center" vertical="top"/>
    </xf>
    <xf numFmtId="0" fontId="1214" fillId="5" borderId="3" xfId="0" applyFont="1" applyFill="1" applyBorder="1" applyAlignment="1">
      <alignment horizontal="center" vertical="top"/>
    </xf>
    <xf numFmtId="0" fontId="1215" fillId="5" borderId="3" xfId="0" applyFont="1" applyFill="1" applyBorder="1" applyAlignment="1">
      <alignment horizontal="center" vertical="top"/>
    </xf>
    <xf numFmtId="0" fontId="1216" fillId="5" borderId="3" xfId="0" applyFont="1" applyFill="1" applyBorder="1" applyAlignment="1">
      <alignment horizontal="center" vertical="top"/>
    </xf>
    <xf numFmtId="0" fontId="1217" fillId="5" borderId="3" xfId="0" applyFont="1" applyFill="1" applyBorder="1" applyAlignment="1">
      <alignment horizontal="center" vertical="top"/>
    </xf>
    <xf numFmtId="0" fontId="1218" fillId="5" borderId="3" xfId="0" applyFont="1" applyFill="1" applyBorder="1" applyAlignment="1">
      <alignment horizontal="left" vertical="top" wrapText="1"/>
    </xf>
    <xf numFmtId="0" fontId="1219" fillId="5" borderId="3" xfId="0" applyFont="1" applyFill="1" applyBorder="1" applyAlignment="1">
      <alignment horizontal="left" vertical="top" wrapText="1"/>
    </xf>
    <xf numFmtId="0" fontId="1220" fillId="5" borderId="3" xfId="0" applyFont="1" applyFill="1" applyBorder="1" applyAlignment="1">
      <alignment horizontal="center" vertical="top"/>
    </xf>
    <xf numFmtId="0" fontId="1221" fillId="5" borderId="3" xfId="0" applyFont="1" applyFill="1" applyBorder="1" applyAlignment="1">
      <alignment horizontal="left" vertical="top" wrapText="1"/>
    </xf>
    <xf numFmtId="0" fontId="1222" fillId="5" borderId="3" xfId="0" applyFont="1" applyFill="1" applyBorder="1" applyAlignment="1">
      <alignment horizontal="left" vertical="top" wrapText="1"/>
    </xf>
    <xf numFmtId="0" fontId="1223" fillId="5" borderId="3" xfId="0" applyFont="1" applyFill="1" applyBorder="1" applyAlignment="1">
      <alignment horizontal="left" vertical="top" wrapText="1"/>
    </xf>
    <xf numFmtId="0" fontId="1224" fillId="5" borderId="3" xfId="0" applyFont="1" applyFill="1" applyBorder="1" applyAlignment="1">
      <alignment horizontal="left" vertical="top" wrapText="1"/>
    </xf>
    <xf numFmtId="0" fontId="1225" fillId="5" borderId="3" xfId="0" applyFont="1" applyFill="1" applyBorder="1" applyAlignment="1">
      <alignment horizontal="center" vertical="top"/>
    </xf>
    <xf numFmtId="0" fontId="1226" fillId="5" borderId="3" xfId="0" applyFont="1" applyFill="1" applyBorder="1" applyAlignment="1">
      <alignment horizontal="center" vertical="top"/>
    </xf>
    <xf numFmtId="0" fontId="1227" fillId="5" borderId="3" xfId="0" applyFont="1" applyFill="1" applyBorder="1" applyAlignment="1">
      <alignment horizontal="center" vertical="top"/>
    </xf>
    <xf numFmtId="0" fontId="1228" fillId="5" borderId="3" xfId="0" applyFont="1" applyFill="1" applyBorder="1" applyAlignment="1">
      <alignment horizontal="center" vertical="top"/>
    </xf>
    <xf numFmtId="0" fontId="1229" fillId="5" borderId="3" xfId="0" applyFont="1" applyFill="1" applyBorder="1" applyAlignment="1">
      <alignment horizontal="center" vertical="top"/>
    </xf>
    <xf numFmtId="0" fontId="1230" fillId="5" borderId="3" xfId="0" applyFont="1" applyFill="1" applyBorder="1" applyAlignment="1">
      <alignment horizontal="left" vertical="top" wrapText="1"/>
    </xf>
    <xf numFmtId="0" fontId="1231" fillId="5" borderId="3" xfId="0" applyFont="1" applyFill="1" applyBorder="1" applyAlignment="1">
      <alignment horizontal="left" vertical="top" wrapText="1"/>
    </xf>
    <xf numFmtId="0" fontId="1232" fillId="5" borderId="3" xfId="0" applyFont="1" applyFill="1" applyBorder="1" applyAlignment="1">
      <alignment horizontal="left" vertical="top" wrapText="1"/>
    </xf>
    <xf numFmtId="0" fontId="1233" fillId="5" borderId="3" xfId="0" applyFont="1" applyFill="1" applyBorder="1" applyAlignment="1">
      <alignment horizontal="left" vertical="top" wrapText="1"/>
    </xf>
    <xf numFmtId="0" fontId="1234" fillId="5" borderId="3" xfId="0" applyFont="1" applyFill="1" applyBorder="1" applyAlignment="1">
      <alignment horizontal="left" vertical="top" wrapText="1"/>
    </xf>
    <xf numFmtId="0" fontId="1235" fillId="5" borderId="3" xfId="0" applyFont="1" applyFill="1" applyBorder="1" applyAlignment="1">
      <alignment horizontal="left" vertical="top" wrapText="1"/>
    </xf>
    <xf numFmtId="0" fontId="1236" fillId="5" borderId="3" xfId="0" applyFont="1" applyFill="1" applyBorder="1" applyAlignment="1">
      <alignment horizontal="left" vertical="top" wrapText="1"/>
    </xf>
    <xf numFmtId="0" fontId="1237" fillId="5" borderId="3" xfId="0" applyFont="1" applyFill="1" applyBorder="1" applyAlignment="1">
      <alignment horizontal="left" vertical="top" wrapText="1"/>
    </xf>
    <xf numFmtId="0" fontId="1249" fillId="5" borderId="3" xfId="0" applyFont="1" applyFill="1" applyBorder="1" applyAlignment="1">
      <alignment horizontal="left" vertical="top" wrapText="1"/>
    </xf>
    <xf numFmtId="0" fontId="1250" fillId="5" borderId="3" xfId="0" applyFont="1" applyFill="1" applyBorder="1" applyAlignment="1">
      <alignment horizontal="left" vertical="top" wrapText="1"/>
    </xf>
    <xf numFmtId="0" fontId="1251" fillId="5" borderId="3" xfId="0" applyFont="1" applyFill="1" applyBorder="1" applyAlignment="1">
      <alignment horizontal="left" vertical="top" wrapText="1"/>
    </xf>
    <xf numFmtId="0" fontId="1256" fillId="5" borderId="3" xfId="0" applyFont="1" applyFill="1" applyBorder="1" applyAlignment="1">
      <alignment horizontal="center" vertical="top"/>
    </xf>
    <xf numFmtId="0" fontId="1257" fillId="5" borderId="3" xfId="0" applyFont="1" applyFill="1" applyBorder="1" applyAlignment="1">
      <alignment horizontal="left" vertical="top" wrapText="1"/>
    </xf>
    <xf numFmtId="0" fontId="1258" fillId="5" borderId="3" xfId="0" applyFont="1" applyFill="1" applyBorder="1" applyAlignment="1">
      <alignment horizontal="left" vertical="top" wrapText="1"/>
    </xf>
    <xf numFmtId="0" fontId="1259" fillId="5" borderId="3" xfId="0" applyFont="1" applyFill="1" applyBorder="1" applyAlignment="1">
      <alignment horizontal="left" vertical="top" wrapText="1"/>
    </xf>
    <xf numFmtId="0" fontId="1277" fillId="5" borderId="3" xfId="0" applyFont="1" applyFill="1" applyBorder="1" applyAlignment="1">
      <alignment horizontal="left" vertical="top" wrapText="1"/>
    </xf>
    <xf numFmtId="0" fontId="1278" fillId="5" borderId="3" xfId="0" applyFont="1" applyFill="1" applyBorder="1" applyAlignment="1">
      <alignment horizontal="center" vertical="top"/>
    </xf>
    <xf numFmtId="0" fontId="1279" fillId="5" borderId="3" xfId="0" applyFont="1" applyFill="1" applyBorder="1" applyAlignment="1">
      <alignment horizontal="center" vertical="top"/>
    </xf>
    <xf numFmtId="0" fontId="1280" fillId="5" borderId="3" xfId="0" applyFont="1" applyFill="1" applyBorder="1" applyAlignment="1">
      <alignment horizontal="center" vertical="top"/>
    </xf>
    <xf numFmtId="0" fontId="1281" fillId="5" borderId="3" xfId="0" applyFont="1" applyFill="1" applyBorder="1" applyAlignment="1">
      <alignment horizontal="center" vertical="top"/>
    </xf>
    <xf numFmtId="0" fontId="1282" fillId="5" borderId="3" xfId="0" applyFont="1" applyFill="1" applyBorder="1" applyAlignment="1">
      <alignment horizontal="left" vertical="top" wrapText="1"/>
    </xf>
    <xf numFmtId="0" fontId="1283" fillId="5" borderId="3" xfId="0" applyFont="1" applyFill="1" applyBorder="1" applyAlignment="1">
      <alignment horizontal="center" vertical="top"/>
    </xf>
    <xf numFmtId="0" fontId="1284" fillId="5" borderId="3" xfId="0" applyFont="1" applyFill="1" applyBorder="1" applyAlignment="1">
      <alignment horizontal="left" vertical="top" wrapText="1"/>
    </xf>
    <xf numFmtId="0" fontId="1285" fillId="5" borderId="3" xfId="0" applyFont="1" applyFill="1" applyBorder="1" applyAlignment="1">
      <alignment horizontal="left" vertical="top" wrapText="1"/>
    </xf>
    <xf numFmtId="0" fontId="1286" fillId="5" borderId="3" xfId="0" applyFont="1" applyFill="1" applyBorder="1" applyAlignment="1">
      <alignment horizontal="left" vertical="top" wrapText="1"/>
    </xf>
    <xf numFmtId="0" fontId="1287" fillId="5" borderId="3" xfId="0" applyFont="1" applyFill="1" applyBorder="1" applyAlignment="1">
      <alignment horizontal="left" vertical="top" wrapText="1"/>
    </xf>
    <xf numFmtId="0" fontId="1288" fillId="5" borderId="3" xfId="0" applyFont="1" applyFill="1" applyBorder="1" applyAlignment="1">
      <alignment horizontal="left" vertical="top" wrapText="1"/>
    </xf>
    <xf numFmtId="0" fontId="1289" fillId="5" borderId="3" xfId="0" applyFont="1" applyFill="1" applyBorder="1" applyAlignment="1">
      <alignment horizontal="left" vertical="top" wrapText="1"/>
    </xf>
    <xf numFmtId="0" fontId="1290" fillId="5" borderId="3" xfId="0" applyFont="1" applyFill="1" applyBorder="1" applyAlignment="1">
      <alignment horizontal="left" vertical="top" wrapText="1"/>
    </xf>
    <xf numFmtId="0" fontId="1291" fillId="5" borderId="3" xfId="0" applyFont="1" applyFill="1" applyBorder="1" applyAlignment="1">
      <alignment horizontal="left" vertical="top" wrapText="1"/>
    </xf>
    <xf numFmtId="0" fontId="1292" fillId="5" borderId="3" xfId="0" applyFont="1" applyFill="1" applyBorder="1" applyAlignment="1">
      <alignment horizontal="left" vertical="top" wrapText="1"/>
    </xf>
    <xf numFmtId="0" fontId="1293" fillId="5" borderId="3" xfId="0" applyFont="1" applyFill="1" applyBorder="1" applyAlignment="1">
      <alignment horizontal="left" vertical="top" wrapText="1"/>
    </xf>
    <xf numFmtId="0" fontId="1294" fillId="5" borderId="3" xfId="0" applyFont="1" applyFill="1" applyBorder="1" applyAlignment="1">
      <alignment horizontal="left" vertical="top" wrapText="1"/>
    </xf>
    <xf numFmtId="0" fontId="1295" fillId="5" borderId="3" xfId="0" applyFont="1" applyFill="1" applyBorder="1" applyAlignment="1">
      <alignment horizontal="left" vertical="top" wrapText="1"/>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left" vertical="top" wrapText="1"/>
    </xf>
    <xf numFmtId="0" fontId="1302" fillId="5" borderId="3" xfId="0" applyFont="1" applyFill="1" applyBorder="1" applyAlignment="1">
      <alignment horizontal="left" vertical="top" wrapText="1"/>
    </xf>
    <xf numFmtId="0" fontId="1303" fillId="5" borderId="3" xfId="0" applyFont="1" applyFill="1" applyBorder="1" applyAlignment="1">
      <alignment horizontal="left" vertical="top" wrapText="1"/>
    </xf>
    <xf numFmtId="0" fontId="1304" fillId="5" borderId="3" xfId="0" applyFont="1" applyFill="1" applyBorder="1" applyAlignment="1">
      <alignment horizontal="left" vertical="top" wrapText="1"/>
    </xf>
    <xf numFmtId="0" fontId="1305" fillId="5" borderId="3" xfId="0" applyFont="1" applyFill="1" applyBorder="1" applyAlignment="1">
      <alignment horizontal="left" vertical="top" wrapText="1"/>
    </xf>
    <xf numFmtId="0" fontId="1306" fillId="5" borderId="3" xfId="0" applyFont="1" applyFill="1" applyBorder="1" applyAlignment="1">
      <alignment horizontal="left" vertical="top" wrapText="1"/>
    </xf>
    <xf numFmtId="0" fontId="1307" fillId="5" borderId="3" xfId="0" applyFont="1" applyFill="1" applyBorder="1" applyAlignment="1">
      <alignment horizontal="left" vertical="top" wrapText="1"/>
    </xf>
    <xf numFmtId="0" fontId="1308" fillId="5" borderId="3" xfId="0" applyFont="1" applyFill="1" applyBorder="1" applyAlignment="1">
      <alignment horizontal="left" vertical="top" wrapText="1"/>
    </xf>
    <xf numFmtId="0" fontId="1309" fillId="5" borderId="3" xfId="0" applyFont="1" applyFill="1" applyBorder="1" applyAlignment="1">
      <alignment horizontal="left" vertical="top" wrapText="1"/>
    </xf>
    <xf numFmtId="0" fontId="1310" fillId="5" borderId="3" xfId="0" applyFont="1" applyFill="1" applyBorder="1" applyAlignment="1">
      <alignment horizontal="left" vertical="top" wrapText="1"/>
    </xf>
    <xf numFmtId="0" fontId="1311" fillId="5" borderId="3" xfId="0" applyFont="1" applyFill="1" applyBorder="1" applyAlignment="1">
      <alignment horizontal="center" vertical="top"/>
    </xf>
    <xf numFmtId="0" fontId="1312" fillId="5" borderId="3" xfId="0" applyFont="1" applyFill="1" applyBorder="1" applyAlignment="1">
      <alignment horizontal="center" vertical="top"/>
    </xf>
    <xf numFmtId="0" fontId="1313" fillId="5" borderId="3" xfId="0" applyFont="1" applyFill="1" applyBorder="1" applyAlignment="1">
      <alignment horizontal="left" vertical="top" wrapText="1"/>
    </xf>
    <xf numFmtId="0" fontId="1314" fillId="5" borderId="3" xfId="0" applyFont="1" applyFill="1" applyBorder="1" applyAlignment="1">
      <alignment horizontal="left" vertical="top" wrapText="1"/>
    </xf>
    <xf numFmtId="0" fontId="1315" fillId="5" borderId="3" xfId="0" applyFont="1" applyFill="1" applyBorder="1" applyAlignment="1">
      <alignment horizontal="left" vertical="top" wrapText="1"/>
    </xf>
    <xf numFmtId="0" fontId="1316" fillId="5" borderId="3" xfId="0" applyFont="1" applyFill="1" applyBorder="1" applyAlignment="1">
      <alignment horizontal="left" vertical="top" wrapText="1"/>
    </xf>
    <xf numFmtId="0" fontId="1317" fillId="5" borderId="3" xfId="0" applyFont="1" applyFill="1" applyBorder="1" applyAlignment="1">
      <alignment horizontal="left" vertical="top" wrapText="1"/>
    </xf>
    <xf numFmtId="0" fontId="1318" fillId="5" borderId="3" xfId="0" applyFont="1" applyFill="1" applyBorder="1" applyAlignment="1">
      <alignment horizontal="left" vertical="top" wrapText="1"/>
    </xf>
    <xf numFmtId="0" fontId="1319" fillId="5" borderId="3" xfId="0" applyFont="1" applyFill="1" applyBorder="1" applyAlignment="1">
      <alignment horizontal="left" vertical="top" wrapText="1"/>
    </xf>
    <xf numFmtId="0" fontId="1320" fillId="5" borderId="3" xfId="0" applyFont="1" applyFill="1" applyBorder="1" applyAlignment="1">
      <alignment horizontal="center" vertical="top"/>
    </xf>
    <xf numFmtId="0" fontId="1321" fillId="5" borderId="3" xfId="0" applyFont="1" applyFill="1" applyBorder="1" applyAlignment="1">
      <alignment horizontal="center" vertical="top"/>
    </xf>
    <xf numFmtId="0" fontId="1322" fillId="3" borderId="3" xfId="0" applyFont="1" applyFill="1" applyBorder="1" applyAlignment="1">
      <alignment horizontal="left" vertical="top" wrapText="1"/>
    </xf>
    <xf numFmtId="0" fontId="1325" fillId="4" borderId="3" xfId="0" applyFont="1" applyFill="1" applyBorder="1" applyAlignment="1">
      <alignment horizontal="center" vertical="top" wrapText="1"/>
    </xf>
    <xf numFmtId="0" fontId="1326" fillId="5" borderId="3" xfId="0" applyFont="1" applyFill="1" applyBorder="1" applyAlignment="1">
      <alignment horizontal="left" vertical="top" wrapText="1"/>
    </xf>
    <xf numFmtId="0" fontId="1327" fillId="5" borderId="3" xfId="0" applyFont="1" applyFill="1" applyBorder="1" applyAlignment="1">
      <alignment horizontal="left" vertical="top" wrapText="1"/>
    </xf>
    <xf numFmtId="0" fontId="1328" fillId="5" borderId="3" xfId="0" applyFont="1" applyFill="1" applyBorder="1" applyAlignment="1">
      <alignment horizontal="left" vertical="top" wrapText="1"/>
    </xf>
    <xf numFmtId="0" fontId="1329" fillId="5" borderId="3" xfId="0" applyFont="1" applyFill="1" applyBorder="1" applyAlignment="1">
      <alignment horizontal="center" vertical="top"/>
    </xf>
    <xf numFmtId="0" fontId="1330" fillId="5" borderId="3" xfId="0" applyFont="1" applyFill="1" applyBorder="1" applyAlignment="1">
      <alignment horizontal="left" vertical="top" wrapText="1"/>
    </xf>
    <xf numFmtId="0" fontId="1331" fillId="5" borderId="3" xfId="0" applyFont="1" applyFill="1" applyBorder="1" applyAlignment="1">
      <alignment horizontal="left" vertical="top" wrapText="1"/>
    </xf>
    <xf numFmtId="0" fontId="1332" fillId="5" borderId="3" xfId="0" applyFont="1" applyFill="1" applyBorder="1" applyAlignment="1">
      <alignment horizontal="left" vertical="top" wrapText="1"/>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left" vertical="top" wrapText="1"/>
    </xf>
    <xf numFmtId="0" fontId="1336" fillId="5" borderId="3" xfId="0" applyFont="1" applyFill="1" applyBorder="1" applyAlignment="1">
      <alignment horizontal="left" vertical="top" wrapText="1"/>
    </xf>
    <xf numFmtId="0" fontId="1337" fillId="5" borderId="3" xfId="0" applyFont="1" applyFill="1" applyBorder="1" applyAlignment="1">
      <alignment horizontal="center" vertical="top"/>
    </xf>
    <xf numFmtId="0" fontId="1338" fillId="5" borderId="3" xfId="0" applyFont="1" applyFill="1" applyBorder="1" applyAlignment="1">
      <alignment horizontal="center" vertical="top"/>
    </xf>
    <xf numFmtId="0" fontId="1339" fillId="5" borderId="3" xfId="0" applyFont="1" applyFill="1" applyBorder="1" applyAlignment="1">
      <alignment horizontal="center" vertical="top"/>
    </xf>
    <xf numFmtId="0" fontId="1340" fillId="5" borderId="3" xfId="0" applyFont="1" applyFill="1" applyBorder="1" applyAlignment="1">
      <alignment horizontal="center" vertical="top"/>
    </xf>
    <xf numFmtId="0" fontId="1341" fillId="5" borderId="3" xfId="0" applyFont="1" applyFill="1" applyBorder="1" applyAlignment="1">
      <alignment horizontal="center" vertical="top"/>
    </xf>
    <xf numFmtId="0" fontId="1342" fillId="5" borderId="3" xfId="0" applyFont="1" applyFill="1" applyBorder="1" applyAlignment="1">
      <alignment horizontal="center" vertical="top"/>
    </xf>
    <xf numFmtId="0" fontId="1343" fillId="5" borderId="3" xfId="0" applyFont="1" applyFill="1" applyBorder="1" applyAlignment="1">
      <alignment horizontal="center" vertical="top"/>
    </xf>
    <xf numFmtId="0" fontId="1344" fillId="5" borderId="3" xfId="0" applyFont="1" applyFill="1" applyBorder="1" applyAlignment="1">
      <alignment horizontal="center" vertical="top"/>
    </xf>
    <xf numFmtId="0" fontId="1345" fillId="5" borderId="3" xfId="0" applyFont="1" applyFill="1" applyBorder="1" applyAlignment="1">
      <alignment horizontal="left" vertical="top" wrapText="1"/>
    </xf>
    <xf numFmtId="0" fontId="1346" fillId="5" borderId="3" xfId="0" applyFont="1" applyFill="1" applyBorder="1" applyAlignment="1">
      <alignment horizontal="left" vertical="top" wrapText="1"/>
    </xf>
    <xf numFmtId="0" fontId="1347" fillId="5" borderId="3" xfId="0" applyFont="1" applyFill="1" applyBorder="1" applyAlignment="1">
      <alignment horizontal="left" vertical="top" wrapText="1"/>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left" vertical="top" wrapText="1"/>
    </xf>
    <xf numFmtId="0" fontId="1363" fillId="5" borderId="3" xfId="0" applyFont="1" applyFill="1" applyBorder="1" applyAlignment="1">
      <alignment horizontal="left" vertical="top" wrapText="1"/>
    </xf>
    <xf numFmtId="0" fontId="1364" fillId="5" borderId="3" xfId="0" applyFont="1" applyFill="1" applyBorder="1" applyAlignment="1">
      <alignment horizontal="left" vertical="top" wrapText="1"/>
    </xf>
    <xf numFmtId="0" fontId="1365" fillId="5" borderId="3" xfId="0" applyFont="1" applyFill="1" applyBorder="1" applyAlignment="1">
      <alignment horizontal="left" vertical="top" wrapText="1"/>
    </xf>
    <xf numFmtId="0" fontId="1366" fillId="5" borderId="3" xfId="0" applyFont="1" applyFill="1" applyBorder="1" applyAlignment="1">
      <alignment horizontal="left" vertical="top" wrapText="1"/>
    </xf>
    <xf numFmtId="0" fontId="1367" fillId="5" borderId="3" xfId="0" applyFont="1" applyFill="1" applyBorder="1" applyAlignment="1">
      <alignment horizontal="left" vertical="top" wrapText="1"/>
    </xf>
    <xf numFmtId="0" fontId="1368" fillId="5" borderId="3" xfId="0" applyFont="1" applyFill="1" applyBorder="1" applyAlignment="1">
      <alignment horizontal="center" vertical="top"/>
    </xf>
    <xf numFmtId="0" fontId="1369" fillId="5" borderId="3" xfId="0" applyFont="1" applyFill="1" applyBorder="1" applyAlignment="1">
      <alignment horizontal="center" vertical="top"/>
    </xf>
    <xf numFmtId="0" fontId="1370" fillId="5" borderId="3" xfId="0" applyFont="1" applyFill="1" applyBorder="1" applyAlignment="1">
      <alignment horizontal="center" vertical="top"/>
    </xf>
    <xf numFmtId="0" fontId="1371" fillId="5" borderId="3" xfId="0" applyFont="1" applyFill="1" applyBorder="1" applyAlignment="1">
      <alignment horizontal="left" vertical="top" wrapText="1"/>
    </xf>
    <xf numFmtId="0" fontId="1372" fillId="5" borderId="3" xfId="0" applyFont="1" applyFill="1" applyBorder="1" applyAlignment="1">
      <alignment horizontal="left" vertical="top" wrapText="1"/>
    </xf>
    <xf numFmtId="0" fontId="1373" fillId="5" borderId="3" xfId="0" applyFont="1" applyFill="1" applyBorder="1" applyAlignment="1">
      <alignment horizontal="left" vertical="top" wrapText="1"/>
    </xf>
    <xf numFmtId="0" fontId="1374" fillId="5" borderId="3" xfId="0" applyFont="1" applyFill="1" applyBorder="1" applyAlignment="1">
      <alignment horizontal="left" vertical="top" wrapText="1"/>
    </xf>
    <xf numFmtId="0" fontId="1375" fillId="5" borderId="3" xfId="0" applyFont="1" applyFill="1" applyBorder="1" applyAlignment="1">
      <alignment horizontal="left" vertical="top" wrapText="1"/>
    </xf>
    <xf numFmtId="0" fontId="1376" fillId="5" borderId="3" xfId="0" applyFont="1" applyFill="1" applyBorder="1" applyAlignment="1">
      <alignment horizontal="left" vertical="top" wrapText="1"/>
    </xf>
    <xf numFmtId="0" fontId="1377" fillId="5" borderId="3" xfId="0" applyFont="1" applyFill="1" applyBorder="1" applyAlignment="1">
      <alignment horizontal="left" vertical="top" wrapText="1"/>
    </xf>
    <xf numFmtId="0" fontId="1378" fillId="5" borderId="3" xfId="0" applyFont="1" applyFill="1" applyBorder="1" applyAlignment="1">
      <alignment horizontal="left" vertical="top" wrapText="1"/>
    </xf>
    <xf numFmtId="0" fontId="1379" fillId="5" borderId="3" xfId="0" applyFont="1" applyFill="1" applyBorder="1" applyAlignment="1">
      <alignment horizontal="left" vertical="top" wrapText="1"/>
    </xf>
    <xf numFmtId="0" fontId="1380" fillId="5" borderId="3" xfId="0" applyFont="1" applyFill="1" applyBorder="1" applyAlignment="1">
      <alignment horizontal="left" vertical="top" wrapText="1"/>
    </xf>
    <xf numFmtId="0" fontId="1381" fillId="5" borderId="3" xfId="0" applyFont="1" applyFill="1" applyBorder="1" applyAlignment="1">
      <alignment horizontal="left" vertical="top" wrapText="1"/>
    </xf>
    <xf numFmtId="0" fontId="1382" fillId="5" borderId="3" xfId="0" applyFont="1" applyFill="1" applyBorder="1" applyAlignment="1">
      <alignment horizontal="left" vertical="top" wrapText="1"/>
    </xf>
    <xf numFmtId="0" fontId="1383" fillId="5" borderId="3" xfId="0" applyFont="1" applyFill="1" applyBorder="1" applyAlignment="1">
      <alignment horizontal="left" vertical="top" wrapText="1"/>
    </xf>
    <xf numFmtId="0" fontId="1384" fillId="5" borderId="3" xfId="0" applyFont="1" applyFill="1" applyBorder="1" applyAlignment="1">
      <alignment horizontal="left" vertical="top" wrapText="1"/>
    </xf>
    <xf numFmtId="0" fontId="1385" fillId="5" borderId="3" xfId="0" applyFont="1" applyFill="1" applyBorder="1" applyAlignment="1">
      <alignment horizontal="left" vertical="top" wrapText="1"/>
    </xf>
    <xf numFmtId="0" fontId="1386" fillId="5" borderId="3" xfId="0" applyFont="1" applyFill="1" applyBorder="1" applyAlignment="1">
      <alignment horizontal="left" vertical="top" wrapText="1"/>
    </xf>
    <xf numFmtId="0" fontId="1387" fillId="5" borderId="3" xfId="0" applyFont="1" applyFill="1" applyBorder="1" applyAlignment="1">
      <alignment horizontal="left" vertical="top" wrapText="1"/>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left" vertical="top" wrapText="1"/>
    </xf>
    <xf numFmtId="0" fontId="1395" fillId="5" borderId="3" xfId="0" applyFont="1" applyFill="1" applyBorder="1" applyAlignment="1">
      <alignment horizontal="left" vertical="top" wrapText="1"/>
    </xf>
    <xf numFmtId="0" fontId="1396" fillId="5" borderId="3" xfId="0" applyFont="1" applyFill="1" applyBorder="1" applyAlignment="1">
      <alignment horizontal="left" vertical="top" wrapText="1"/>
    </xf>
    <xf numFmtId="0" fontId="1397" fillId="5" borderId="3" xfId="0" applyFont="1" applyFill="1" applyBorder="1" applyAlignment="1">
      <alignment horizontal="left" vertical="top" wrapText="1"/>
    </xf>
    <xf numFmtId="0" fontId="1398" fillId="5" borderId="3" xfId="0" applyFont="1" applyFill="1" applyBorder="1" applyAlignment="1">
      <alignment horizontal="left" vertical="top" wrapText="1"/>
    </xf>
    <xf numFmtId="0" fontId="1399" fillId="5" borderId="3" xfId="0" applyFont="1" applyFill="1" applyBorder="1" applyAlignment="1">
      <alignment horizontal="left" vertical="top" wrapText="1"/>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left" vertical="top" wrapText="1"/>
    </xf>
    <xf numFmtId="0" fontId="1403" fillId="5" borderId="3" xfId="0" applyFont="1" applyFill="1" applyBorder="1" applyAlignment="1">
      <alignment horizontal="left" vertical="top" wrapText="1"/>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left" vertical="top" wrapText="1"/>
    </xf>
    <xf numFmtId="0" fontId="1407" fillId="5" borderId="3" xfId="0" applyFont="1" applyFill="1" applyBorder="1" applyAlignment="1">
      <alignment horizontal="left" vertical="top" wrapText="1"/>
    </xf>
    <xf numFmtId="0" fontId="1408" fillId="5" borderId="3" xfId="0" applyFont="1" applyFill="1" applyBorder="1" applyAlignment="1">
      <alignment horizontal="left" vertical="top" wrapText="1"/>
    </xf>
    <xf numFmtId="0" fontId="1409" fillId="5" borderId="3" xfId="0" applyFont="1" applyFill="1" applyBorder="1" applyAlignment="1">
      <alignment horizontal="left" vertical="top" wrapText="1"/>
    </xf>
    <xf numFmtId="0" fontId="1410" fillId="5" borderId="3" xfId="0" applyFont="1" applyFill="1" applyBorder="1" applyAlignment="1">
      <alignment horizontal="left" vertical="top" wrapText="1"/>
    </xf>
    <xf numFmtId="0" fontId="1411" fillId="5" borderId="3" xfId="0" applyFont="1" applyFill="1" applyBorder="1" applyAlignment="1">
      <alignment horizontal="left" vertical="top" wrapText="1"/>
    </xf>
    <xf numFmtId="0" fontId="1412" fillId="5" borderId="3" xfId="0" applyFont="1" applyFill="1" applyBorder="1" applyAlignment="1">
      <alignment horizontal="left" vertical="top" wrapText="1"/>
    </xf>
    <xf numFmtId="0" fontId="1413" fillId="5" borderId="3" xfId="0" applyFont="1" applyFill="1" applyBorder="1" applyAlignment="1">
      <alignment horizontal="left" vertical="top" wrapText="1"/>
    </xf>
    <xf numFmtId="0" fontId="1414" fillId="5" borderId="3" xfId="0" applyFont="1" applyFill="1" applyBorder="1" applyAlignment="1">
      <alignment horizontal="left" vertical="top" wrapText="1"/>
    </xf>
    <xf numFmtId="0" fontId="1415" fillId="5" borderId="3" xfId="0" applyFont="1" applyFill="1" applyBorder="1" applyAlignment="1">
      <alignment horizontal="left" vertical="top" wrapText="1"/>
    </xf>
    <xf numFmtId="0" fontId="1416" fillId="5" borderId="3" xfId="0" applyFont="1" applyFill="1" applyBorder="1" applyAlignment="1">
      <alignment horizontal="left" vertical="top" wrapText="1"/>
    </xf>
    <xf numFmtId="0" fontId="1417" fillId="5" borderId="3" xfId="0" applyFont="1" applyFill="1" applyBorder="1" applyAlignment="1">
      <alignment horizontal="left" vertical="top" wrapText="1"/>
    </xf>
    <xf numFmtId="0" fontId="1418" fillId="5" borderId="3" xfId="0" applyFont="1" applyFill="1" applyBorder="1" applyAlignment="1">
      <alignment horizontal="left" vertical="top" wrapText="1"/>
    </xf>
    <xf numFmtId="0" fontId="1419" fillId="5" borderId="3" xfId="0" applyFont="1" applyFill="1" applyBorder="1" applyAlignment="1">
      <alignment horizontal="left" vertical="top" wrapText="1"/>
    </xf>
    <xf numFmtId="0" fontId="1420" fillId="5" borderId="3" xfId="0" applyFont="1" applyFill="1" applyBorder="1" applyAlignment="1">
      <alignment horizontal="left" vertical="top" wrapText="1"/>
    </xf>
    <xf numFmtId="0" fontId="1421" fillId="5" borderId="3" xfId="0" applyFont="1" applyFill="1" applyBorder="1" applyAlignment="1">
      <alignment horizontal="left" vertical="top" wrapText="1"/>
    </xf>
    <xf numFmtId="0" fontId="1422" fillId="5" borderId="3" xfId="0" applyFont="1" applyFill="1" applyBorder="1" applyAlignment="1">
      <alignment horizontal="left" vertical="top" wrapText="1"/>
    </xf>
    <xf numFmtId="0" fontId="1423" fillId="5" borderId="3" xfId="0" applyFont="1" applyFill="1" applyBorder="1" applyAlignment="1">
      <alignment horizontal="left" vertical="top" wrapText="1"/>
    </xf>
    <xf numFmtId="0" fontId="1424" fillId="5" borderId="3" xfId="0" applyFont="1" applyFill="1" applyBorder="1" applyAlignment="1">
      <alignment horizontal="left" vertical="top" wrapText="1"/>
    </xf>
    <xf numFmtId="0" fontId="1425" fillId="5" borderId="3" xfId="0" applyFont="1" applyFill="1" applyBorder="1" applyAlignment="1">
      <alignment horizontal="left" vertical="top" wrapText="1"/>
    </xf>
    <xf numFmtId="0" fontId="1426" fillId="5" borderId="3" xfId="0" applyFont="1" applyFill="1" applyBorder="1" applyAlignment="1">
      <alignment horizontal="left" vertical="top" wrapText="1"/>
    </xf>
    <xf numFmtId="0" fontId="1427" fillId="5" borderId="3" xfId="0" applyFont="1" applyFill="1" applyBorder="1" applyAlignment="1">
      <alignment horizontal="left" vertical="top" wrapText="1"/>
    </xf>
    <xf numFmtId="0" fontId="1428" fillId="5" borderId="3" xfId="0" applyFont="1" applyFill="1" applyBorder="1" applyAlignment="1">
      <alignment horizontal="left" vertical="top" wrapText="1"/>
    </xf>
    <xf numFmtId="0" fontId="1429" fillId="5" borderId="3" xfId="0" applyFont="1" applyFill="1" applyBorder="1" applyAlignment="1">
      <alignment horizontal="left" vertical="top" wrapText="1"/>
    </xf>
    <xf numFmtId="0" fontId="1430" fillId="5" borderId="3" xfId="0" applyFont="1" applyFill="1" applyBorder="1" applyAlignment="1">
      <alignment horizontal="left" vertical="top" wrapText="1"/>
    </xf>
    <xf numFmtId="0" fontId="1431" fillId="5" borderId="3" xfId="0" applyFont="1" applyFill="1" applyBorder="1" applyAlignment="1">
      <alignment horizontal="left" vertical="top" wrapText="1"/>
    </xf>
    <xf numFmtId="0" fontId="1432" fillId="5" borderId="3" xfId="0" applyFont="1" applyFill="1" applyBorder="1" applyAlignment="1">
      <alignment horizontal="left" vertical="top" wrapText="1"/>
    </xf>
    <xf numFmtId="0" fontId="1433" fillId="5" borderId="3" xfId="0" applyFont="1" applyFill="1" applyBorder="1" applyAlignment="1">
      <alignment horizontal="left" vertical="top" wrapText="1"/>
    </xf>
    <xf numFmtId="0" fontId="1434" fillId="5" borderId="3" xfId="0" applyFont="1" applyFill="1" applyBorder="1" applyAlignment="1">
      <alignment horizontal="left" vertical="top" wrapText="1"/>
    </xf>
    <xf numFmtId="0" fontId="1435" fillId="5" borderId="3" xfId="0" applyFont="1" applyFill="1" applyBorder="1" applyAlignment="1">
      <alignment horizontal="left" vertical="top" wrapText="1"/>
    </xf>
    <xf numFmtId="0" fontId="1436" fillId="5" borderId="3" xfId="0" applyFont="1" applyFill="1" applyBorder="1" applyAlignment="1">
      <alignment horizontal="left" vertical="top" wrapText="1"/>
    </xf>
    <xf numFmtId="0" fontId="1437" fillId="5" borderId="3" xfId="0" applyFont="1" applyFill="1" applyBorder="1" applyAlignment="1">
      <alignment horizontal="left" vertical="top" wrapText="1"/>
    </xf>
    <xf numFmtId="0" fontId="1438" fillId="5" borderId="3" xfId="0" applyFont="1" applyFill="1" applyBorder="1" applyAlignment="1">
      <alignment horizontal="left" vertical="top" wrapText="1"/>
    </xf>
    <xf numFmtId="0" fontId="1439" fillId="5" borderId="3" xfId="0" applyFont="1" applyFill="1" applyBorder="1" applyAlignment="1">
      <alignment horizontal="left" vertical="top" wrapText="1"/>
    </xf>
    <xf numFmtId="0" fontId="1440" fillId="5" borderId="3" xfId="0" applyFont="1" applyFill="1" applyBorder="1" applyAlignment="1">
      <alignment horizontal="left" vertical="top" wrapText="1"/>
    </xf>
    <xf numFmtId="0" fontId="1441" fillId="5" borderId="3" xfId="0" applyFont="1" applyFill="1" applyBorder="1" applyAlignment="1">
      <alignment horizontal="left" vertical="top" wrapText="1"/>
    </xf>
    <xf numFmtId="0" fontId="1442" fillId="5" borderId="3" xfId="0" applyFont="1" applyFill="1" applyBorder="1" applyAlignment="1">
      <alignment horizontal="left" vertical="top" wrapText="1"/>
    </xf>
    <xf numFmtId="0" fontId="1443" fillId="5" borderId="3" xfId="0" applyFont="1" applyFill="1" applyBorder="1" applyAlignment="1">
      <alignment horizontal="left" vertical="top" wrapText="1"/>
    </xf>
    <xf numFmtId="0" fontId="1444" fillId="5" borderId="3" xfId="0" applyFont="1" applyFill="1" applyBorder="1" applyAlignment="1">
      <alignment horizontal="left" vertical="top" wrapText="1"/>
    </xf>
    <xf numFmtId="0" fontId="1445" fillId="5" borderId="3" xfId="0" applyFont="1" applyFill="1" applyBorder="1" applyAlignment="1">
      <alignment horizontal="left" vertical="top" wrapText="1"/>
    </xf>
    <xf numFmtId="0" fontId="1446" fillId="5" borderId="3" xfId="0" applyFont="1" applyFill="1" applyBorder="1" applyAlignment="1">
      <alignment horizontal="left" vertical="top" wrapText="1"/>
    </xf>
    <xf numFmtId="0" fontId="1447" fillId="5" borderId="3" xfId="0" applyFont="1" applyFill="1" applyBorder="1" applyAlignment="1">
      <alignment horizontal="left" vertical="top" wrapText="1"/>
    </xf>
    <xf numFmtId="0" fontId="1448" fillId="5" borderId="3" xfId="0" applyFont="1" applyFill="1" applyBorder="1" applyAlignment="1">
      <alignment horizontal="left" vertical="top" wrapText="1"/>
    </xf>
    <xf numFmtId="0" fontId="1449" fillId="5" borderId="3" xfId="0" applyFont="1" applyFill="1" applyBorder="1" applyAlignment="1">
      <alignment horizontal="left" vertical="top" wrapText="1"/>
    </xf>
    <xf numFmtId="0" fontId="1450" fillId="5" borderId="3" xfId="0" applyFont="1" applyFill="1" applyBorder="1" applyAlignment="1">
      <alignment horizontal="left" vertical="top" wrapText="1"/>
    </xf>
    <xf numFmtId="0" fontId="1451" fillId="5" borderId="3" xfId="0" applyFont="1" applyFill="1" applyBorder="1" applyAlignment="1">
      <alignment horizontal="left" vertical="top" wrapText="1"/>
    </xf>
    <xf numFmtId="0" fontId="1452" fillId="5" borderId="3" xfId="0" applyFont="1" applyFill="1" applyBorder="1" applyAlignment="1">
      <alignment horizontal="left" vertical="top" wrapText="1"/>
    </xf>
    <xf numFmtId="0" fontId="1453" fillId="5" borderId="3" xfId="0" applyFont="1" applyFill="1" applyBorder="1" applyAlignment="1">
      <alignment horizontal="left" vertical="top" wrapText="1"/>
    </xf>
    <xf numFmtId="0" fontId="1454" fillId="5" borderId="3" xfId="0" applyFont="1" applyFill="1" applyBorder="1" applyAlignment="1">
      <alignment horizontal="left" vertical="top" wrapText="1"/>
    </xf>
    <xf numFmtId="0" fontId="1455" fillId="5" borderId="3" xfId="0" applyFont="1" applyFill="1" applyBorder="1" applyAlignment="1">
      <alignment horizontal="left" vertical="top" wrapText="1"/>
    </xf>
    <xf numFmtId="0" fontId="1456" fillId="5" borderId="3" xfId="0" applyFont="1" applyFill="1" applyBorder="1" applyAlignment="1">
      <alignment horizontal="left" vertical="top" wrapText="1"/>
    </xf>
    <xf numFmtId="0" fontId="1457" fillId="5" borderId="3" xfId="0" applyFont="1" applyFill="1" applyBorder="1" applyAlignment="1">
      <alignment horizontal="left" vertical="top" wrapText="1"/>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left" vertical="top" wrapText="1"/>
    </xf>
    <xf numFmtId="0" fontId="1463" fillId="5" borderId="3" xfId="0" applyFont="1" applyFill="1" applyBorder="1" applyAlignment="1">
      <alignment horizontal="left" vertical="top" wrapText="1"/>
    </xf>
    <xf numFmtId="0" fontId="1464" fillId="5" borderId="3" xfId="0" applyFont="1" applyFill="1" applyBorder="1" applyAlignment="1">
      <alignment horizontal="left" vertical="top" wrapText="1"/>
    </xf>
    <xf numFmtId="0" fontId="1465" fillId="5" borderId="3" xfId="0" applyFont="1" applyFill="1" applyBorder="1" applyAlignment="1">
      <alignment horizontal="left" vertical="top" wrapText="1"/>
    </xf>
    <xf numFmtId="0" fontId="1466" fillId="5" borderId="3" xfId="0" applyFont="1" applyFill="1" applyBorder="1" applyAlignment="1">
      <alignment horizontal="center" vertical="top"/>
    </xf>
    <xf numFmtId="0" fontId="1467" fillId="5" borderId="3" xfId="0" applyFont="1" applyFill="1" applyBorder="1" applyAlignment="1">
      <alignment horizontal="center" vertical="top"/>
    </xf>
    <xf numFmtId="0" fontId="1468" fillId="5" borderId="3" xfId="0" applyFont="1" applyFill="1" applyBorder="1" applyAlignment="1">
      <alignment horizontal="center" vertical="top"/>
    </xf>
    <xf numFmtId="0" fontId="1469" fillId="5" borderId="3" xfId="0" applyFont="1" applyFill="1" applyBorder="1" applyAlignment="1">
      <alignment horizontal="left" vertical="top" wrapText="1"/>
    </xf>
    <xf numFmtId="0" fontId="1470" fillId="5" borderId="3" xfId="0" applyFont="1" applyFill="1" applyBorder="1" applyAlignment="1">
      <alignment horizontal="left" vertical="top" wrapText="1"/>
    </xf>
    <xf numFmtId="0" fontId="1471" fillId="5" borderId="3" xfId="0" applyFont="1" applyFill="1" applyBorder="1" applyAlignment="1">
      <alignment horizontal="left"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center" vertical="top"/>
    </xf>
    <xf numFmtId="0" fontId="1474" fillId="5" borderId="3" xfId="0" applyFont="1" applyFill="1" applyBorder="1" applyAlignment="1">
      <alignment horizontal="left" vertical="top" wrapText="1"/>
    </xf>
    <xf numFmtId="0" fontId="1475" fillId="5" borderId="3" xfId="0" applyFont="1" applyFill="1" applyBorder="1" applyAlignment="1">
      <alignment horizontal="left" vertical="top" wrapText="1"/>
    </xf>
    <xf numFmtId="0" fontId="1476" fillId="5" borderId="3" xfId="0" applyFont="1" applyFill="1" applyBorder="1" applyAlignment="1">
      <alignment horizontal="center" vertical="top"/>
    </xf>
    <xf numFmtId="0" fontId="1477" fillId="5" borderId="3" xfId="0" applyFont="1" applyFill="1" applyBorder="1" applyAlignment="1">
      <alignment horizontal="left" vertical="top" wrapText="1"/>
    </xf>
    <xf numFmtId="0" fontId="1478" fillId="5" borderId="3" xfId="0" applyFont="1" applyFill="1" applyBorder="1" applyAlignment="1">
      <alignment horizontal="left" vertical="top" wrapText="1"/>
    </xf>
    <xf numFmtId="0" fontId="1479" fillId="5" borderId="3" xfId="0" applyFont="1" applyFill="1" applyBorder="1" applyAlignment="1">
      <alignment horizontal="left" vertical="top" wrapText="1"/>
    </xf>
    <xf numFmtId="0" fontId="1480" fillId="5" borderId="3" xfId="0" applyFont="1" applyFill="1" applyBorder="1" applyAlignment="1">
      <alignment horizontal="left" vertical="top" wrapText="1"/>
    </xf>
    <xf numFmtId="0" fontId="1481" fillId="5" borderId="3" xfId="0" applyFont="1" applyFill="1" applyBorder="1" applyAlignment="1">
      <alignment horizontal="center" vertical="top"/>
    </xf>
    <xf numFmtId="0" fontId="1482" fillId="5" borderId="3" xfId="0" applyFont="1" applyFill="1" applyBorder="1" applyAlignment="1">
      <alignment horizontal="left" vertical="top" wrapText="1"/>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5" borderId="3" xfId="0" applyFont="1" applyFill="1" applyBorder="1" applyAlignment="1">
      <alignment horizontal="center" vertical="top"/>
    </xf>
    <xf numFmtId="0" fontId="1492" fillId="5" borderId="3" xfId="0" applyFont="1" applyFill="1" applyBorder="1" applyAlignment="1">
      <alignment horizontal="center" vertical="top"/>
    </xf>
    <xf numFmtId="0" fontId="1493" fillId="5" borderId="3" xfId="0" applyFont="1" applyFill="1" applyBorder="1" applyAlignment="1">
      <alignment horizontal="left" vertical="top" wrapText="1"/>
    </xf>
    <xf numFmtId="0" fontId="1494" fillId="5" borderId="3" xfId="0" applyFont="1" applyFill="1" applyBorder="1" applyAlignment="1">
      <alignment horizontal="center" vertical="top"/>
    </xf>
    <xf numFmtId="0" fontId="1495" fillId="5" borderId="3" xfId="0" applyFont="1" applyFill="1" applyBorder="1" applyAlignment="1">
      <alignment horizontal="center" vertical="top"/>
    </xf>
    <xf numFmtId="0" fontId="1496" fillId="5" borderId="3" xfId="0" applyFont="1" applyFill="1" applyBorder="1" applyAlignment="1">
      <alignment horizontal="center" vertical="top"/>
    </xf>
    <xf numFmtId="0" fontId="1497" fillId="5" borderId="3" xfId="0" applyFont="1" applyFill="1" applyBorder="1" applyAlignment="1">
      <alignment horizontal="center" vertical="top"/>
    </xf>
    <xf numFmtId="0" fontId="1498" fillId="5" borderId="3" xfId="0" applyFont="1" applyFill="1" applyBorder="1" applyAlignment="1">
      <alignment horizontal="center" vertical="top"/>
    </xf>
    <xf numFmtId="0" fontId="1499" fillId="5" borderId="3" xfId="0" applyFont="1" applyFill="1" applyBorder="1" applyAlignment="1">
      <alignment horizontal="center" vertical="top"/>
    </xf>
    <xf numFmtId="0" fontId="1500" fillId="5" borderId="3" xfId="0" applyFont="1" applyFill="1" applyBorder="1" applyAlignment="1">
      <alignment horizontal="center" vertical="top"/>
    </xf>
    <xf numFmtId="0" fontId="1501" fillId="5" borderId="3" xfId="0" applyFont="1" applyFill="1" applyBorder="1" applyAlignment="1">
      <alignment horizontal="center" vertical="top"/>
    </xf>
    <xf numFmtId="0" fontId="1502" fillId="5" borderId="3" xfId="0" applyFont="1" applyFill="1" applyBorder="1" applyAlignment="1">
      <alignment horizontal="center" vertical="top"/>
    </xf>
    <xf numFmtId="0" fontId="1503" fillId="5" borderId="3" xfId="0" applyFont="1" applyFill="1" applyBorder="1" applyAlignment="1">
      <alignment horizontal="center" vertical="top"/>
    </xf>
    <xf numFmtId="0" fontId="1504" fillId="5" borderId="3" xfId="0" applyFont="1" applyFill="1" applyBorder="1" applyAlignment="1">
      <alignment horizontal="center" vertical="top"/>
    </xf>
    <xf numFmtId="0" fontId="1505" fillId="5" borderId="3" xfId="0" applyFont="1" applyFill="1" applyBorder="1" applyAlignment="1">
      <alignment horizontal="center" vertical="top"/>
    </xf>
    <xf numFmtId="0" fontId="1506" fillId="5" borderId="3" xfId="0" applyFont="1" applyFill="1" applyBorder="1" applyAlignment="1">
      <alignment horizontal="center" vertical="top"/>
    </xf>
    <xf numFmtId="0" fontId="1507" fillId="5" borderId="3" xfId="0" applyFont="1" applyFill="1" applyBorder="1" applyAlignment="1">
      <alignment horizontal="left" vertical="top" wrapText="1"/>
    </xf>
    <xf numFmtId="0" fontId="1508" fillId="5" borderId="3" xfId="0" applyFont="1" applyFill="1" applyBorder="1" applyAlignment="1">
      <alignment horizontal="left" vertical="top" wrapText="1"/>
    </xf>
    <xf numFmtId="0" fontId="1509" fillId="5" borderId="3" xfId="0" applyFont="1" applyFill="1" applyBorder="1" applyAlignment="1">
      <alignment horizontal="left" vertical="top" wrapText="1"/>
    </xf>
    <xf numFmtId="0" fontId="1510" fillId="5" borderId="3" xfId="0" applyFont="1" applyFill="1" applyBorder="1" applyAlignment="1">
      <alignment horizontal="center" vertical="top"/>
    </xf>
    <xf numFmtId="0" fontId="1511" fillId="5" borderId="3" xfId="0" applyFont="1" applyFill="1" applyBorder="1" applyAlignment="1">
      <alignment horizontal="left" vertical="top" wrapText="1"/>
    </xf>
    <xf numFmtId="0" fontId="1512" fillId="5" borderId="3" xfId="0" applyFont="1" applyFill="1" applyBorder="1" applyAlignment="1">
      <alignment horizontal="left" vertical="top" wrapText="1"/>
    </xf>
    <xf numFmtId="0" fontId="1513" fillId="5" borderId="3" xfId="0" applyFont="1" applyFill="1" applyBorder="1" applyAlignment="1">
      <alignment horizontal="left" vertical="top" wrapText="1"/>
    </xf>
    <xf numFmtId="0" fontId="1514" fillId="5" borderId="3" xfId="0" applyFont="1" applyFill="1" applyBorder="1" applyAlignment="1">
      <alignment horizontal="center" vertical="top"/>
    </xf>
    <xf numFmtId="0" fontId="1515" fillId="5" borderId="3" xfId="0" applyFont="1" applyFill="1" applyBorder="1" applyAlignment="1">
      <alignment horizontal="left" vertical="top" wrapText="1"/>
    </xf>
    <xf numFmtId="0" fontId="1516" fillId="5" borderId="3" xfId="0" applyFont="1" applyFill="1" applyBorder="1" applyAlignment="1">
      <alignment horizontal="left" vertical="top" wrapText="1"/>
    </xf>
    <xf numFmtId="0" fontId="1517" fillId="5" borderId="3" xfId="0" applyFont="1" applyFill="1" applyBorder="1" applyAlignment="1">
      <alignment horizontal="left" vertical="top" wrapText="1"/>
    </xf>
    <xf numFmtId="0" fontId="1518" fillId="5" borderId="3" xfId="0" applyFont="1" applyFill="1" applyBorder="1" applyAlignment="1">
      <alignment horizontal="left" vertical="top" wrapText="1"/>
    </xf>
    <xf numFmtId="0" fontId="1519" fillId="5" borderId="3" xfId="0" applyFont="1" applyFill="1" applyBorder="1" applyAlignment="1">
      <alignment horizontal="left" vertical="top" wrapText="1"/>
    </xf>
    <xf numFmtId="0" fontId="1520" fillId="5" borderId="3" xfId="0" applyFont="1" applyFill="1" applyBorder="1" applyAlignment="1">
      <alignment horizontal="left" vertical="top" wrapText="1"/>
    </xf>
    <xf numFmtId="0" fontId="1521" fillId="5" borderId="3" xfId="0" applyFont="1" applyFill="1" applyBorder="1" applyAlignment="1">
      <alignment horizontal="left" vertical="top" wrapText="1"/>
    </xf>
    <xf numFmtId="0" fontId="1522" fillId="5" borderId="3" xfId="0" applyFont="1" applyFill="1" applyBorder="1" applyAlignment="1">
      <alignment horizontal="left" vertical="top" wrapText="1"/>
    </xf>
    <xf numFmtId="0" fontId="1523" fillId="5" borderId="3" xfId="0" applyFont="1" applyFill="1" applyBorder="1" applyAlignment="1">
      <alignment horizontal="left" vertical="top" wrapText="1"/>
    </xf>
    <xf numFmtId="0" fontId="1524" fillId="5" borderId="3" xfId="0" applyFont="1" applyFill="1" applyBorder="1" applyAlignment="1">
      <alignment horizontal="left" vertical="top" wrapText="1"/>
    </xf>
    <xf numFmtId="0" fontId="1525" fillId="5" borderId="3" xfId="0" applyFont="1" applyFill="1" applyBorder="1" applyAlignment="1">
      <alignment horizontal="center" vertical="top"/>
    </xf>
    <xf numFmtId="0" fontId="1526" fillId="5" borderId="3" xfId="0" applyFont="1" applyFill="1" applyBorder="1" applyAlignment="1">
      <alignment horizontal="left" vertical="top" wrapText="1"/>
    </xf>
    <xf numFmtId="0" fontId="1527" fillId="5" borderId="3" xfId="0" applyFont="1" applyFill="1" applyBorder="1" applyAlignment="1">
      <alignment horizontal="center" vertical="top"/>
    </xf>
    <xf numFmtId="0" fontId="1528" fillId="5" borderId="3" xfId="0" applyFont="1" applyFill="1" applyBorder="1" applyAlignment="1">
      <alignment horizontal="center" vertical="top"/>
    </xf>
    <xf numFmtId="0" fontId="1529" fillId="5" borderId="3" xfId="0" applyFont="1" applyFill="1" applyBorder="1" applyAlignment="1">
      <alignment horizontal="center" vertical="top"/>
    </xf>
    <xf numFmtId="0" fontId="1530" fillId="5" borderId="3" xfId="0" applyFont="1" applyFill="1" applyBorder="1" applyAlignment="1">
      <alignment horizontal="center" vertical="top"/>
    </xf>
    <xf numFmtId="0" fontId="1531" fillId="5" borderId="3" xfId="0" applyFont="1" applyFill="1" applyBorder="1" applyAlignment="1">
      <alignment horizontal="center" vertical="top"/>
    </xf>
    <xf numFmtId="0" fontId="1532" fillId="5" borderId="3" xfId="0" applyFont="1" applyFill="1" applyBorder="1" applyAlignment="1">
      <alignment horizontal="left" vertical="top" wrapText="1"/>
    </xf>
    <xf numFmtId="0" fontId="1533" fillId="5" borderId="3" xfId="0" applyFont="1" applyFill="1" applyBorder="1" applyAlignment="1">
      <alignment horizontal="left" vertical="top" wrapText="1"/>
    </xf>
    <xf numFmtId="0" fontId="1534" fillId="5" borderId="3" xfId="0" applyFont="1" applyFill="1" applyBorder="1" applyAlignment="1">
      <alignment horizontal="left" vertical="top" wrapText="1"/>
    </xf>
    <xf numFmtId="0" fontId="1535" fillId="5" borderId="3" xfId="0" applyFont="1" applyFill="1" applyBorder="1" applyAlignment="1">
      <alignment horizontal="left" vertical="top" wrapText="1"/>
    </xf>
    <xf numFmtId="0" fontId="1536" fillId="5" borderId="3" xfId="0" applyFont="1" applyFill="1" applyBorder="1" applyAlignment="1">
      <alignment horizontal="left" vertical="top" wrapText="1"/>
    </xf>
    <xf numFmtId="0" fontId="1537" fillId="5" borderId="3" xfId="0" applyFont="1" applyFill="1" applyBorder="1" applyAlignment="1">
      <alignment horizontal="left" vertical="top" wrapText="1"/>
    </xf>
    <xf numFmtId="0" fontId="1538" fillId="5" borderId="3" xfId="0" applyFont="1" applyFill="1" applyBorder="1" applyAlignment="1">
      <alignment horizontal="left" vertical="top" wrapText="1"/>
    </xf>
    <xf numFmtId="0" fontId="1539" fillId="5" borderId="3" xfId="0" applyFont="1" applyFill="1" applyBorder="1" applyAlignment="1">
      <alignment horizontal="left" vertical="top" wrapText="1"/>
    </xf>
    <xf numFmtId="0" fontId="1540" fillId="5" borderId="3" xfId="0" applyFont="1" applyFill="1" applyBorder="1" applyAlignment="1">
      <alignment horizontal="left" vertical="top" wrapText="1"/>
    </xf>
    <xf numFmtId="0" fontId="1541" fillId="5" borderId="3" xfId="0" applyFont="1" applyFill="1" applyBorder="1" applyAlignment="1">
      <alignment horizontal="left" vertical="top" wrapText="1"/>
    </xf>
    <xf numFmtId="0" fontId="1542" fillId="5" borderId="3" xfId="0" applyFont="1" applyFill="1" applyBorder="1" applyAlignment="1">
      <alignment horizontal="left" vertical="top" wrapText="1"/>
    </xf>
    <xf numFmtId="0" fontId="1543" fillId="5" borderId="3" xfId="0" applyFont="1" applyFill="1" applyBorder="1" applyAlignment="1">
      <alignment horizontal="left" vertical="top" wrapText="1"/>
    </xf>
    <xf numFmtId="0" fontId="1544" fillId="5" borderId="3" xfId="0" applyFont="1" applyFill="1" applyBorder="1" applyAlignment="1">
      <alignment horizontal="left" vertical="top" wrapText="1"/>
    </xf>
    <xf numFmtId="0" fontId="1545" fillId="5" borderId="3" xfId="0" applyFont="1" applyFill="1" applyBorder="1" applyAlignment="1">
      <alignment horizontal="left" vertical="top" wrapText="1"/>
    </xf>
    <xf numFmtId="0" fontId="1546" fillId="5" borderId="3" xfId="0" applyFont="1" applyFill="1" applyBorder="1" applyAlignment="1">
      <alignment horizontal="left" vertical="top" wrapText="1"/>
    </xf>
    <xf numFmtId="0" fontId="1547" fillId="5" borderId="3" xfId="0" applyFont="1" applyFill="1" applyBorder="1" applyAlignment="1">
      <alignment horizontal="left" vertical="top" wrapText="1"/>
    </xf>
    <xf numFmtId="0" fontId="1548" fillId="5" borderId="3" xfId="0" applyFont="1" applyFill="1" applyBorder="1" applyAlignment="1">
      <alignment horizontal="left" vertical="top" wrapText="1"/>
    </xf>
    <xf numFmtId="0" fontId="1549" fillId="5" borderId="3" xfId="0" applyFont="1" applyFill="1" applyBorder="1" applyAlignment="1">
      <alignment horizontal="left" vertical="top" wrapText="1"/>
    </xf>
    <xf numFmtId="0" fontId="1550" fillId="5" borderId="3" xfId="0" applyFont="1" applyFill="1" applyBorder="1" applyAlignment="1">
      <alignment horizontal="left" vertical="top" wrapText="1"/>
    </xf>
    <xf numFmtId="0" fontId="1551" fillId="5" borderId="3" xfId="0" applyFont="1" applyFill="1" applyBorder="1" applyAlignment="1">
      <alignment horizontal="left" vertical="top" wrapText="1"/>
    </xf>
    <xf numFmtId="0" fontId="1552" fillId="5" borderId="3" xfId="0" applyFont="1" applyFill="1" applyBorder="1" applyAlignment="1">
      <alignment horizontal="left" vertical="top" wrapText="1"/>
    </xf>
    <xf numFmtId="0" fontId="1553" fillId="5" borderId="3" xfId="0" applyFont="1" applyFill="1" applyBorder="1" applyAlignment="1">
      <alignment horizontal="left" vertical="top" wrapText="1"/>
    </xf>
    <xf numFmtId="0" fontId="1554" fillId="5" borderId="3" xfId="0" applyFont="1" applyFill="1" applyBorder="1" applyAlignment="1">
      <alignment horizontal="left" vertical="top" wrapText="1"/>
    </xf>
    <xf numFmtId="0" fontId="1555" fillId="5" borderId="3" xfId="0" applyFont="1" applyFill="1" applyBorder="1" applyAlignment="1">
      <alignment horizontal="left" vertical="top" wrapText="1"/>
    </xf>
    <xf numFmtId="0" fontId="1556" fillId="5" borderId="3" xfId="0" applyFont="1" applyFill="1" applyBorder="1" applyAlignment="1">
      <alignment horizontal="center" vertical="top"/>
    </xf>
    <xf numFmtId="0" fontId="1557" fillId="5" borderId="3" xfId="0" applyFont="1" applyFill="1" applyBorder="1" applyAlignment="1">
      <alignment horizontal="left" vertical="top" wrapText="1"/>
    </xf>
    <xf numFmtId="0" fontId="1558" fillId="5" borderId="3" xfId="0" applyFont="1" applyFill="1" applyBorder="1" applyAlignment="1">
      <alignment horizontal="left" vertical="top" wrapText="1"/>
    </xf>
    <xf numFmtId="0" fontId="1559" fillId="5" borderId="3" xfId="0" applyFont="1" applyFill="1" applyBorder="1" applyAlignment="1">
      <alignment horizontal="left" vertical="top" wrapText="1"/>
    </xf>
    <xf numFmtId="0" fontId="1560" fillId="5" borderId="3" xfId="0" applyFont="1" applyFill="1" applyBorder="1" applyAlignment="1">
      <alignment horizontal="left" vertical="top" wrapText="1"/>
    </xf>
    <xf numFmtId="0" fontId="1561" fillId="5" borderId="3" xfId="0" applyFont="1" applyFill="1" applyBorder="1" applyAlignment="1">
      <alignment horizontal="left" vertical="top" wrapText="1"/>
    </xf>
    <xf numFmtId="0" fontId="1562" fillId="5" borderId="3" xfId="0" applyFont="1" applyFill="1" applyBorder="1" applyAlignment="1">
      <alignment horizontal="left" vertical="top" wrapText="1"/>
    </xf>
    <xf numFmtId="0" fontId="1563" fillId="5" borderId="3" xfId="0" applyFont="1" applyFill="1" applyBorder="1" applyAlignment="1">
      <alignment horizontal="left" vertical="top" wrapText="1"/>
    </xf>
    <xf numFmtId="0" fontId="1564" fillId="5" borderId="3" xfId="0" applyFont="1" applyFill="1" applyBorder="1" applyAlignment="1">
      <alignment horizontal="left" vertical="top" wrapText="1"/>
    </xf>
    <xf numFmtId="0" fontId="1565" fillId="5" borderId="3" xfId="0" applyFont="1" applyFill="1" applyBorder="1" applyAlignment="1">
      <alignment horizontal="left" vertical="top" wrapText="1"/>
    </xf>
    <xf numFmtId="0" fontId="1566" fillId="5" borderId="3" xfId="0" applyFont="1" applyFill="1" applyBorder="1" applyAlignment="1">
      <alignment horizontal="left" vertical="top" wrapText="1"/>
    </xf>
    <xf numFmtId="0" fontId="1567" fillId="5" borderId="3" xfId="0" applyFont="1" applyFill="1" applyBorder="1" applyAlignment="1">
      <alignment horizontal="left" vertical="top" wrapText="1"/>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left" vertical="top" wrapText="1"/>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left" vertical="top" wrapText="1"/>
    </xf>
    <xf numFmtId="0" fontId="1576" fillId="5" borderId="3" xfId="0" applyFont="1" applyFill="1" applyBorder="1" applyAlignment="1">
      <alignment horizontal="left" vertical="top" wrapText="1"/>
    </xf>
    <xf numFmtId="0" fontId="1577" fillId="5" borderId="3" xfId="0" applyFont="1" applyFill="1" applyBorder="1" applyAlignment="1">
      <alignment horizontal="left" vertical="top" wrapText="1"/>
    </xf>
    <xf numFmtId="0" fontId="1578" fillId="5" borderId="3" xfId="0" applyFont="1" applyFill="1" applyBorder="1" applyAlignment="1">
      <alignment horizontal="left" vertical="top" wrapText="1"/>
    </xf>
    <xf numFmtId="0" fontId="1579" fillId="5" borderId="3" xfId="0" applyFont="1" applyFill="1" applyBorder="1" applyAlignment="1">
      <alignment horizontal="left" vertical="top" wrapText="1"/>
    </xf>
    <xf numFmtId="0" fontId="1580" fillId="5" borderId="3" xfId="0" applyFont="1" applyFill="1" applyBorder="1" applyAlignment="1">
      <alignment horizontal="left" vertical="top" wrapText="1"/>
    </xf>
    <xf numFmtId="0" fontId="1581" fillId="5" borderId="3" xfId="0" applyFont="1" applyFill="1" applyBorder="1" applyAlignment="1">
      <alignment horizontal="left" vertical="top" wrapText="1"/>
    </xf>
    <xf numFmtId="0" fontId="1582" fillId="5" borderId="3" xfId="0" applyFont="1" applyFill="1" applyBorder="1" applyAlignment="1">
      <alignment horizontal="left" vertical="top" wrapText="1"/>
    </xf>
    <xf numFmtId="0" fontId="1583" fillId="5" borderId="3" xfId="0" applyFont="1" applyFill="1" applyBorder="1" applyAlignment="1">
      <alignment horizontal="left" vertical="top" wrapText="1"/>
    </xf>
    <xf numFmtId="0" fontId="1584" fillId="5" borderId="3" xfId="0" applyFont="1" applyFill="1" applyBorder="1" applyAlignment="1">
      <alignment horizontal="left" vertical="top" wrapText="1"/>
    </xf>
    <xf numFmtId="0" fontId="1585" fillId="5" borderId="3" xfId="0" applyFont="1" applyFill="1" applyBorder="1" applyAlignment="1">
      <alignment horizontal="left" vertical="top" wrapText="1"/>
    </xf>
    <xf numFmtId="0" fontId="1586" fillId="5" borderId="3" xfId="0" applyFont="1" applyFill="1" applyBorder="1" applyAlignment="1">
      <alignment horizontal="left" vertical="top" wrapText="1"/>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left" vertical="top" wrapText="1"/>
    </xf>
    <xf numFmtId="0" fontId="1590" fillId="5" borderId="3" xfId="0" applyFont="1" applyFill="1" applyBorder="1" applyAlignment="1">
      <alignment horizontal="left" vertical="top" wrapText="1"/>
    </xf>
    <xf numFmtId="0" fontId="1591" fillId="5" borderId="3" xfId="0" applyFont="1" applyFill="1" applyBorder="1" applyAlignment="1">
      <alignment horizontal="left" vertical="top" wrapText="1"/>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center" vertical="top"/>
    </xf>
    <xf numFmtId="0" fontId="1596" fillId="5" borderId="3" xfId="0" applyFont="1" applyFill="1" applyBorder="1" applyAlignment="1">
      <alignment horizontal="center" vertical="top"/>
    </xf>
    <xf numFmtId="0" fontId="1597" fillId="5" borderId="3" xfId="0" applyFont="1" applyFill="1" applyBorder="1" applyAlignment="1">
      <alignment horizontal="center" vertical="top"/>
    </xf>
    <xf numFmtId="0" fontId="1598" fillId="5" borderId="3" xfId="0" applyFont="1" applyFill="1" applyBorder="1" applyAlignment="1">
      <alignment horizontal="center" vertical="top"/>
    </xf>
    <xf numFmtId="0" fontId="1599" fillId="5" borderId="3" xfId="0" applyFont="1" applyFill="1" applyBorder="1" applyAlignment="1">
      <alignment horizontal="center" vertical="top"/>
    </xf>
    <xf numFmtId="0" fontId="1600" fillId="5" borderId="3" xfId="0" applyFont="1" applyFill="1" applyBorder="1" applyAlignment="1">
      <alignment horizontal="center" vertical="top"/>
    </xf>
    <xf numFmtId="0" fontId="1601" fillId="5" borderId="3" xfId="0" applyFont="1" applyFill="1" applyBorder="1" applyAlignment="1">
      <alignment horizontal="center" vertical="top"/>
    </xf>
    <xf numFmtId="0" fontId="1602" fillId="5" borderId="3" xfId="0" applyFont="1" applyFill="1" applyBorder="1" applyAlignment="1">
      <alignment horizontal="center" vertical="top"/>
    </xf>
    <xf numFmtId="0" fontId="1603" fillId="5" borderId="3" xfId="0" applyFont="1" applyFill="1" applyBorder="1" applyAlignment="1">
      <alignment horizontal="center" vertical="top"/>
    </xf>
    <xf numFmtId="0" fontId="1604" fillId="5" borderId="3" xfId="0" applyFont="1" applyFill="1" applyBorder="1" applyAlignment="1">
      <alignment horizontal="center" vertical="top"/>
    </xf>
    <xf numFmtId="0" fontId="1605" fillId="5" borderId="3" xfId="0" applyFont="1" applyFill="1" applyBorder="1" applyAlignment="1">
      <alignment horizontal="left" vertical="top" wrapText="1"/>
    </xf>
    <xf numFmtId="0" fontId="1606" fillId="5" borderId="3" xfId="0" applyFont="1" applyFill="1" applyBorder="1" applyAlignment="1">
      <alignment horizontal="left" vertical="top" wrapText="1"/>
    </xf>
    <xf numFmtId="0" fontId="1607" fillId="5" borderId="3" xfId="0" applyFont="1" applyFill="1" applyBorder="1" applyAlignment="1">
      <alignment horizontal="left" vertical="top" wrapText="1"/>
    </xf>
    <xf numFmtId="0" fontId="1608" fillId="5" borderId="3" xfId="0" applyFont="1" applyFill="1" applyBorder="1" applyAlignment="1">
      <alignment horizontal="left" vertical="top" wrapText="1"/>
    </xf>
    <xf numFmtId="0" fontId="1609" fillId="5" borderId="3" xfId="0" applyFont="1" applyFill="1" applyBorder="1" applyAlignment="1">
      <alignment horizontal="left" vertical="top" wrapText="1"/>
    </xf>
    <xf numFmtId="0" fontId="1610" fillId="5" borderId="3" xfId="0" applyFont="1" applyFill="1" applyBorder="1" applyAlignment="1">
      <alignment horizontal="left" vertical="top" wrapText="1"/>
    </xf>
    <xf numFmtId="0" fontId="1611" fillId="5" borderId="3" xfId="0" applyFont="1" applyFill="1" applyBorder="1" applyAlignment="1">
      <alignment horizontal="left" vertical="top" wrapText="1"/>
    </xf>
    <xf numFmtId="0" fontId="1612" fillId="5" borderId="3" xfId="0" applyFont="1" applyFill="1" applyBorder="1" applyAlignment="1">
      <alignment horizontal="left" vertical="top" wrapText="1"/>
    </xf>
    <xf numFmtId="0" fontId="1613" fillId="5" borderId="3" xfId="0" applyFont="1" applyFill="1" applyBorder="1" applyAlignment="1">
      <alignment horizontal="left" vertical="top" wrapText="1"/>
    </xf>
    <xf numFmtId="0" fontId="1614" fillId="5" borderId="3" xfId="0" applyFont="1" applyFill="1" applyBorder="1" applyAlignment="1">
      <alignment horizontal="left" vertical="top" wrapText="1"/>
    </xf>
    <xf numFmtId="0" fontId="1615" fillId="5" borderId="3" xfId="0" applyFont="1" applyFill="1" applyBorder="1" applyAlignment="1">
      <alignment horizontal="left" vertical="top" wrapText="1"/>
    </xf>
    <xf numFmtId="0" fontId="1616" fillId="5" borderId="3" xfId="0" applyFont="1" applyFill="1" applyBorder="1" applyAlignment="1">
      <alignment horizontal="left" vertical="top" wrapText="1"/>
    </xf>
    <xf numFmtId="0" fontId="1617" fillId="5" borderId="3" xfId="0" applyFont="1" applyFill="1" applyBorder="1" applyAlignment="1">
      <alignment horizontal="left" vertical="top" wrapText="1"/>
    </xf>
    <xf numFmtId="0" fontId="1618" fillId="5" borderId="3" xfId="0" applyFont="1" applyFill="1" applyBorder="1" applyAlignment="1">
      <alignment horizontal="left" vertical="top" wrapText="1"/>
    </xf>
    <xf numFmtId="0" fontId="1619" fillId="5" borderId="3" xfId="0" applyFont="1" applyFill="1" applyBorder="1" applyAlignment="1">
      <alignment horizontal="left" vertical="top" wrapText="1"/>
    </xf>
    <xf numFmtId="0" fontId="1620" fillId="5" borderId="3" xfId="0" applyFont="1" applyFill="1" applyBorder="1" applyAlignment="1">
      <alignment horizontal="left" vertical="top" wrapText="1"/>
    </xf>
    <xf numFmtId="0" fontId="1621" fillId="5" borderId="3" xfId="0" applyFont="1" applyFill="1" applyBorder="1" applyAlignment="1">
      <alignment horizontal="left" vertical="top" wrapText="1"/>
    </xf>
    <xf numFmtId="0" fontId="1622" fillId="5" borderId="3" xfId="0" applyFont="1" applyFill="1" applyBorder="1" applyAlignment="1">
      <alignment horizontal="center" vertical="top"/>
    </xf>
    <xf numFmtId="0" fontId="1623" fillId="5" borderId="3" xfId="0" applyFont="1" applyFill="1" applyBorder="1" applyAlignment="1">
      <alignment horizontal="center" vertical="top"/>
    </xf>
    <xf numFmtId="0" fontId="1624" fillId="5" borderId="3" xfId="0" applyFont="1" applyFill="1" applyBorder="1" applyAlignment="1">
      <alignment horizontal="center" vertical="top"/>
    </xf>
    <xf numFmtId="0" fontId="1625" fillId="5" borderId="3" xfId="0" applyFont="1" applyFill="1" applyBorder="1" applyAlignment="1">
      <alignment horizontal="center" vertical="top"/>
    </xf>
    <xf numFmtId="0" fontId="1626" fillId="5" borderId="3" xfId="0" applyFont="1" applyFill="1" applyBorder="1" applyAlignment="1">
      <alignment horizontal="center" vertical="top"/>
    </xf>
    <xf numFmtId="0" fontId="1627" fillId="5" borderId="3" xfId="0" applyFont="1" applyFill="1" applyBorder="1" applyAlignment="1">
      <alignment horizontal="center" vertical="top"/>
    </xf>
    <xf numFmtId="0" fontId="1628" fillId="5" borderId="3" xfId="0" applyFont="1" applyFill="1" applyBorder="1" applyAlignment="1">
      <alignment horizontal="center" vertical="top"/>
    </xf>
    <xf numFmtId="0" fontId="1629" fillId="5" borderId="3" xfId="0" applyFont="1" applyFill="1" applyBorder="1" applyAlignment="1">
      <alignment horizontal="left" vertical="top" wrapText="1"/>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center" vertical="top"/>
    </xf>
    <xf numFmtId="0" fontId="1633" fillId="5" borderId="3" xfId="0" applyFont="1" applyFill="1" applyBorder="1" applyAlignment="1">
      <alignment horizontal="center" vertical="top"/>
    </xf>
    <xf numFmtId="0" fontId="1634" fillId="5" borderId="3" xfId="0" applyFont="1" applyFill="1" applyBorder="1" applyAlignment="1">
      <alignment horizontal="center" vertical="top"/>
    </xf>
    <xf numFmtId="0" fontId="1635" fillId="5" borderId="3" xfId="0" applyFont="1" applyFill="1" applyBorder="1" applyAlignment="1">
      <alignment horizontal="center" vertical="top"/>
    </xf>
    <xf numFmtId="0" fontId="1636" fillId="5" borderId="3" xfId="0" applyFont="1" applyFill="1" applyBorder="1" applyAlignment="1">
      <alignment horizontal="center" vertical="top"/>
    </xf>
    <xf numFmtId="0" fontId="1637" fillId="5" borderId="3" xfId="0" applyFont="1" applyFill="1" applyBorder="1" applyAlignment="1">
      <alignment horizontal="center" vertical="top"/>
    </xf>
    <xf numFmtId="0" fontId="1638" fillId="5" borderId="3" xfId="0" applyFont="1" applyFill="1" applyBorder="1" applyAlignment="1">
      <alignment horizontal="center" vertical="top"/>
    </xf>
    <xf numFmtId="0" fontId="1639" fillId="5" borderId="3" xfId="0" applyFont="1" applyFill="1" applyBorder="1" applyAlignment="1">
      <alignment horizontal="center" vertical="top"/>
    </xf>
    <xf numFmtId="0" fontId="1640" fillId="5" borderId="3" xfId="0" applyFont="1" applyFill="1" applyBorder="1" applyAlignment="1">
      <alignment horizontal="center" vertical="top"/>
    </xf>
    <xf numFmtId="0" fontId="1641" fillId="5" borderId="3" xfId="0" applyFont="1" applyFill="1" applyBorder="1" applyAlignment="1">
      <alignment horizontal="center" vertical="top"/>
    </xf>
    <xf numFmtId="0" fontId="1642" fillId="5" borderId="3" xfId="0" applyFont="1" applyFill="1" applyBorder="1" applyAlignment="1">
      <alignment horizontal="center" vertical="top"/>
    </xf>
    <xf numFmtId="0" fontId="1643" fillId="5" borderId="3" xfId="0" applyFont="1" applyFill="1" applyBorder="1" applyAlignment="1">
      <alignment horizontal="center" vertical="top"/>
    </xf>
    <xf numFmtId="0" fontId="1644" fillId="5" borderId="3" xfId="0" applyFont="1" applyFill="1" applyBorder="1" applyAlignment="1">
      <alignment horizontal="center" vertical="top"/>
    </xf>
    <xf numFmtId="0" fontId="1645" fillId="5" borderId="3" xfId="0" applyFont="1" applyFill="1" applyBorder="1" applyAlignment="1">
      <alignment horizontal="center" vertical="top"/>
    </xf>
    <xf numFmtId="0" fontId="1646" fillId="5" borderId="3" xfId="0" applyFont="1" applyFill="1" applyBorder="1" applyAlignment="1">
      <alignment horizontal="center" vertical="top"/>
    </xf>
    <xf numFmtId="0" fontId="1647" fillId="5" borderId="3" xfId="0" applyFont="1" applyFill="1" applyBorder="1" applyAlignment="1">
      <alignment horizontal="left" vertical="top" wrapText="1"/>
    </xf>
    <xf numFmtId="0" fontId="1648" fillId="5" borderId="3" xfId="0" applyFont="1" applyFill="1" applyBorder="1" applyAlignment="1">
      <alignment horizontal="left" vertical="top" wrapText="1"/>
    </xf>
    <xf numFmtId="0" fontId="1649" fillId="5" borderId="3" xfId="0" applyFont="1" applyFill="1" applyBorder="1" applyAlignment="1">
      <alignment horizontal="left" vertical="top" wrapText="1"/>
    </xf>
    <xf numFmtId="0" fontId="1650" fillId="5" borderId="3" xfId="0" applyFont="1" applyFill="1" applyBorder="1" applyAlignment="1">
      <alignment horizontal="left" vertical="top" wrapText="1"/>
    </xf>
    <xf numFmtId="0" fontId="1651" fillId="5" borderId="3" xfId="0" applyFont="1" applyFill="1" applyBorder="1" applyAlignment="1">
      <alignment horizontal="center" vertical="top"/>
    </xf>
    <xf numFmtId="0" fontId="1652" fillId="5" borderId="3" xfId="0" applyFont="1" applyFill="1" applyBorder="1" applyAlignment="1">
      <alignment horizontal="left" vertical="top" wrapText="1"/>
    </xf>
    <xf numFmtId="0" fontId="1653" fillId="5" borderId="3" xfId="0" applyFont="1" applyFill="1" applyBorder="1" applyAlignment="1">
      <alignment horizontal="left" vertical="top" wrapText="1"/>
    </xf>
    <xf numFmtId="0" fontId="1654" fillId="5" borderId="3" xfId="0" applyFont="1" applyFill="1" applyBorder="1" applyAlignment="1">
      <alignment horizontal="left" vertical="top" wrapText="1"/>
    </xf>
    <xf numFmtId="0" fontId="1655" fillId="5" borderId="3" xfId="0" applyFont="1" applyFill="1" applyBorder="1" applyAlignment="1">
      <alignment horizontal="left" vertical="top" wrapText="1"/>
    </xf>
    <xf numFmtId="0" fontId="1656" fillId="5" borderId="3" xfId="0" applyFont="1" applyFill="1" applyBorder="1" applyAlignment="1">
      <alignment horizontal="left" vertical="top" wrapText="1"/>
    </xf>
    <xf numFmtId="0" fontId="1657" fillId="5" borderId="3" xfId="0" applyFont="1" applyFill="1" applyBorder="1" applyAlignment="1">
      <alignment horizontal="left" vertical="top" wrapText="1"/>
    </xf>
    <xf numFmtId="0" fontId="1658" fillId="5" borderId="3" xfId="0" applyFont="1" applyFill="1" applyBorder="1" applyAlignment="1">
      <alignment horizontal="left" vertical="top" wrapText="1"/>
    </xf>
    <xf numFmtId="0" fontId="1659" fillId="5" borderId="3" xfId="0" applyFont="1" applyFill="1" applyBorder="1" applyAlignment="1">
      <alignment horizontal="left" vertical="top" wrapText="1"/>
    </xf>
    <xf numFmtId="0" fontId="1660" fillId="5" borderId="3" xfId="0" applyFont="1" applyFill="1" applyBorder="1" applyAlignment="1">
      <alignment horizontal="left" vertical="top" wrapText="1"/>
    </xf>
    <xf numFmtId="0" fontId="1661" fillId="5" borderId="3" xfId="0" applyFont="1" applyFill="1" applyBorder="1" applyAlignment="1">
      <alignment horizontal="left" vertical="top" wrapText="1"/>
    </xf>
    <xf numFmtId="0" fontId="1662" fillId="5" borderId="3" xfId="0" applyFont="1" applyFill="1" applyBorder="1" applyAlignment="1">
      <alignment horizontal="left" vertical="top" wrapText="1"/>
    </xf>
    <xf numFmtId="0" fontId="1663" fillId="5" borderId="3" xfId="0" applyFont="1" applyFill="1" applyBorder="1" applyAlignment="1">
      <alignment horizontal="left" vertical="top" wrapText="1"/>
    </xf>
    <xf numFmtId="0" fontId="1664" fillId="5" borderId="3" xfId="0" applyFont="1" applyFill="1" applyBorder="1" applyAlignment="1">
      <alignment horizontal="left" vertical="top" wrapText="1"/>
    </xf>
    <xf numFmtId="0" fontId="1665" fillId="5" borderId="3" xfId="0" applyFont="1" applyFill="1" applyBorder="1" applyAlignment="1">
      <alignment horizontal="left" vertical="top" wrapText="1"/>
    </xf>
    <xf numFmtId="0" fontId="1666" fillId="5" borderId="3" xfId="0" applyFont="1" applyFill="1" applyBorder="1" applyAlignment="1">
      <alignment horizontal="left" vertical="top" wrapText="1"/>
    </xf>
    <xf numFmtId="0" fontId="1667" fillId="5" borderId="3" xfId="0" applyFont="1" applyFill="1" applyBorder="1" applyAlignment="1">
      <alignment horizontal="left" vertical="top" wrapText="1"/>
    </xf>
    <xf numFmtId="0" fontId="1668" fillId="5" borderId="3" xfId="0" applyFont="1" applyFill="1" applyBorder="1" applyAlignment="1">
      <alignment horizontal="left" vertical="top" wrapText="1"/>
    </xf>
    <xf numFmtId="0" fontId="1669" fillId="5" borderId="3" xfId="0" applyFont="1" applyFill="1" applyBorder="1" applyAlignment="1">
      <alignment horizontal="left" vertical="top" wrapText="1"/>
    </xf>
    <xf numFmtId="0" fontId="1670" fillId="5" borderId="3" xfId="0" applyFont="1" applyFill="1" applyBorder="1" applyAlignment="1">
      <alignment horizontal="left" vertical="top" wrapText="1"/>
    </xf>
    <xf numFmtId="0" fontId="1671" fillId="5" borderId="3" xfId="0" applyFont="1" applyFill="1" applyBorder="1" applyAlignment="1">
      <alignment horizontal="center" vertical="top"/>
    </xf>
    <xf numFmtId="0" fontId="1672" fillId="5" borderId="3" xfId="0" applyFont="1" applyFill="1" applyBorder="1" applyAlignment="1">
      <alignment horizontal="left" vertical="top" wrapText="1"/>
    </xf>
    <xf numFmtId="0" fontId="1673" fillId="5" borderId="3" xfId="0" applyFont="1" applyFill="1" applyBorder="1" applyAlignment="1">
      <alignment horizontal="left" vertical="top" wrapText="1"/>
    </xf>
    <xf numFmtId="0" fontId="1674" fillId="5" borderId="3" xfId="0" applyFont="1" applyFill="1" applyBorder="1" applyAlignment="1">
      <alignment horizontal="left" vertical="top" wrapText="1"/>
    </xf>
    <xf numFmtId="0" fontId="1675" fillId="5" borderId="3" xfId="0" applyFont="1" applyFill="1" applyBorder="1" applyAlignment="1">
      <alignment horizontal="left" vertical="top" wrapText="1"/>
    </xf>
    <xf numFmtId="0" fontId="1676" fillId="5" borderId="3" xfId="0" applyFont="1" applyFill="1" applyBorder="1" applyAlignment="1">
      <alignment horizontal="left" vertical="top" wrapText="1"/>
    </xf>
    <xf numFmtId="0" fontId="1677" fillId="5" borderId="3" xfId="0" applyFont="1" applyFill="1" applyBorder="1" applyAlignment="1">
      <alignment horizontal="left" vertical="top" wrapText="1"/>
    </xf>
    <xf numFmtId="0" fontId="1678" fillId="5" borderId="3" xfId="0" applyFont="1" applyFill="1" applyBorder="1" applyAlignment="1">
      <alignment horizontal="left" vertical="top" wrapText="1"/>
    </xf>
    <xf numFmtId="0" fontId="1679" fillId="5" borderId="3" xfId="0" applyFont="1" applyFill="1" applyBorder="1" applyAlignment="1">
      <alignment horizontal="left" vertical="top" wrapText="1"/>
    </xf>
    <xf numFmtId="0" fontId="1680" fillId="5" borderId="3" xfId="0" applyFont="1" applyFill="1" applyBorder="1" applyAlignment="1">
      <alignment horizontal="left" vertical="top" wrapText="1"/>
    </xf>
    <xf numFmtId="0" fontId="1681" fillId="5" borderId="3" xfId="0" applyFont="1" applyFill="1" applyBorder="1" applyAlignment="1">
      <alignment horizontal="left" vertical="top" wrapText="1"/>
    </xf>
    <xf numFmtId="0" fontId="1682" fillId="5" borderId="3" xfId="0" applyFont="1" applyFill="1" applyBorder="1" applyAlignment="1">
      <alignment horizontal="left" vertical="top" wrapText="1"/>
    </xf>
    <xf numFmtId="0" fontId="1683" fillId="5" borderId="3" xfId="0" applyFont="1" applyFill="1" applyBorder="1" applyAlignment="1">
      <alignment horizontal="left" vertical="top" wrapText="1"/>
    </xf>
    <xf numFmtId="0" fontId="1684" fillId="5" borderId="3" xfId="0" applyFont="1" applyFill="1" applyBorder="1" applyAlignment="1">
      <alignment horizontal="left" vertical="top" wrapText="1"/>
    </xf>
    <xf numFmtId="0" fontId="1685" fillId="5" borderId="3" xfId="0" applyFont="1" applyFill="1" applyBorder="1" applyAlignment="1">
      <alignment horizontal="left" vertical="top" wrapText="1"/>
    </xf>
    <xf numFmtId="0" fontId="1686" fillId="5" borderId="3" xfId="0" applyFont="1" applyFill="1" applyBorder="1" applyAlignment="1">
      <alignment horizontal="left" vertical="top" wrapText="1"/>
    </xf>
    <xf numFmtId="0" fontId="1687" fillId="5" borderId="3" xfId="0" applyFont="1" applyFill="1" applyBorder="1" applyAlignment="1">
      <alignment horizontal="left" vertical="top" wrapText="1"/>
    </xf>
    <xf numFmtId="0" fontId="1688" fillId="5" borderId="3" xfId="0" applyFont="1" applyFill="1" applyBorder="1" applyAlignment="1">
      <alignment horizontal="left" vertical="top" wrapText="1"/>
    </xf>
    <xf numFmtId="0" fontId="1689" fillId="5" borderId="3" xfId="0" applyFont="1" applyFill="1" applyBorder="1" applyAlignment="1">
      <alignment horizontal="left" vertical="top" wrapText="1"/>
    </xf>
    <xf numFmtId="0" fontId="1690" fillId="5" borderId="3" xfId="0" applyFont="1" applyFill="1" applyBorder="1" applyAlignment="1">
      <alignment horizontal="left" vertical="top" wrapText="1"/>
    </xf>
    <xf numFmtId="0" fontId="1691" fillId="5" borderId="3" xfId="0" applyFont="1" applyFill="1" applyBorder="1" applyAlignment="1">
      <alignment horizontal="left" vertical="top" wrapText="1"/>
    </xf>
    <xf numFmtId="0" fontId="1692" fillId="5" borderId="3" xfId="0" applyFont="1" applyFill="1" applyBorder="1" applyAlignment="1">
      <alignment horizontal="left" vertical="top" wrapText="1"/>
    </xf>
    <xf numFmtId="0" fontId="1693" fillId="5" borderId="3" xfId="0" applyFont="1" applyFill="1" applyBorder="1" applyAlignment="1">
      <alignment horizontal="left" vertical="top" wrapText="1"/>
    </xf>
    <xf numFmtId="0" fontId="1694" fillId="5" borderId="3" xfId="0" applyFont="1" applyFill="1" applyBorder="1" applyAlignment="1">
      <alignment horizontal="left" vertical="top" wrapText="1"/>
    </xf>
    <xf numFmtId="0" fontId="1695" fillId="5" borderId="3" xfId="0" applyFont="1" applyFill="1" applyBorder="1" applyAlignment="1">
      <alignment horizontal="left" vertical="top" wrapText="1"/>
    </xf>
    <xf numFmtId="0" fontId="1696" fillId="5" borderId="3" xfId="0" applyFont="1" applyFill="1" applyBorder="1" applyAlignment="1">
      <alignment horizontal="left" vertical="top" wrapText="1"/>
    </xf>
    <xf numFmtId="0" fontId="1697" fillId="5" borderId="3" xfId="0" applyFont="1" applyFill="1" applyBorder="1" applyAlignment="1">
      <alignment horizontal="left" vertical="top" wrapText="1"/>
    </xf>
    <xf numFmtId="0" fontId="1698" fillId="5" borderId="3" xfId="0" applyFont="1" applyFill="1" applyBorder="1" applyAlignment="1">
      <alignment horizontal="left" vertical="top" wrapText="1"/>
    </xf>
    <xf numFmtId="0" fontId="1699" fillId="5" borderId="3" xfId="0" applyFont="1" applyFill="1" applyBorder="1" applyAlignment="1">
      <alignment horizontal="left" vertical="top" wrapText="1"/>
    </xf>
    <xf numFmtId="0" fontId="1700" fillId="5" borderId="3" xfId="0" applyFont="1" applyFill="1" applyBorder="1" applyAlignment="1">
      <alignment horizontal="left" vertical="top" wrapText="1"/>
    </xf>
    <xf numFmtId="0" fontId="1701" fillId="5" borderId="3" xfId="0" applyFont="1" applyFill="1" applyBorder="1" applyAlignment="1">
      <alignment horizontal="left" vertical="top" wrapText="1"/>
    </xf>
    <xf numFmtId="0" fontId="1702" fillId="5" borderId="3" xfId="0" applyFont="1" applyFill="1" applyBorder="1" applyAlignment="1">
      <alignment horizontal="center" vertical="top"/>
    </xf>
    <xf numFmtId="0" fontId="1703" fillId="3" borderId="3" xfId="0" applyFont="1" applyFill="1" applyBorder="1" applyAlignment="1">
      <alignment horizontal="left" vertical="top" wrapText="1"/>
    </xf>
    <xf numFmtId="0" fontId="1705" fillId="4" borderId="3" xfId="0" applyFont="1" applyFill="1" applyBorder="1" applyAlignment="1">
      <alignment horizontal="center" vertical="top" wrapText="1"/>
    </xf>
    <xf numFmtId="0" fontId="1706" fillId="5" borderId="3" xfId="0" applyFont="1" applyFill="1" applyBorder="1" applyAlignment="1">
      <alignment horizontal="left" vertical="top" wrapText="1"/>
    </xf>
    <xf numFmtId="0" fontId="1707" fillId="5" borderId="3" xfId="0" applyFont="1" applyFill="1" applyBorder="1" applyAlignment="1">
      <alignment horizontal="left" vertical="top" wrapText="1"/>
    </xf>
    <xf numFmtId="0" fontId="1708" fillId="5" borderId="3" xfId="0" applyFont="1" applyFill="1" applyBorder="1" applyAlignment="1">
      <alignment horizontal="left" vertical="top" wrapText="1"/>
    </xf>
    <xf numFmtId="0" fontId="1709" fillId="5" borderId="3" xfId="0" applyFont="1" applyFill="1" applyBorder="1" applyAlignment="1">
      <alignment horizontal="left" vertical="top" wrapText="1"/>
    </xf>
    <xf numFmtId="0" fontId="1710" fillId="5" borderId="3" xfId="0" applyFont="1" applyFill="1" applyBorder="1" applyAlignment="1">
      <alignment horizontal="left" vertical="top" wrapText="1"/>
    </xf>
    <xf numFmtId="0" fontId="1711" fillId="5" borderId="3" xfId="0" applyFont="1" applyFill="1" applyBorder="1" applyAlignment="1">
      <alignment horizontal="left" vertical="top" wrapText="1"/>
    </xf>
    <xf numFmtId="0" fontId="1712" fillId="5" borderId="3" xfId="0" applyFont="1" applyFill="1" applyBorder="1" applyAlignment="1">
      <alignment horizontal="left" vertical="top" wrapText="1"/>
    </xf>
    <xf numFmtId="0" fontId="1713" fillId="5" borderId="3" xfId="0" applyFont="1" applyFill="1" applyBorder="1" applyAlignment="1">
      <alignment horizontal="left" vertical="top" wrapText="1"/>
    </xf>
    <xf numFmtId="0" fontId="1714" fillId="5" borderId="3" xfId="0" applyFont="1" applyFill="1" applyBorder="1" applyAlignment="1">
      <alignment horizontal="left" vertical="top" wrapText="1"/>
    </xf>
    <xf numFmtId="0" fontId="1715" fillId="5" borderId="3" xfId="0" applyFont="1" applyFill="1" applyBorder="1" applyAlignment="1">
      <alignment horizontal="left" vertical="top" wrapText="1"/>
    </xf>
    <xf numFmtId="0" fontId="1716" fillId="5" borderId="3" xfId="0" applyFont="1" applyFill="1" applyBorder="1" applyAlignment="1">
      <alignment horizontal="left" vertical="top" wrapText="1"/>
    </xf>
    <xf numFmtId="0" fontId="1717" fillId="5" borderId="3" xfId="0" applyFont="1" applyFill="1" applyBorder="1" applyAlignment="1">
      <alignment horizontal="left" vertical="top" wrapText="1"/>
    </xf>
    <xf numFmtId="0" fontId="1718" fillId="5" borderId="3" xfId="0" applyFont="1" applyFill="1" applyBorder="1" applyAlignment="1">
      <alignment horizontal="left" vertical="top" wrapText="1"/>
    </xf>
    <xf numFmtId="0" fontId="1719" fillId="5" borderId="3" xfId="0" applyFont="1" applyFill="1" applyBorder="1" applyAlignment="1">
      <alignment horizontal="left" vertical="top" wrapText="1"/>
    </xf>
    <xf numFmtId="0" fontId="1720" fillId="5" borderId="3" xfId="0" applyFont="1" applyFill="1" applyBorder="1" applyAlignment="1">
      <alignment horizontal="left" vertical="top" wrapText="1"/>
    </xf>
    <xf numFmtId="0" fontId="1721" fillId="5" borderId="3" xfId="0" applyFont="1" applyFill="1" applyBorder="1" applyAlignment="1">
      <alignment horizontal="left" vertical="top" wrapText="1"/>
    </xf>
    <xf numFmtId="0" fontId="1722" fillId="5" borderId="3" xfId="0" applyFont="1" applyFill="1" applyBorder="1" applyAlignment="1">
      <alignment horizontal="left" vertical="top" wrapText="1"/>
    </xf>
    <xf numFmtId="0" fontId="1723" fillId="5" borderId="3" xfId="0" applyFont="1" applyFill="1" applyBorder="1" applyAlignment="1">
      <alignment horizontal="left" vertical="top" wrapText="1"/>
    </xf>
    <xf numFmtId="0" fontId="1724" fillId="5" borderId="3" xfId="0" applyFont="1" applyFill="1" applyBorder="1" applyAlignment="1">
      <alignment horizontal="left" vertical="top" wrapText="1"/>
    </xf>
    <xf numFmtId="0" fontId="1725" fillId="5" borderId="3" xfId="0" applyFont="1" applyFill="1" applyBorder="1" applyAlignment="1">
      <alignment horizontal="left" vertical="top" wrapText="1"/>
    </xf>
    <xf numFmtId="0" fontId="1726" fillId="5" borderId="3" xfId="0" applyFont="1" applyFill="1" applyBorder="1" applyAlignment="1">
      <alignment horizontal="left" vertical="top" wrapText="1"/>
    </xf>
    <xf numFmtId="0" fontId="1727" fillId="5" borderId="3" xfId="0" applyFont="1" applyFill="1" applyBorder="1" applyAlignment="1">
      <alignment horizontal="left" vertical="top" wrapText="1"/>
    </xf>
    <xf numFmtId="0" fontId="1728" fillId="5" borderId="3" xfId="0" applyFont="1" applyFill="1" applyBorder="1" applyAlignment="1">
      <alignment horizontal="left" vertical="top" wrapText="1"/>
    </xf>
    <xf numFmtId="0" fontId="1729" fillId="5" borderId="3" xfId="0" applyFont="1" applyFill="1" applyBorder="1" applyAlignment="1">
      <alignment horizontal="left" vertical="top" wrapText="1"/>
    </xf>
    <xf numFmtId="0" fontId="1730" fillId="5" borderId="3" xfId="0" applyFont="1" applyFill="1" applyBorder="1" applyAlignment="1">
      <alignment horizontal="center" vertical="top"/>
    </xf>
    <xf numFmtId="0" fontId="1731" fillId="5" borderId="3" xfId="0" applyFont="1" applyFill="1" applyBorder="1" applyAlignment="1">
      <alignment horizontal="center" vertical="top"/>
    </xf>
    <xf numFmtId="0" fontId="1732" fillId="5" borderId="3" xfId="0" applyFont="1" applyFill="1" applyBorder="1" applyAlignment="1">
      <alignment horizontal="center" vertical="top"/>
    </xf>
    <xf numFmtId="0" fontId="1733" fillId="5" borderId="3" xfId="0" applyFont="1" applyFill="1" applyBorder="1" applyAlignment="1">
      <alignment horizontal="center" vertical="top"/>
    </xf>
    <xf numFmtId="0" fontId="1734" fillId="5" borderId="3" xfId="0" applyFont="1" applyFill="1" applyBorder="1" applyAlignment="1">
      <alignment horizontal="left" vertical="top" wrapText="1"/>
    </xf>
    <xf numFmtId="0" fontId="1735" fillId="5" borderId="3" xfId="0" applyFont="1" applyFill="1" applyBorder="1" applyAlignment="1">
      <alignment horizontal="left" vertical="top" wrapText="1"/>
    </xf>
    <xf numFmtId="0" fontId="1736" fillId="5" borderId="3" xfId="0" applyFont="1" applyFill="1" applyBorder="1" applyAlignment="1">
      <alignment horizontal="left" vertical="top" wrapText="1"/>
    </xf>
    <xf numFmtId="0" fontId="1737" fillId="5" borderId="3" xfId="0" applyFont="1" applyFill="1" applyBorder="1" applyAlignment="1">
      <alignment horizontal="left" vertical="top" wrapText="1"/>
    </xf>
    <xf numFmtId="0" fontId="1738" fillId="5" borderId="3" xfId="0" applyFont="1" applyFill="1" applyBorder="1" applyAlignment="1">
      <alignment horizontal="left" vertical="top" wrapText="1"/>
    </xf>
    <xf numFmtId="0" fontId="1739" fillId="5" borderId="3" xfId="0" applyFont="1" applyFill="1" applyBorder="1" applyAlignment="1">
      <alignment horizontal="left" vertical="top" wrapText="1"/>
    </xf>
    <xf numFmtId="0" fontId="1740" fillId="5" borderId="3" xfId="0" applyFont="1" applyFill="1" applyBorder="1" applyAlignment="1">
      <alignment horizontal="center" vertical="top"/>
    </xf>
    <xf numFmtId="0" fontId="1741" fillId="5" borderId="3" xfId="0" applyFont="1" applyFill="1" applyBorder="1" applyAlignment="1">
      <alignment horizontal="left" vertical="top" wrapText="1"/>
    </xf>
    <xf numFmtId="0" fontId="1742" fillId="5" borderId="3" xfId="0" applyFont="1" applyFill="1" applyBorder="1" applyAlignment="1">
      <alignment horizontal="left" vertical="top" wrapText="1"/>
    </xf>
    <xf numFmtId="0" fontId="1743" fillId="5" borderId="3" xfId="0" applyFont="1" applyFill="1" applyBorder="1" applyAlignment="1">
      <alignment horizontal="left" vertical="top" wrapText="1"/>
    </xf>
    <xf numFmtId="0" fontId="1744" fillId="5" borderId="3" xfId="0" applyFont="1" applyFill="1" applyBorder="1" applyAlignment="1">
      <alignment horizontal="left" vertical="top" wrapText="1"/>
    </xf>
    <xf numFmtId="0" fontId="1745" fillId="5" borderId="3" xfId="0" applyFont="1" applyFill="1" applyBorder="1" applyAlignment="1">
      <alignment horizontal="left" vertical="top" wrapText="1"/>
    </xf>
    <xf numFmtId="0" fontId="1746" fillId="5" borderId="3" xfId="0" applyFont="1" applyFill="1" applyBorder="1" applyAlignment="1">
      <alignment horizontal="center" vertical="top"/>
    </xf>
    <xf numFmtId="0" fontId="1747" fillId="5" borderId="3" xfId="0" applyFont="1" applyFill="1" applyBorder="1" applyAlignment="1">
      <alignment horizontal="center" vertical="top"/>
    </xf>
    <xf numFmtId="0" fontId="1748" fillId="5" borderId="3" xfId="0" applyFont="1" applyFill="1" applyBorder="1" applyAlignment="1">
      <alignment horizontal="center" vertical="top"/>
    </xf>
    <xf numFmtId="0" fontId="1749" fillId="5" borderId="3" xfId="0" applyFont="1" applyFill="1" applyBorder="1" applyAlignment="1">
      <alignment horizontal="center" vertical="top"/>
    </xf>
    <xf numFmtId="0" fontId="1750" fillId="5" borderId="3" xfId="0" applyFont="1" applyFill="1" applyBorder="1" applyAlignment="1">
      <alignment horizontal="center" vertical="top"/>
    </xf>
    <xf numFmtId="0" fontId="1751" fillId="5" borderId="3" xfId="0" applyFont="1" applyFill="1" applyBorder="1" applyAlignment="1">
      <alignment horizontal="left" vertical="top" wrapText="1"/>
    </xf>
    <xf numFmtId="0" fontId="1752" fillId="5" borderId="3" xfId="0" applyFont="1" applyFill="1" applyBorder="1" applyAlignment="1">
      <alignment horizontal="center" vertical="top"/>
    </xf>
    <xf numFmtId="0" fontId="1753" fillId="5" borderId="3" xfId="0" applyFont="1" applyFill="1" applyBorder="1" applyAlignment="1">
      <alignment horizontal="center" vertical="top"/>
    </xf>
    <xf numFmtId="0" fontId="1754" fillId="5" borderId="3" xfId="0" applyFont="1" applyFill="1" applyBorder="1" applyAlignment="1">
      <alignment horizontal="center" vertical="top"/>
    </xf>
    <xf numFmtId="0" fontId="1755" fillId="5" borderId="3" xfId="0" applyFont="1" applyFill="1" applyBorder="1" applyAlignment="1">
      <alignment horizontal="center" vertical="top"/>
    </xf>
    <xf numFmtId="0" fontId="1756" fillId="5" borderId="3" xfId="0" applyFont="1" applyFill="1" applyBorder="1" applyAlignment="1">
      <alignment horizontal="left" vertical="top" wrapText="1"/>
    </xf>
    <xf numFmtId="0" fontId="1757" fillId="5" borderId="3" xfId="0" applyFont="1" applyFill="1" applyBorder="1" applyAlignment="1">
      <alignment horizontal="left" vertical="top" wrapText="1"/>
    </xf>
    <xf numFmtId="0" fontId="1758" fillId="5" borderId="3" xfId="0" applyFont="1" applyFill="1" applyBorder="1" applyAlignment="1">
      <alignment horizontal="left" vertical="top" wrapText="1"/>
    </xf>
    <xf numFmtId="0" fontId="1759" fillId="5" borderId="3" xfId="0" applyFont="1" applyFill="1" applyBorder="1" applyAlignment="1">
      <alignment horizontal="left" vertical="top" wrapText="1"/>
    </xf>
    <xf numFmtId="0" fontId="1760" fillId="5" borderId="3" xfId="0" applyFont="1" applyFill="1" applyBorder="1" applyAlignment="1">
      <alignment horizontal="left" vertical="top" wrapText="1"/>
    </xf>
    <xf numFmtId="0" fontId="1761" fillId="5" borderId="3" xfId="0" applyFont="1" applyFill="1" applyBorder="1" applyAlignment="1">
      <alignment horizontal="left" vertical="top" wrapText="1"/>
    </xf>
    <xf numFmtId="0" fontId="1762" fillId="5" borderId="3" xfId="0" applyFont="1" applyFill="1" applyBorder="1" applyAlignment="1">
      <alignment horizontal="center" vertical="top"/>
    </xf>
    <xf numFmtId="0" fontId="1763" fillId="5" borderId="3" xfId="0" applyFont="1" applyFill="1" applyBorder="1" applyAlignment="1">
      <alignment horizontal="center" vertical="top"/>
    </xf>
    <xf numFmtId="0" fontId="1764" fillId="5" borderId="3" xfId="0" applyFont="1" applyFill="1" applyBorder="1" applyAlignment="1">
      <alignment horizontal="center" vertical="top"/>
    </xf>
    <xf numFmtId="0" fontId="1765" fillId="5" borderId="3" xfId="0" applyFont="1" applyFill="1" applyBorder="1" applyAlignment="1">
      <alignment horizontal="center" vertical="top"/>
    </xf>
    <xf numFmtId="0" fontId="1766" fillId="5" borderId="3" xfId="0" applyFont="1" applyFill="1" applyBorder="1" applyAlignment="1">
      <alignment horizontal="center" vertical="top"/>
    </xf>
    <xf numFmtId="0" fontId="1767" fillId="5" borderId="3" xfId="0" applyFont="1" applyFill="1" applyBorder="1" applyAlignment="1">
      <alignment horizontal="center" vertical="top"/>
    </xf>
    <xf numFmtId="0" fontId="1768" fillId="5" borderId="3" xfId="0" applyFont="1" applyFill="1" applyBorder="1" applyAlignment="1">
      <alignment horizontal="left" vertical="top" wrapText="1"/>
    </xf>
    <xf numFmtId="0" fontId="1769" fillId="5" borderId="3" xfId="0" applyFont="1" applyFill="1" applyBorder="1" applyAlignment="1">
      <alignment horizontal="left" vertical="top" wrapText="1"/>
    </xf>
    <xf numFmtId="0" fontId="1770" fillId="5" borderId="3" xfId="0" applyFont="1" applyFill="1" applyBorder="1" applyAlignment="1">
      <alignment horizontal="left" vertical="top" wrapText="1"/>
    </xf>
    <xf numFmtId="0" fontId="1771" fillId="5" borderId="3" xfId="0" applyFont="1" applyFill="1" applyBorder="1" applyAlignment="1">
      <alignment horizontal="left" vertical="top" wrapText="1"/>
    </xf>
    <xf numFmtId="0" fontId="1772" fillId="5" borderId="3" xfId="0" applyFont="1" applyFill="1" applyBorder="1" applyAlignment="1">
      <alignment horizontal="left" vertical="top" wrapText="1"/>
    </xf>
    <xf numFmtId="0" fontId="1773" fillId="5" borderId="3" xfId="0" applyFont="1" applyFill="1" applyBorder="1" applyAlignment="1">
      <alignment horizontal="left" vertical="top" wrapText="1"/>
    </xf>
    <xf numFmtId="0" fontId="1774" fillId="5" borderId="3" xfId="0" applyFont="1" applyFill="1" applyBorder="1" applyAlignment="1">
      <alignment horizontal="left" vertical="top" wrapText="1"/>
    </xf>
    <xf numFmtId="0" fontId="1775" fillId="5" borderId="3" xfId="0" applyFont="1" applyFill="1" applyBorder="1" applyAlignment="1">
      <alignment horizontal="center" vertical="top"/>
    </xf>
    <xf numFmtId="0" fontId="1776" fillId="5" borderId="3" xfId="0" applyFont="1" applyFill="1" applyBorder="1" applyAlignment="1">
      <alignment horizontal="center" vertical="top"/>
    </xf>
    <xf numFmtId="0" fontId="1777" fillId="5" borderId="3" xfId="0" applyFont="1" applyFill="1" applyBorder="1" applyAlignment="1">
      <alignment horizontal="center" vertical="top"/>
    </xf>
    <xf numFmtId="0" fontId="1778" fillId="5" borderId="3" xfId="0" applyFont="1" applyFill="1" applyBorder="1" applyAlignment="1">
      <alignment horizontal="center" vertical="top"/>
    </xf>
    <xf numFmtId="0" fontId="1779" fillId="5" borderId="3" xfId="0" applyFont="1" applyFill="1" applyBorder="1" applyAlignment="1">
      <alignment horizontal="center" vertical="top"/>
    </xf>
    <xf numFmtId="0" fontId="1780" fillId="5" borderId="3" xfId="0" applyFont="1" applyFill="1" applyBorder="1" applyAlignment="1">
      <alignment horizontal="center" vertical="top"/>
    </xf>
    <xf numFmtId="0" fontId="1781" fillId="5" borderId="3" xfId="0" applyFont="1" applyFill="1" applyBorder="1" applyAlignment="1">
      <alignment horizontal="center" vertical="top"/>
    </xf>
    <xf numFmtId="0" fontId="1782" fillId="5" borderId="3" xfId="0" applyFont="1" applyFill="1" applyBorder="1" applyAlignment="1">
      <alignment horizontal="center" vertical="top"/>
    </xf>
    <xf numFmtId="0" fontId="1783" fillId="5" borderId="3" xfId="0" applyFont="1" applyFill="1" applyBorder="1" applyAlignment="1">
      <alignment horizontal="center" vertical="top"/>
    </xf>
    <xf numFmtId="0" fontId="1784" fillId="5" borderId="3" xfId="0" applyFont="1" applyFill="1" applyBorder="1" applyAlignment="1">
      <alignment horizontal="center" vertical="top"/>
    </xf>
    <xf numFmtId="0" fontId="1785" fillId="5" borderId="3" xfId="0" applyFont="1" applyFill="1" applyBorder="1" applyAlignment="1">
      <alignment horizontal="left" vertical="top" wrapText="1"/>
    </xf>
    <xf numFmtId="0" fontId="1786" fillId="5" borderId="3" xfId="0" applyFont="1" applyFill="1" applyBorder="1" applyAlignment="1">
      <alignment horizontal="left" vertical="top" wrapText="1"/>
    </xf>
    <xf numFmtId="0" fontId="1787" fillId="5" borderId="3" xfId="0" applyFont="1" applyFill="1" applyBorder="1" applyAlignment="1">
      <alignment horizontal="left" vertical="top" wrapText="1"/>
    </xf>
    <xf numFmtId="0" fontId="1788" fillId="5" borderId="3" xfId="0" applyFont="1" applyFill="1" applyBorder="1" applyAlignment="1">
      <alignment horizontal="left" vertical="top" wrapText="1"/>
    </xf>
    <xf numFmtId="0" fontId="1789" fillId="5" borderId="3" xfId="0" applyFont="1" applyFill="1" applyBorder="1" applyAlignment="1">
      <alignment horizontal="center" vertical="top"/>
    </xf>
    <xf numFmtId="0" fontId="1790" fillId="5" borderId="3" xfId="0" applyFont="1" applyFill="1" applyBorder="1" applyAlignment="1">
      <alignment horizontal="center" vertical="top"/>
    </xf>
    <xf numFmtId="0" fontId="1791" fillId="5" borderId="3" xfId="0" applyFont="1" applyFill="1" applyBorder="1" applyAlignment="1">
      <alignment horizontal="left" vertical="top" wrapText="1"/>
    </xf>
    <xf numFmtId="0" fontId="1792" fillId="5" borderId="3" xfId="0" applyFont="1" applyFill="1" applyBorder="1" applyAlignment="1">
      <alignment horizontal="left" vertical="top" wrapText="1"/>
    </xf>
    <xf numFmtId="0" fontId="1793" fillId="5" borderId="3" xfId="0" applyFont="1" applyFill="1" applyBorder="1" applyAlignment="1">
      <alignment horizontal="left" vertical="top" wrapText="1"/>
    </xf>
    <xf numFmtId="0" fontId="1794" fillId="5" borderId="3" xfId="0" applyFont="1" applyFill="1" applyBorder="1" applyAlignment="1">
      <alignment horizontal="left" vertical="top" wrapText="1"/>
    </xf>
    <xf numFmtId="0" fontId="1795" fillId="5" borderId="3" xfId="0" applyFont="1" applyFill="1" applyBorder="1" applyAlignment="1">
      <alignment horizontal="left" vertical="top" wrapText="1"/>
    </xf>
    <xf numFmtId="0" fontId="1796" fillId="5" borderId="3" xfId="0" applyFont="1" applyFill="1" applyBorder="1" applyAlignment="1">
      <alignment horizontal="left" vertical="top" wrapText="1"/>
    </xf>
    <xf numFmtId="0" fontId="1797" fillId="5" borderId="3" xfId="0" applyFont="1" applyFill="1" applyBorder="1" applyAlignment="1">
      <alignment horizontal="left" vertical="top" wrapText="1"/>
    </xf>
    <xf numFmtId="0" fontId="1798" fillId="5" borderId="3" xfId="0" applyFont="1" applyFill="1" applyBorder="1" applyAlignment="1">
      <alignment horizontal="left" vertical="top" wrapText="1"/>
    </xf>
    <xf numFmtId="0" fontId="1799" fillId="5" borderId="3" xfId="0" applyFont="1" applyFill="1" applyBorder="1" applyAlignment="1">
      <alignment horizontal="left" vertical="top" wrapText="1"/>
    </xf>
    <xf numFmtId="0" fontId="1800" fillId="5" borderId="3" xfId="0" applyFont="1" applyFill="1" applyBorder="1" applyAlignment="1">
      <alignment horizontal="left" vertical="top" wrapText="1"/>
    </xf>
    <xf numFmtId="0" fontId="1801" fillId="5" borderId="3" xfId="0" applyFont="1" applyFill="1" applyBorder="1" applyAlignment="1">
      <alignment horizontal="left" vertical="top" wrapText="1"/>
    </xf>
    <xf numFmtId="0" fontId="1802" fillId="5" borderId="3" xfId="0" applyFont="1" applyFill="1" applyBorder="1" applyAlignment="1">
      <alignment horizontal="left" vertical="top" wrapText="1"/>
    </xf>
    <xf numFmtId="0" fontId="1803" fillId="5" borderId="3" xfId="0" applyFont="1" applyFill="1" applyBorder="1" applyAlignment="1">
      <alignment horizontal="left" vertical="top" wrapText="1"/>
    </xf>
    <xf numFmtId="0" fontId="1804" fillId="5" borderId="3" xfId="0" applyFont="1" applyFill="1" applyBorder="1" applyAlignment="1">
      <alignment horizontal="left" vertical="top" wrapText="1"/>
    </xf>
    <xf numFmtId="0" fontId="1805" fillId="5" borderId="3" xfId="0" applyFont="1" applyFill="1" applyBorder="1" applyAlignment="1">
      <alignment horizontal="left" vertical="top" wrapText="1"/>
    </xf>
    <xf numFmtId="0" fontId="1806" fillId="5" borderId="3" xfId="0" applyFont="1" applyFill="1" applyBorder="1" applyAlignment="1">
      <alignment horizontal="left" vertical="top" wrapText="1"/>
    </xf>
    <xf numFmtId="0" fontId="1807" fillId="5" borderId="3" xfId="0" applyFont="1" applyFill="1" applyBorder="1" applyAlignment="1">
      <alignment horizontal="left" vertical="top" wrapText="1"/>
    </xf>
    <xf numFmtId="0" fontId="1808" fillId="5" borderId="3" xfId="0" applyFont="1" applyFill="1" applyBorder="1" applyAlignment="1">
      <alignment horizontal="left" vertical="top" wrapText="1"/>
    </xf>
    <xf numFmtId="0" fontId="1809" fillId="5" borderId="3" xfId="0" applyFont="1" applyFill="1" applyBorder="1" applyAlignment="1">
      <alignment horizontal="left" vertical="top" wrapText="1"/>
    </xf>
    <xf numFmtId="0" fontId="1810" fillId="5" borderId="3" xfId="0" applyFont="1" applyFill="1" applyBorder="1" applyAlignment="1">
      <alignment horizontal="left" vertical="top" wrapText="1"/>
    </xf>
    <xf numFmtId="0" fontId="1811" fillId="5" borderId="3" xfId="0" applyFont="1" applyFill="1" applyBorder="1" applyAlignment="1">
      <alignment horizontal="left" vertical="top" wrapText="1"/>
    </xf>
    <xf numFmtId="0" fontId="1812" fillId="5" borderId="3" xfId="0" applyFont="1" applyFill="1" applyBorder="1" applyAlignment="1">
      <alignment horizontal="left" vertical="top" wrapText="1"/>
    </xf>
    <xf numFmtId="0" fontId="1813" fillId="5" borderId="3" xfId="0" applyFont="1" applyFill="1" applyBorder="1" applyAlignment="1">
      <alignment horizontal="left" vertical="top" wrapText="1"/>
    </xf>
    <xf numFmtId="0" fontId="1814" fillId="5" borderId="3" xfId="0" applyFont="1" applyFill="1" applyBorder="1" applyAlignment="1">
      <alignment horizontal="left" vertical="top" wrapText="1"/>
    </xf>
    <xf numFmtId="0" fontId="1815" fillId="5" borderId="3" xfId="0" applyFont="1" applyFill="1" applyBorder="1" applyAlignment="1">
      <alignment horizontal="left" vertical="top" wrapText="1"/>
    </xf>
    <xf numFmtId="0" fontId="1816" fillId="5" borderId="3" xfId="0" applyFont="1" applyFill="1" applyBorder="1" applyAlignment="1">
      <alignment horizontal="left" vertical="top" wrapText="1"/>
    </xf>
    <xf numFmtId="0" fontId="1817" fillId="5" borderId="3" xfId="0" applyFont="1" applyFill="1" applyBorder="1" applyAlignment="1">
      <alignment horizontal="left" vertical="top" wrapText="1"/>
    </xf>
    <xf numFmtId="0" fontId="1818" fillId="5" borderId="3" xfId="0" applyFont="1" applyFill="1" applyBorder="1" applyAlignment="1">
      <alignment horizontal="left" vertical="top" wrapText="1"/>
    </xf>
    <xf numFmtId="0" fontId="1819" fillId="5" borderId="3" xfId="0" applyFont="1" applyFill="1" applyBorder="1" applyAlignment="1">
      <alignment horizontal="left" vertical="top" wrapText="1"/>
    </xf>
    <xf numFmtId="0" fontId="1820" fillId="5" borderId="3" xfId="0" applyFont="1" applyFill="1" applyBorder="1" applyAlignment="1">
      <alignment horizontal="left" vertical="top" wrapText="1"/>
    </xf>
    <xf numFmtId="0" fontId="1821" fillId="5" borderId="3" xfId="0" applyFont="1" applyFill="1" applyBorder="1" applyAlignment="1">
      <alignment horizontal="center" vertical="top"/>
    </xf>
    <xf numFmtId="0" fontId="1822" fillId="5" borderId="3" xfId="0" applyFont="1" applyFill="1" applyBorder="1" applyAlignment="1">
      <alignment horizontal="center" vertical="top"/>
    </xf>
    <xf numFmtId="0" fontId="1823" fillId="5" borderId="3" xfId="0" applyFont="1" applyFill="1" applyBorder="1" applyAlignment="1">
      <alignment horizontal="left" vertical="top" wrapText="1"/>
    </xf>
    <xf numFmtId="0" fontId="1824" fillId="5" borderId="3" xfId="0" applyFont="1" applyFill="1" applyBorder="1" applyAlignment="1">
      <alignment horizontal="center" vertical="top"/>
    </xf>
    <xf numFmtId="0" fontId="1825" fillId="5" borderId="3" xfId="0" applyFont="1" applyFill="1" applyBorder="1" applyAlignment="1">
      <alignment horizontal="center" vertical="top"/>
    </xf>
    <xf numFmtId="0" fontId="1826" fillId="5" borderId="3" xfId="0" applyFont="1" applyFill="1" applyBorder="1" applyAlignment="1">
      <alignment horizontal="left" vertical="top" wrapText="1"/>
    </xf>
    <xf numFmtId="0" fontId="1827" fillId="5" borderId="3" xfId="0" applyFont="1" applyFill="1" applyBorder="1" applyAlignment="1">
      <alignment horizontal="center" vertical="top"/>
    </xf>
    <xf numFmtId="0" fontId="1828" fillId="5" borderId="3" xfId="0" applyFont="1" applyFill="1" applyBorder="1" applyAlignment="1">
      <alignment horizontal="left" vertical="top" wrapText="1"/>
    </xf>
    <xf numFmtId="0" fontId="1829" fillId="5" borderId="3" xfId="0" applyFont="1" applyFill="1" applyBorder="1" applyAlignment="1">
      <alignment horizontal="left" vertical="top" wrapText="1"/>
    </xf>
    <xf numFmtId="0" fontId="1830" fillId="5" borderId="3" xfId="0" applyFont="1" applyFill="1" applyBorder="1" applyAlignment="1">
      <alignment horizontal="center" vertical="top"/>
    </xf>
    <xf numFmtId="0" fontId="1831" fillId="5" borderId="3" xfId="0" applyFont="1" applyFill="1" applyBorder="1" applyAlignment="1">
      <alignment horizontal="center" vertical="top"/>
    </xf>
    <xf numFmtId="0" fontId="1832" fillId="5" borderId="3" xfId="0" applyFont="1" applyFill="1" applyBorder="1" applyAlignment="1">
      <alignment horizontal="left" vertical="top" wrapText="1"/>
    </xf>
    <xf numFmtId="0" fontId="1833" fillId="5" borderId="3" xfId="0" applyFont="1" applyFill="1" applyBorder="1" applyAlignment="1">
      <alignment horizontal="left" vertical="top" wrapText="1"/>
    </xf>
    <xf numFmtId="0" fontId="1834" fillId="5" borderId="3" xfId="0" applyFont="1" applyFill="1" applyBorder="1" applyAlignment="1">
      <alignment horizontal="left" vertical="top" wrapText="1"/>
    </xf>
    <xf numFmtId="0" fontId="1835" fillId="5" borderId="3" xfId="0" applyFont="1" applyFill="1" applyBorder="1" applyAlignment="1">
      <alignment horizontal="center" vertical="top"/>
    </xf>
    <xf numFmtId="0" fontId="1836" fillId="5" borderId="3" xfId="0" applyFont="1" applyFill="1" applyBorder="1" applyAlignment="1">
      <alignment horizontal="left" vertical="top" wrapText="1"/>
    </xf>
    <xf numFmtId="0" fontId="1837" fillId="5" borderId="3" xfId="0" applyFont="1" applyFill="1" applyBorder="1" applyAlignment="1">
      <alignment horizontal="left" vertical="top" wrapText="1"/>
    </xf>
    <xf numFmtId="0" fontId="1838" fillId="5" borderId="3" xfId="0" applyFont="1" applyFill="1" applyBorder="1" applyAlignment="1">
      <alignment horizontal="left" vertical="top" wrapText="1"/>
    </xf>
    <xf numFmtId="0" fontId="1839" fillId="5" borderId="3" xfId="0" applyFont="1" applyFill="1" applyBorder="1" applyAlignment="1">
      <alignment horizontal="left" vertical="top" wrapText="1"/>
    </xf>
    <xf numFmtId="0" fontId="1840" fillId="5" borderId="3" xfId="0" applyFont="1" applyFill="1" applyBorder="1" applyAlignment="1">
      <alignment horizontal="left" vertical="top" wrapText="1"/>
    </xf>
    <xf numFmtId="0" fontId="1841" fillId="5" borderId="3" xfId="0" applyFont="1" applyFill="1" applyBorder="1" applyAlignment="1">
      <alignment horizontal="left" vertical="top" wrapText="1"/>
    </xf>
    <xf numFmtId="0" fontId="1842" fillId="5" borderId="3" xfId="0" applyFont="1" applyFill="1" applyBorder="1" applyAlignment="1">
      <alignment horizontal="left" vertical="top" wrapText="1"/>
    </xf>
    <xf numFmtId="0" fontId="1843" fillId="5" borderId="3" xfId="0" applyFont="1" applyFill="1" applyBorder="1" applyAlignment="1">
      <alignment horizontal="left" vertical="top" wrapText="1"/>
    </xf>
    <xf numFmtId="0" fontId="1844" fillId="5" borderId="3" xfId="0" applyFont="1" applyFill="1" applyBorder="1" applyAlignment="1">
      <alignment horizontal="left" vertical="top" wrapText="1"/>
    </xf>
    <xf numFmtId="0" fontId="1845" fillId="5" borderId="3" xfId="0" applyFont="1" applyFill="1" applyBorder="1" applyAlignment="1">
      <alignment horizontal="left" vertical="top" wrapText="1"/>
    </xf>
    <xf numFmtId="0" fontId="1846" fillId="5" borderId="3" xfId="0" applyFont="1" applyFill="1" applyBorder="1" applyAlignment="1">
      <alignment horizontal="left" vertical="top" wrapText="1"/>
    </xf>
    <xf numFmtId="0" fontId="1847" fillId="5" borderId="3" xfId="0" applyFont="1" applyFill="1" applyBorder="1" applyAlignment="1">
      <alignment horizontal="left" vertical="top" wrapText="1"/>
    </xf>
    <xf numFmtId="0" fontId="1848" fillId="5" borderId="3" xfId="0" applyFont="1" applyFill="1" applyBorder="1" applyAlignment="1">
      <alignment horizontal="left" vertical="top" wrapText="1"/>
    </xf>
    <xf numFmtId="0" fontId="1849" fillId="5" borderId="3" xfId="0" applyFont="1" applyFill="1" applyBorder="1" applyAlignment="1">
      <alignment horizontal="left" vertical="top" wrapText="1"/>
    </xf>
    <xf numFmtId="0" fontId="1850" fillId="5" borderId="3" xfId="0" applyFont="1" applyFill="1" applyBorder="1" applyAlignment="1">
      <alignment horizontal="left" vertical="top" wrapText="1"/>
    </xf>
    <xf numFmtId="0" fontId="1851" fillId="5" borderId="3" xfId="0" applyFont="1" applyFill="1" applyBorder="1" applyAlignment="1">
      <alignment horizontal="left" vertical="top" wrapText="1"/>
    </xf>
    <xf numFmtId="0" fontId="1852" fillId="5" borderId="3" xfId="0" applyFont="1" applyFill="1" applyBorder="1" applyAlignment="1">
      <alignment horizontal="left" vertical="top" wrapText="1"/>
    </xf>
    <xf numFmtId="0" fontId="1853" fillId="5" borderId="3" xfId="0" applyFont="1" applyFill="1" applyBorder="1" applyAlignment="1">
      <alignment horizontal="left" vertical="top" wrapText="1"/>
    </xf>
    <xf numFmtId="0" fontId="1854" fillId="5" borderId="3" xfId="0" applyFont="1" applyFill="1" applyBorder="1" applyAlignment="1">
      <alignment horizontal="left" vertical="top" wrapText="1"/>
    </xf>
    <xf numFmtId="0" fontId="1855" fillId="5" borderId="3" xfId="0" applyFont="1" applyFill="1" applyBorder="1" applyAlignment="1">
      <alignment horizontal="left" vertical="top" wrapText="1"/>
    </xf>
    <xf numFmtId="0" fontId="1856" fillId="5" borderId="3" xfId="0" applyFont="1" applyFill="1" applyBorder="1" applyAlignment="1">
      <alignment horizontal="left" vertical="top" wrapText="1"/>
    </xf>
    <xf numFmtId="0" fontId="1857" fillId="5" borderId="3" xfId="0" applyFont="1" applyFill="1" applyBorder="1" applyAlignment="1">
      <alignment horizontal="left" vertical="top" wrapText="1"/>
    </xf>
    <xf numFmtId="0" fontId="1858" fillId="5" borderId="3" xfId="0" applyFont="1" applyFill="1" applyBorder="1" applyAlignment="1">
      <alignment horizontal="left" vertical="top" wrapText="1"/>
    </xf>
    <xf numFmtId="0" fontId="1859" fillId="5" borderId="3" xfId="0" applyFont="1" applyFill="1" applyBorder="1" applyAlignment="1">
      <alignment horizontal="left" vertical="top" wrapText="1"/>
    </xf>
    <xf numFmtId="0" fontId="1860" fillId="5" borderId="3" xfId="0" applyFont="1" applyFill="1" applyBorder="1" applyAlignment="1">
      <alignment horizontal="left" vertical="top" wrapText="1"/>
    </xf>
    <xf numFmtId="0" fontId="1861" fillId="5" borderId="3" xfId="0" applyFont="1" applyFill="1" applyBorder="1" applyAlignment="1">
      <alignment horizontal="left" vertical="top" wrapText="1"/>
    </xf>
    <xf numFmtId="0" fontId="1862" fillId="5" borderId="3" xfId="0" applyFont="1" applyFill="1" applyBorder="1" applyAlignment="1">
      <alignment horizontal="left" vertical="top" wrapText="1"/>
    </xf>
    <xf numFmtId="0" fontId="1863" fillId="5" borderId="3" xfId="0" applyFont="1" applyFill="1" applyBorder="1" applyAlignment="1">
      <alignment horizontal="left" vertical="top" wrapText="1"/>
    </xf>
    <xf numFmtId="0" fontId="1864" fillId="5" borderId="3" xfId="0" applyFont="1" applyFill="1" applyBorder="1" applyAlignment="1">
      <alignment horizontal="left" vertical="top" wrapText="1"/>
    </xf>
    <xf numFmtId="0" fontId="1865" fillId="5" borderId="3" xfId="0" applyFont="1" applyFill="1" applyBorder="1" applyAlignment="1">
      <alignment horizontal="left" vertical="top" wrapText="1"/>
    </xf>
    <xf numFmtId="0" fontId="1866" fillId="5" borderId="3" xfId="0" applyFont="1" applyFill="1" applyBorder="1" applyAlignment="1">
      <alignment horizontal="left" vertical="top" wrapText="1"/>
    </xf>
    <xf numFmtId="0" fontId="1867" fillId="5" borderId="3" xfId="0" applyFont="1" applyFill="1" applyBorder="1" applyAlignment="1">
      <alignment horizontal="left" vertical="top" wrapText="1"/>
    </xf>
    <xf numFmtId="0" fontId="1868" fillId="5" borderId="3" xfId="0" applyFont="1" applyFill="1" applyBorder="1" applyAlignment="1">
      <alignment horizontal="left" vertical="top" wrapText="1"/>
    </xf>
    <xf numFmtId="0" fontId="1869" fillId="5" borderId="3" xfId="0" applyFont="1" applyFill="1" applyBorder="1" applyAlignment="1">
      <alignment horizontal="left" vertical="top" wrapText="1"/>
    </xf>
    <xf numFmtId="0" fontId="1870" fillId="5" borderId="3" xfId="0" applyFont="1" applyFill="1" applyBorder="1" applyAlignment="1">
      <alignment horizontal="left" vertical="top" wrapText="1"/>
    </xf>
    <xf numFmtId="0" fontId="1871" fillId="5" borderId="3" xfId="0" applyFont="1" applyFill="1" applyBorder="1" applyAlignment="1">
      <alignment horizontal="left" vertical="top" wrapText="1"/>
    </xf>
    <xf numFmtId="0" fontId="1872" fillId="5" borderId="3" xfId="0" applyFont="1" applyFill="1" applyBorder="1" applyAlignment="1">
      <alignment horizontal="left" vertical="top" wrapText="1"/>
    </xf>
    <xf numFmtId="0" fontId="1873" fillId="5" borderId="3" xfId="0" applyFont="1" applyFill="1" applyBorder="1" applyAlignment="1">
      <alignment horizontal="left" vertical="top" wrapText="1"/>
    </xf>
    <xf numFmtId="0" fontId="1874" fillId="5" borderId="3" xfId="0" applyFont="1" applyFill="1" applyBorder="1" applyAlignment="1">
      <alignment horizontal="left" vertical="top" wrapText="1"/>
    </xf>
    <xf numFmtId="0" fontId="1875" fillId="5" borderId="3" xfId="0" applyFont="1" applyFill="1" applyBorder="1" applyAlignment="1">
      <alignment horizontal="left" vertical="top" wrapText="1"/>
    </xf>
    <xf numFmtId="0" fontId="1876" fillId="5" borderId="3" xfId="0" applyFont="1" applyFill="1" applyBorder="1" applyAlignment="1">
      <alignment horizontal="left" vertical="top" wrapText="1"/>
    </xf>
    <xf numFmtId="0" fontId="1877" fillId="5" borderId="3" xfId="0" applyFont="1" applyFill="1" applyBorder="1" applyAlignment="1">
      <alignment horizontal="left" vertical="top" wrapText="1"/>
    </xf>
    <xf numFmtId="0" fontId="1878" fillId="5" borderId="3" xfId="0" applyFont="1" applyFill="1" applyBorder="1" applyAlignment="1">
      <alignment horizontal="left" vertical="top" wrapText="1"/>
    </xf>
    <xf numFmtId="0" fontId="1879" fillId="5" borderId="3" xfId="0" applyFont="1" applyFill="1" applyBorder="1" applyAlignment="1">
      <alignment horizontal="left" vertical="top" wrapText="1"/>
    </xf>
    <xf numFmtId="0" fontId="1880" fillId="5" borderId="3" xfId="0" applyFont="1" applyFill="1" applyBorder="1" applyAlignment="1">
      <alignment horizontal="left" vertical="top" wrapText="1"/>
    </xf>
    <xf numFmtId="0" fontId="1881" fillId="5" borderId="3" xfId="0" applyFont="1" applyFill="1" applyBorder="1" applyAlignment="1">
      <alignment horizontal="left" vertical="top" wrapText="1"/>
    </xf>
    <xf numFmtId="0" fontId="1882" fillId="5" borderId="3" xfId="0" applyFont="1" applyFill="1" applyBorder="1" applyAlignment="1">
      <alignment horizontal="left" vertical="top" wrapText="1"/>
    </xf>
    <xf numFmtId="0" fontId="1883" fillId="5" borderId="3" xfId="0" applyFont="1" applyFill="1" applyBorder="1" applyAlignment="1">
      <alignment horizontal="left" vertical="top" wrapText="1"/>
    </xf>
    <xf numFmtId="0" fontId="1884" fillId="5" borderId="3" xfId="0" applyFont="1" applyFill="1" applyBorder="1" applyAlignment="1">
      <alignment horizontal="left" vertical="top" wrapText="1"/>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left" vertical="top" wrapText="1"/>
    </xf>
    <xf numFmtId="0" fontId="1890" fillId="5" borderId="3" xfId="0" applyFont="1" applyFill="1" applyBorder="1" applyAlignment="1">
      <alignment horizontal="left" vertical="top" wrapText="1"/>
    </xf>
    <xf numFmtId="0" fontId="1891" fillId="5" borderId="3" xfId="0" applyFont="1" applyFill="1" applyBorder="1" applyAlignment="1">
      <alignment horizontal="left" vertical="top" wrapText="1"/>
    </xf>
    <xf numFmtId="0" fontId="1892" fillId="5" borderId="3" xfId="0" applyFont="1" applyFill="1" applyBorder="1" applyAlignment="1">
      <alignment horizontal="left" vertical="top" wrapText="1"/>
    </xf>
    <xf numFmtId="0" fontId="1893" fillId="5" borderId="3" xfId="0" applyFont="1" applyFill="1" applyBorder="1" applyAlignment="1">
      <alignment horizontal="left" vertical="top" wrapText="1"/>
    </xf>
    <xf numFmtId="0" fontId="1894" fillId="5" borderId="3" xfId="0" applyFont="1" applyFill="1" applyBorder="1" applyAlignment="1">
      <alignment horizontal="center" vertical="top"/>
    </xf>
    <xf numFmtId="0" fontId="1897" fillId="4" borderId="3" xfId="0" applyFont="1" applyFill="1" applyBorder="1" applyAlignment="1">
      <alignment horizontal="center" vertical="top" wrapText="1"/>
    </xf>
    <xf numFmtId="0" fontId="1900" fillId="5" borderId="3" xfId="0" applyFont="1" applyFill="1" applyBorder="1" applyAlignment="1">
      <alignment horizontal="left" vertical="top" wrapText="1"/>
    </xf>
    <xf numFmtId="0" fontId="1901" fillId="5" borderId="3" xfId="0" applyFont="1" applyFill="1" applyBorder="1" applyAlignment="1">
      <alignment horizontal="left" vertical="top" wrapText="1"/>
    </xf>
    <xf numFmtId="0" fontId="1902" fillId="5" borderId="3" xfId="0" applyFont="1" applyFill="1" applyBorder="1" applyAlignment="1">
      <alignment horizontal="left" vertical="top" wrapText="1"/>
    </xf>
    <xf numFmtId="0" fontId="1903" fillId="5" borderId="3" xfId="0" applyFont="1" applyFill="1" applyBorder="1" applyAlignment="1">
      <alignment horizontal="left" vertical="top" wrapText="1"/>
    </xf>
    <xf numFmtId="0" fontId="1904" fillId="5" borderId="3" xfId="0" applyFont="1" applyFill="1" applyBorder="1" applyAlignment="1">
      <alignment horizontal="left" vertical="top" wrapText="1"/>
    </xf>
    <xf numFmtId="0" fontId="1905" fillId="5" borderId="3" xfId="0" applyFont="1" applyFill="1" applyBorder="1" applyAlignment="1">
      <alignment horizontal="left" vertical="top" wrapText="1"/>
    </xf>
    <xf numFmtId="0" fontId="1906" fillId="5" borderId="3" xfId="0" applyFont="1" applyFill="1" applyBorder="1" applyAlignment="1">
      <alignment horizontal="left" vertical="top" wrapText="1"/>
    </xf>
    <xf numFmtId="0" fontId="1907" fillId="5" borderId="3" xfId="0" applyFont="1" applyFill="1" applyBorder="1" applyAlignment="1">
      <alignment horizontal="left" vertical="top" wrapText="1"/>
    </xf>
    <xf numFmtId="0" fontId="1908" fillId="5" borderId="3" xfId="0" applyFont="1" applyFill="1" applyBorder="1" applyAlignment="1">
      <alignment horizontal="left" vertical="top" wrapText="1"/>
    </xf>
    <xf numFmtId="0" fontId="1909" fillId="5" borderId="3" xfId="0" applyFont="1" applyFill="1" applyBorder="1" applyAlignment="1">
      <alignment horizontal="left" vertical="top" wrapText="1"/>
    </xf>
    <xf numFmtId="0" fontId="1910" fillId="5" borderId="3" xfId="0" applyFont="1" applyFill="1" applyBorder="1" applyAlignment="1">
      <alignment horizontal="left" vertical="top" wrapText="1"/>
    </xf>
    <xf numFmtId="0" fontId="1911" fillId="5" borderId="3" xfId="0" applyFont="1" applyFill="1" applyBorder="1" applyAlignment="1">
      <alignment horizontal="left" vertical="top" wrapText="1"/>
    </xf>
    <xf numFmtId="0" fontId="1912" fillId="5" borderId="3" xfId="0" applyFont="1" applyFill="1" applyBorder="1" applyAlignment="1">
      <alignment horizontal="left" vertical="top" wrapText="1"/>
    </xf>
    <xf numFmtId="0" fontId="1913" fillId="5" borderId="3" xfId="0" applyFont="1" applyFill="1" applyBorder="1" applyAlignment="1">
      <alignment horizontal="left" vertical="top" wrapText="1"/>
    </xf>
    <xf numFmtId="0" fontId="1914" fillId="5" borderId="3" xfId="0" applyFont="1" applyFill="1" applyBorder="1" applyAlignment="1">
      <alignment horizontal="left" vertical="top" wrapText="1"/>
    </xf>
    <xf numFmtId="0" fontId="1915" fillId="5" borderId="3" xfId="0" applyFont="1" applyFill="1" applyBorder="1" applyAlignment="1">
      <alignment horizontal="left" vertical="top" wrapText="1"/>
    </xf>
    <xf numFmtId="0" fontId="1916" fillId="5" borderId="3" xfId="0" applyFont="1" applyFill="1" applyBorder="1" applyAlignment="1">
      <alignment horizontal="left" vertical="top" wrapText="1"/>
    </xf>
    <xf numFmtId="0" fontId="1917" fillId="5" borderId="3" xfId="0" applyFont="1" applyFill="1" applyBorder="1" applyAlignment="1">
      <alignment horizontal="left" vertical="top" wrapText="1"/>
    </xf>
    <xf numFmtId="0" fontId="1918" fillId="5" borderId="3" xfId="0" applyFont="1" applyFill="1" applyBorder="1" applyAlignment="1">
      <alignment horizontal="left" vertical="top" wrapText="1"/>
    </xf>
    <xf numFmtId="0" fontId="1919" fillId="5" borderId="3" xfId="0" applyFont="1" applyFill="1" applyBorder="1" applyAlignment="1">
      <alignment horizontal="left" vertical="top" wrapText="1"/>
    </xf>
    <xf numFmtId="0" fontId="1920" fillId="5" borderId="3" xfId="0" applyFont="1" applyFill="1" applyBorder="1" applyAlignment="1">
      <alignment horizontal="left" vertical="top" wrapText="1"/>
    </xf>
    <xf numFmtId="0" fontId="1921" fillId="5" borderId="3" xfId="0" applyFont="1" applyFill="1" applyBorder="1" applyAlignment="1">
      <alignment horizontal="left" vertical="top" wrapText="1"/>
    </xf>
    <xf numFmtId="0" fontId="1922" fillId="5" borderId="3" xfId="0" applyFont="1" applyFill="1" applyBorder="1" applyAlignment="1">
      <alignment horizontal="left" vertical="top" wrapText="1"/>
    </xf>
    <xf numFmtId="0" fontId="1923" fillId="5" borderId="3" xfId="0" applyFont="1" applyFill="1" applyBorder="1" applyAlignment="1">
      <alignment horizontal="left" vertical="top" wrapText="1"/>
    </xf>
    <xf numFmtId="0" fontId="1924" fillId="5" borderId="3" xfId="0" applyFont="1" applyFill="1" applyBorder="1" applyAlignment="1">
      <alignment horizontal="left" vertical="top" wrapText="1"/>
    </xf>
    <xf numFmtId="0" fontId="1925" fillId="5" borderId="3" xfId="0" applyFont="1" applyFill="1" applyBorder="1" applyAlignment="1">
      <alignment horizontal="left" vertical="top" wrapText="1"/>
    </xf>
    <xf numFmtId="0" fontId="1926" fillId="5" borderId="3" xfId="0" applyFont="1" applyFill="1" applyBorder="1" applyAlignment="1">
      <alignment horizontal="left" vertical="top" wrapText="1"/>
    </xf>
    <xf numFmtId="0" fontId="1927" fillId="5" borderId="3" xfId="0" applyFont="1" applyFill="1" applyBorder="1" applyAlignment="1">
      <alignment horizontal="left" vertical="top" wrapText="1"/>
    </xf>
    <xf numFmtId="0" fontId="1928" fillId="5" borderId="3" xfId="0" applyFont="1" applyFill="1" applyBorder="1" applyAlignment="1">
      <alignment horizontal="left" vertical="top" wrapText="1"/>
    </xf>
    <xf numFmtId="0" fontId="1929" fillId="5" borderId="3" xfId="0" applyFont="1" applyFill="1" applyBorder="1" applyAlignment="1">
      <alignment horizontal="left" vertical="top" wrapText="1"/>
    </xf>
    <xf numFmtId="0" fontId="1932" fillId="5" borderId="3" xfId="0" applyFont="1" applyFill="1" applyBorder="1" applyAlignment="1">
      <alignment horizontal="left" vertical="top" wrapText="1"/>
    </xf>
    <xf numFmtId="0" fontId="1933" fillId="5" borderId="3" xfId="0" applyFont="1" applyFill="1" applyBorder="1" applyAlignment="1">
      <alignment horizontal="left" vertical="top" wrapText="1"/>
    </xf>
    <xf numFmtId="0" fontId="1934" fillId="5" borderId="3" xfId="0" applyFont="1" applyFill="1" applyBorder="1" applyAlignment="1">
      <alignment horizontal="left" vertical="top" wrapText="1"/>
    </xf>
    <xf numFmtId="0" fontId="1935" fillId="5" borderId="3" xfId="0" applyFont="1" applyFill="1" applyBorder="1" applyAlignment="1">
      <alignment horizontal="left" vertical="top" wrapText="1"/>
    </xf>
    <xf numFmtId="0" fontId="1936" fillId="5" borderId="3" xfId="0" applyFont="1" applyFill="1" applyBorder="1" applyAlignment="1">
      <alignment horizontal="left" vertical="top" wrapText="1"/>
    </xf>
    <xf numFmtId="0" fontId="1937" fillId="5" borderId="3" xfId="0" applyFont="1" applyFill="1" applyBorder="1" applyAlignment="1">
      <alignment horizontal="left" vertical="top" wrapText="1"/>
    </xf>
    <xf numFmtId="0" fontId="1941" fillId="5" borderId="3" xfId="0" applyFont="1" applyFill="1" applyBorder="1" applyAlignment="1">
      <alignment horizontal="left" vertical="top" wrapText="1"/>
    </xf>
    <xf numFmtId="0" fontId="1942" fillId="5" borderId="3" xfId="0" applyFont="1" applyFill="1" applyBorder="1" applyAlignment="1">
      <alignment horizontal="left" vertical="top" wrapText="1"/>
    </xf>
    <xf numFmtId="0" fontId="1943" fillId="5" borderId="3" xfId="0" applyFont="1" applyFill="1" applyBorder="1" applyAlignment="1">
      <alignment horizontal="left" vertical="top" wrapText="1"/>
    </xf>
    <xf numFmtId="0" fontId="1944" fillId="5" borderId="3" xfId="0" applyFont="1" applyFill="1" applyBorder="1" applyAlignment="1">
      <alignment horizontal="left" vertical="top" wrapText="1"/>
    </xf>
    <xf numFmtId="0" fontId="1945" fillId="5" borderId="3" xfId="0" applyFont="1" applyFill="1" applyBorder="1" applyAlignment="1">
      <alignment horizontal="left" vertical="top" wrapText="1"/>
    </xf>
    <xf numFmtId="0" fontId="1946" fillId="5" borderId="3" xfId="0" applyFont="1" applyFill="1" applyBorder="1" applyAlignment="1">
      <alignment horizontal="left" vertical="top" wrapText="1"/>
    </xf>
    <xf numFmtId="0" fontId="1947" fillId="5" borderId="3" xfId="0" applyFont="1" applyFill="1" applyBorder="1" applyAlignment="1">
      <alignment horizontal="left" vertical="top" wrapText="1"/>
    </xf>
    <xf numFmtId="0" fontId="1948" fillId="5" borderId="3" xfId="0" applyFont="1" applyFill="1" applyBorder="1" applyAlignment="1">
      <alignment horizontal="left" vertical="top" wrapText="1"/>
    </xf>
    <xf numFmtId="0" fontId="1949" fillId="5" borderId="3" xfId="0" applyFont="1" applyFill="1" applyBorder="1" applyAlignment="1">
      <alignment horizontal="left" vertical="top" wrapText="1"/>
    </xf>
    <xf numFmtId="0" fontId="1952" fillId="5" borderId="3" xfId="0" applyFont="1" applyFill="1" applyBorder="1" applyAlignment="1">
      <alignment horizontal="left" vertical="top" wrapText="1"/>
    </xf>
    <xf numFmtId="0" fontId="1953" fillId="5" borderId="3" xfId="0" applyFont="1" applyFill="1" applyBorder="1" applyAlignment="1">
      <alignment horizontal="left" vertical="top" wrapText="1"/>
    </xf>
    <xf numFmtId="0" fontId="1954" fillId="5" borderId="3" xfId="0" applyFont="1" applyFill="1" applyBorder="1" applyAlignment="1">
      <alignment horizontal="center" vertical="top"/>
    </xf>
    <xf numFmtId="0" fontId="1955" fillId="5" borderId="3" xfId="0" applyFont="1" applyFill="1" applyBorder="1" applyAlignment="1">
      <alignment horizontal="left" vertical="top" wrapText="1"/>
    </xf>
    <xf numFmtId="0" fontId="1956" fillId="5" borderId="3" xfId="0" applyFont="1" applyFill="1" applyBorder="1" applyAlignment="1">
      <alignment horizontal="left" vertical="top" wrapText="1"/>
    </xf>
    <xf numFmtId="0" fontId="1957" fillId="5" borderId="3" xfId="0" applyFont="1" applyFill="1" applyBorder="1" applyAlignment="1">
      <alignment horizontal="left" vertical="top" wrapText="1"/>
    </xf>
    <xf numFmtId="0" fontId="1958" fillId="5" borderId="3" xfId="0" applyFont="1" applyFill="1" applyBorder="1" applyAlignment="1">
      <alignment horizontal="left" vertical="top" wrapText="1"/>
    </xf>
    <xf numFmtId="0" fontId="1959" fillId="5" borderId="3" xfId="0" applyFont="1" applyFill="1" applyBorder="1" applyAlignment="1">
      <alignment horizontal="left" vertical="top" wrapText="1"/>
    </xf>
    <xf numFmtId="0" fontId="1960" fillId="5" borderId="3" xfId="0" applyFont="1" applyFill="1" applyBorder="1" applyAlignment="1">
      <alignment horizontal="left" vertical="top" wrapText="1"/>
    </xf>
    <xf numFmtId="0" fontId="1961" fillId="5" borderId="3" xfId="0" applyFont="1" applyFill="1" applyBorder="1" applyAlignment="1">
      <alignment horizontal="left" vertical="top" wrapText="1"/>
    </xf>
    <xf numFmtId="0" fontId="1962" fillId="5" borderId="3" xfId="0" applyFont="1" applyFill="1" applyBorder="1" applyAlignment="1">
      <alignment horizontal="left" vertical="top" wrapText="1"/>
    </xf>
    <xf numFmtId="0" fontId="1964" fillId="5" borderId="3" xfId="0" applyFont="1" applyFill="1" applyBorder="1" applyAlignment="1">
      <alignment horizontal="left" vertical="top" wrapText="1"/>
    </xf>
    <xf numFmtId="0" fontId="1965" fillId="5" borderId="3" xfId="0" applyFont="1" applyFill="1" applyBorder="1" applyAlignment="1">
      <alignment horizontal="left" vertical="top" wrapText="1"/>
    </xf>
    <xf numFmtId="0" fontId="1966" fillId="5" borderId="3" xfId="0" applyFont="1" applyFill="1" applyBorder="1" applyAlignment="1">
      <alignment horizontal="left" vertical="top" wrapText="1"/>
    </xf>
    <xf numFmtId="0" fontId="1967" fillId="5" borderId="3" xfId="0" applyFont="1" applyFill="1" applyBorder="1" applyAlignment="1">
      <alignment horizontal="left" vertical="top" wrapText="1"/>
    </xf>
    <xf numFmtId="0" fontId="1968" fillId="5" borderId="3" xfId="0" applyFont="1" applyFill="1" applyBorder="1" applyAlignment="1">
      <alignment horizontal="left" vertical="top" wrapText="1"/>
    </xf>
    <xf numFmtId="0" fontId="1969" fillId="5" borderId="3" xfId="0" applyFont="1" applyFill="1" applyBorder="1" applyAlignment="1">
      <alignment horizontal="left" vertical="top" wrapText="1"/>
    </xf>
    <xf numFmtId="0" fontId="1970" fillId="5" borderId="3" xfId="0" applyFont="1" applyFill="1" applyBorder="1" applyAlignment="1">
      <alignment horizontal="left" vertical="top" wrapText="1"/>
    </xf>
    <xf numFmtId="0" fontId="1971" fillId="5" borderId="3" xfId="0" applyFont="1" applyFill="1" applyBorder="1" applyAlignment="1">
      <alignment horizontal="left" vertical="top" wrapText="1"/>
    </xf>
    <xf numFmtId="0" fontId="1972" fillId="5" borderId="3" xfId="0" applyFont="1" applyFill="1" applyBorder="1" applyAlignment="1">
      <alignment horizontal="left" vertical="top" wrapText="1"/>
    </xf>
    <xf numFmtId="0" fontId="1973" fillId="5" borderId="3" xfId="0" applyFont="1" applyFill="1" applyBorder="1" applyAlignment="1">
      <alignment horizontal="left" vertical="top" wrapText="1"/>
    </xf>
    <xf numFmtId="0" fontId="1974" fillId="5" borderId="3" xfId="0" applyFont="1" applyFill="1" applyBorder="1" applyAlignment="1">
      <alignment horizontal="left" vertical="top" wrapText="1"/>
    </xf>
    <xf numFmtId="0" fontId="1975" fillId="5" borderId="3" xfId="0" applyFont="1" applyFill="1" applyBorder="1" applyAlignment="1">
      <alignment horizontal="center" vertical="top"/>
    </xf>
    <xf numFmtId="0" fontId="1976" fillId="5" borderId="3" xfId="0" applyFont="1" applyFill="1" applyBorder="1" applyAlignment="1">
      <alignment horizontal="left" vertical="top" wrapText="1"/>
    </xf>
    <xf numFmtId="0" fontId="1978" fillId="0" borderId="0" xfId="0" applyFont="1"/>
    <xf numFmtId="0" fontId="1" fillId="0" borderId="0" xfId="0" applyFont="1"/>
    <xf numFmtId="0" fontId="0" fillId="0" borderId="0" xfId="0" applyAlignment="1">
      <alignment horizontal="center" vertical="center" wrapText="1"/>
    </xf>
    <xf numFmtId="0" fontId="1979" fillId="0" borderId="0" xfId="0" applyFont="1" applyAlignment="1">
      <alignment horizontal="center" vertical="center" wrapText="1"/>
    </xf>
    <xf numFmtId="0" fontId="1978" fillId="0" borderId="0" xfId="0" applyFont="1" applyAlignment="1">
      <alignment horizontal="center" vertical="center" wrapText="1"/>
    </xf>
    <xf numFmtId="0" fontId="5" fillId="0" borderId="0" xfId="0" applyFont="1" applyAlignment="1">
      <alignment horizontal="center"/>
    </xf>
    <xf numFmtId="0" fontId="1980" fillId="5" borderId="3" xfId="0" applyFont="1" applyFill="1" applyBorder="1" applyAlignment="1">
      <alignment horizontal="left" vertical="top" wrapText="1"/>
    </xf>
    <xf numFmtId="165" fontId="448" fillId="5" borderId="3" xfId="8" applyNumberFormat="1" applyFont="1" applyFill="1" applyBorder="1" applyAlignment="1">
      <alignment horizontal="left" vertical="top" wrapText="1"/>
    </xf>
    <xf numFmtId="165" fontId="145" fillId="5" borderId="3" xfId="8" applyNumberFormat="1" applyFont="1" applyFill="1" applyBorder="1" applyAlignment="1">
      <alignment horizontal="left" vertical="top" wrapText="1"/>
    </xf>
    <xf numFmtId="165" fontId="88" fillId="5" borderId="3" xfId="8" applyNumberFormat="1" applyFont="1" applyFill="1" applyBorder="1" applyAlignment="1">
      <alignment horizontal="left" vertical="top" wrapText="1"/>
    </xf>
    <xf numFmtId="165" fontId="89" fillId="5" borderId="3" xfId="8" applyNumberFormat="1" applyFont="1" applyFill="1" applyBorder="1" applyAlignment="1">
      <alignment horizontal="left" vertical="top" wrapText="1"/>
    </xf>
    <xf numFmtId="165" fontId="449" fillId="5" borderId="3" xfId="8" applyNumberFormat="1" applyFont="1" applyFill="1" applyBorder="1" applyAlignment="1">
      <alignment horizontal="left" vertical="top" wrapText="1"/>
    </xf>
    <xf numFmtId="165" fontId="278" fillId="5" borderId="3" xfId="8" applyNumberFormat="1" applyFont="1" applyFill="1" applyBorder="1" applyAlignment="1">
      <alignment horizontal="left" vertical="top" wrapText="1"/>
    </xf>
    <xf numFmtId="165" fontId="90" fillId="5" borderId="3" xfId="8" applyNumberFormat="1" applyFont="1" applyFill="1" applyBorder="1" applyAlignment="1">
      <alignment horizontal="left" vertical="top" wrapText="1"/>
    </xf>
    <xf numFmtId="165" fontId="364" fillId="5" borderId="3" xfId="8" applyNumberFormat="1" applyFont="1" applyFill="1" applyBorder="1" applyAlignment="1">
      <alignment horizontal="left" vertical="top" wrapText="1"/>
    </xf>
    <xf numFmtId="165" fontId="91" fillId="5" borderId="3" xfId="8" applyNumberFormat="1" applyFont="1" applyFill="1" applyBorder="1" applyAlignment="1">
      <alignment horizontal="left" vertical="top" wrapText="1"/>
    </xf>
    <xf numFmtId="165" fontId="92" fillId="5" borderId="3" xfId="8" applyNumberFormat="1" applyFont="1" applyFill="1" applyBorder="1" applyAlignment="1">
      <alignment horizontal="left" vertical="top" wrapText="1"/>
    </xf>
    <xf numFmtId="165" fontId="279" fillId="5" borderId="3" xfId="8" applyNumberFormat="1" applyFont="1" applyFill="1" applyBorder="1" applyAlignment="1">
      <alignment horizontal="left" vertical="top" wrapText="1"/>
    </xf>
    <xf numFmtId="165" fontId="93" fillId="5" borderId="3" xfId="8" applyNumberFormat="1" applyFont="1" applyFill="1" applyBorder="1" applyAlignment="1">
      <alignment horizontal="left" vertical="top" wrapText="1"/>
    </xf>
    <xf numFmtId="165" fontId="280" fillId="5" borderId="3" xfId="8" applyNumberFormat="1" applyFont="1" applyFill="1" applyBorder="1" applyAlignment="1">
      <alignment horizontal="left" vertical="top" wrapText="1"/>
    </xf>
    <xf numFmtId="165" fontId="94" fillId="5" borderId="3" xfId="8" applyNumberFormat="1" applyFont="1" applyFill="1" applyBorder="1" applyAlignment="1">
      <alignment horizontal="left" vertical="top" wrapText="1"/>
    </xf>
    <xf numFmtId="165" fontId="95" fillId="5" borderId="3" xfId="8" applyNumberFormat="1" applyFont="1" applyFill="1" applyBorder="1" applyAlignment="1">
      <alignment horizontal="left" vertical="top" wrapText="1"/>
    </xf>
    <xf numFmtId="165" fontId="96" fillId="5" borderId="3" xfId="8" applyNumberFormat="1" applyFont="1" applyFill="1" applyBorder="1" applyAlignment="1">
      <alignment horizontal="left" vertical="top" wrapText="1"/>
    </xf>
    <xf numFmtId="165" fontId="97" fillId="5" borderId="3" xfId="8" applyNumberFormat="1" applyFont="1" applyFill="1" applyBorder="1" applyAlignment="1">
      <alignment horizontal="left" vertical="top" wrapText="1"/>
    </xf>
    <xf numFmtId="165" fontId="365" fillId="5" borderId="3" xfId="8" applyNumberFormat="1" applyFont="1" applyFill="1" applyBorder="1" applyAlignment="1">
      <alignment horizontal="left" vertical="top" wrapText="1"/>
    </xf>
    <xf numFmtId="165" fontId="362" fillId="5" borderId="3" xfId="8" applyNumberFormat="1" applyFont="1" applyFill="1" applyBorder="1" applyAlignment="1">
      <alignment horizontal="left" vertical="top" wrapText="1"/>
    </xf>
    <xf numFmtId="165" fontId="98" fillId="5" borderId="3" xfId="8" applyNumberFormat="1" applyFont="1" applyFill="1" applyBorder="1" applyAlignment="1">
      <alignment horizontal="left" vertical="top" wrapText="1"/>
    </xf>
    <xf numFmtId="165" fontId="99" fillId="5" borderId="3" xfId="8" applyNumberFormat="1" applyFont="1" applyFill="1" applyBorder="1" applyAlignment="1">
      <alignment horizontal="left" vertical="top" wrapText="1"/>
    </xf>
    <xf numFmtId="165" fontId="100" fillId="5" borderId="3" xfId="8" applyNumberFormat="1" applyFont="1" applyFill="1" applyBorder="1" applyAlignment="1">
      <alignment horizontal="left" vertical="top" wrapText="1"/>
    </xf>
    <xf numFmtId="165" fontId="101" fillId="5" borderId="3" xfId="8" applyNumberFormat="1" applyFont="1" applyFill="1" applyBorder="1" applyAlignment="1">
      <alignment horizontal="left" vertical="top" wrapText="1"/>
    </xf>
    <xf numFmtId="165" fontId="366" fillId="5" borderId="3" xfId="8" applyNumberFormat="1" applyFont="1" applyFill="1" applyBorder="1" applyAlignment="1">
      <alignment horizontal="left" vertical="top" wrapText="1"/>
    </xf>
    <xf numFmtId="165" fontId="367" fillId="5" borderId="3" xfId="8" applyNumberFormat="1" applyFont="1" applyFill="1" applyBorder="1" applyAlignment="1">
      <alignment horizontal="left" vertical="top" wrapText="1"/>
    </xf>
    <xf numFmtId="165" fontId="102" fillId="5" borderId="3" xfId="8" applyNumberFormat="1" applyFont="1" applyFill="1" applyBorder="1" applyAlignment="1">
      <alignment horizontal="left" vertical="top" wrapText="1"/>
    </xf>
    <xf numFmtId="165" fontId="79" fillId="5" borderId="3" xfId="8" applyNumberFormat="1" applyFont="1" applyFill="1" applyBorder="1" applyAlignment="1">
      <alignment horizontal="left" vertical="top" wrapText="1"/>
    </xf>
    <xf numFmtId="165" fontId="103" fillId="5" borderId="3" xfId="8" applyNumberFormat="1" applyFont="1" applyFill="1" applyBorder="1" applyAlignment="1">
      <alignment horizontal="left" vertical="top" wrapText="1"/>
    </xf>
    <xf numFmtId="165" fontId="281" fillId="5" borderId="3" xfId="8" applyNumberFormat="1" applyFont="1" applyFill="1" applyBorder="1" applyAlignment="1">
      <alignment horizontal="left" vertical="top" wrapText="1"/>
    </xf>
    <xf numFmtId="165" fontId="80" fillId="5" borderId="3" xfId="8" applyNumberFormat="1" applyFont="1" applyFill="1" applyBorder="1" applyAlignment="1">
      <alignment horizontal="left" vertical="top" wrapText="1"/>
    </xf>
    <xf numFmtId="165" fontId="81" fillId="5" borderId="3" xfId="8" applyNumberFormat="1" applyFont="1" applyFill="1" applyBorder="1" applyAlignment="1">
      <alignment horizontal="left" vertical="top" wrapText="1"/>
    </xf>
    <xf numFmtId="165" fontId="104" fillId="5" borderId="3" xfId="8" applyNumberFormat="1" applyFont="1" applyFill="1" applyBorder="1" applyAlignment="1">
      <alignment horizontal="left" vertical="top" wrapText="1"/>
    </xf>
    <xf numFmtId="165" fontId="105" fillId="5" borderId="3" xfId="8" applyNumberFormat="1" applyFont="1" applyFill="1" applyBorder="1" applyAlignment="1">
      <alignment horizontal="left" vertical="top" wrapText="1"/>
    </xf>
    <xf numFmtId="165" fontId="106" fillId="5" borderId="3" xfId="8" applyNumberFormat="1" applyFont="1" applyFill="1" applyBorder="1" applyAlignment="1">
      <alignment horizontal="left" vertical="top" wrapText="1"/>
    </xf>
    <xf numFmtId="165" fontId="282" fillId="5" borderId="3" xfId="8" applyNumberFormat="1" applyFont="1" applyFill="1" applyBorder="1" applyAlignment="1">
      <alignment horizontal="left" vertical="top" wrapText="1"/>
    </xf>
    <xf numFmtId="165" fontId="283" fillId="5" borderId="3" xfId="8" applyNumberFormat="1" applyFont="1" applyFill="1" applyBorder="1" applyAlignment="1">
      <alignment horizontal="left" vertical="top" wrapText="1"/>
    </xf>
    <xf numFmtId="165" fontId="107" fillId="5" borderId="3" xfId="8" applyNumberFormat="1" applyFont="1" applyFill="1" applyBorder="1" applyAlignment="1">
      <alignment horizontal="left" vertical="top" wrapText="1"/>
    </xf>
    <xf numFmtId="165" fontId="284" fillId="5" borderId="3" xfId="8" applyNumberFormat="1" applyFont="1" applyFill="1" applyBorder="1" applyAlignment="1">
      <alignment horizontal="left" vertical="top" wrapText="1"/>
    </xf>
    <xf numFmtId="165" fontId="285" fillId="5" borderId="3" xfId="8" applyNumberFormat="1" applyFont="1" applyFill="1" applyBorder="1" applyAlignment="1">
      <alignment horizontal="left" vertical="top" wrapText="1"/>
    </xf>
    <xf numFmtId="165" fontId="108" fillId="5" borderId="3" xfId="8" applyNumberFormat="1" applyFont="1" applyFill="1" applyBorder="1" applyAlignment="1">
      <alignment horizontal="left" vertical="top" wrapText="1"/>
    </xf>
    <xf numFmtId="165" fontId="109" fillId="5" borderId="3" xfId="8" applyNumberFormat="1" applyFont="1" applyFill="1" applyBorder="1" applyAlignment="1">
      <alignment horizontal="left" vertical="top" wrapText="1"/>
    </xf>
    <xf numFmtId="165" fontId="82" fillId="5" borderId="3" xfId="8" applyNumberFormat="1" applyFont="1" applyFill="1" applyBorder="1" applyAlignment="1">
      <alignment horizontal="left" vertical="top" wrapText="1"/>
    </xf>
    <xf numFmtId="165" fontId="286" fillId="5" borderId="3" xfId="8" applyNumberFormat="1" applyFont="1" applyFill="1" applyBorder="1" applyAlignment="1">
      <alignment horizontal="left" vertical="top" wrapText="1"/>
    </xf>
    <xf numFmtId="165" fontId="110" fillId="5" borderId="3" xfId="8" applyNumberFormat="1" applyFont="1" applyFill="1" applyBorder="1" applyAlignment="1">
      <alignment horizontal="left" vertical="top" wrapText="1"/>
    </xf>
    <xf numFmtId="165" fontId="83" fillId="5" borderId="3" xfId="8" applyNumberFormat="1" applyFont="1" applyFill="1" applyBorder="1" applyAlignment="1">
      <alignment horizontal="left" vertical="top" wrapText="1"/>
    </xf>
    <xf numFmtId="165" fontId="287" fillId="5" borderId="3" xfId="8" applyNumberFormat="1" applyFont="1" applyFill="1" applyBorder="1" applyAlignment="1">
      <alignment horizontal="left" vertical="top" wrapText="1"/>
    </xf>
    <xf numFmtId="165" fontId="288" fillId="5" borderId="3" xfId="8" applyNumberFormat="1" applyFont="1" applyFill="1" applyBorder="1" applyAlignment="1">
      <alignment horizontal="left" vertical="top" wrapText="1"/>
    </xf>
    <xf numFmtId="165" fontId="424" fillId="5" borderId="3" xfId="8" applyNumberFormat="1" applyFont="1" applyFill="1" applyBorder="1" applyAlignment="1">
      <alignment horizontal="left" vertical="top" wrapText="1"/>
    </xf>
    <xf numFmtId="165" fontId="425" fillId="5" borderId="3" xfId="8" applyNumberFormat="1" applyFont="1" applyFill="1" applyBorder="1" applyAlignment="1">
      <alignment horizontal="left" vertical="top" wrapText="1"/>
    </xf>
    <xf numFmtId="165" fontId="426" fillId="5" borderId="3" xfId="8" applyNumberFormat="1" applyFont="1" applyFill="1" applyBorder="1" applyAlignment="1">
      <alignment horizontal="left" vertical="top" wrapText="1"/>
    </xf>
    <xf numFmtId="165" fontId="427" fillId="5" borderId="3" xfId="8" applyNumberFormat="1" applyFont="1" applyFill="1" applyBorder="1" applyAlignment="1">
      <alignment horizontal="left" vertical="top" wrapText="1"/>
    </xf>
    <xf numFmtId="165" fontId="84" fillId="5" borderId="3" xfId="8" applyNumberFormat="1" applyFont="1" applyFill="1" applyBorder="1" applyAlignment="1">
      <alignment horizontal="left" vertical="top" wrapText="1"/>
    </xf>
    <xf numFmtId="165" fontId="270" fillId="5" borderId="3" xfId="8" applyNumberFormat="1" applyFont="1" applyFill="1" applyBorder="1" applyAlignment="1">
      <alignment horizontal="left" vertical="top" wrapText="1"/>
    </xf>
    <xf numFmtId="165" fontId="271" fillId="5" borderId="3" xfId="8" applyNumberFormat="1" applyFont="1" applyFill="1" applyBorder="1" applyAlignment="1">
      <alignment horizontal="left" vertical="top" wrapText="1"/>
    </xf>
    <xf numFmtId="165" fontId="272" fillId="5" borderId="3" xfId="8" applyNumberFormat="1" applyFont="1" applyFill="1" applyBorder="1" applyAlignment="1">
      <alignment horizontal="left" vertical="top" wrapText="1"/>
    </xf>
    <xf numFmtId="165" fontId="76" fillId="5" borderId="3" xfId="8" applyNumberFormat="1" applyFont="1" applyFill="1" applyBorder="1" applyAlignment="1">
      <alignment horizontal="left" vertical="top" wrapText="1"/>
    </xf>
    <xf numFmtId="165" fontId="77" fillId="5" borderId="3" xfId="8" applyNumberFormat="1" applyFont="1" applyFill="1" applyBorder="1" applyAlignment="1">
      <alignment horizontal="left" vertical="top" wrapText="1"/>
    </xf>
    <xf numFmtId="165" fontId="78" fillId="5" borderId="3" xfId="8" applyNumberFormat="1" applyFont="1" applyFill="1" applyBorder="1" applyAlignment="1">
      <alignment horizontal="left" vertical="top" wrapText="1"/>
    </xf>
    <xf numFmtId="165" fontId="328" fillId="5" borderId="3" xfId="8" applyNumberFormat="1" applyFont="1" applyFill="1" applyBorder="1" applyAlignment="1">
      <alignment horizontal="left" vertical="top" wrapText="1"/>
    </xf>
    <xf numFmtId="165" fontId="329" fillId="5" borderId="3" xfId="8" applyNumberFormat="1" applyFont="1" applyFill="1" applyBorder="1" applyAlignment="1">
      <alignment horizontal="left" vertical="top" wrapText="1"/>
    </xf>
    <xf numFmtId="165" fontId="129" fillId="5" borderId="3" xfId="8" applyNumberFormat="1" applyFont="1" applyFill="1" applyBorder="1" applyAlignment="1">
      <alignment horizontal="left" vertical="top" wrapText="1"/>
    </xf>
    <xf numFmtId="165" fontId="130" fillId="5" borderId="3" xfId="8" applyNumberFormat="1" applyFont="1" applyFill="1" applyBorder="1" applyAlignment="1">
      <alignment horizontal="left" vertical="top" wrapText="1"/>
    </xf>
    <xf numFmtId="165" fontId="131" fillId="5" borderId="3" xfId="8" applyNumberFormat="1" applyFont="1" applyFill="1" applyBorder="1" applyAlignment="1">
      <alignment horizontal="left" vertical="top" wrapText="1"/>
    </xf>
    <xf numFmtId="165" fontId="132" fillId="5" borderId="3" xfId="8" applyNumberFormat="1" applyFont="1" applyFill="1" applyBorder="1" applyAlignment="1">
      <alignment horizontal="left" vertical="top" wrapText="1"/>
    </xf>
    <xf numFmtId="165" fontId="133" fillId="5" borderId="3" xfId="8" applyNumberFormat="1" applyFont="1" applyFill="1" applyBorder="1" applyAlignment="1">
      <alignment horizontal="left" vertical="top" wrapText="1"/>
    </xf>
    <xf numFmtId="165" fontId="134" fillId="5" borderId="3" xfId="8" applyNumberFormat="1" applyFont="1" applyFill="1" applyBorder="1" applyAlignment="1">
      <alignment horizontal="left" vertical="top" wrapText="1"/>
    </xf>
    <xf numFmtId="165" fontId="135" fillId="5" borderId="3" xfId="8" applyNumberFormat="1" applyFont="1" applyFill="1" applyBorder="1" applyAlignment="1">
      <alignment horizontal="left" vertical="top" wrapText="1"/>
    </xf>
    <xf numFmtId="165" fontId="289" fillId="5" borderId="3" xfId="8" applyNumberFormat="1" applyFont="1" applyFill="1" applyBorder="1" applyAlignment="1">
      <alignment horizontal="left" vertical="top" wrapText="1"/>
    </xf>
    <xf numFmtId="165" fontId="290" fillId="5" borderId="3" xfId="8" applyNumberFormat="1" applyFont="1" applyFill="1" applyBorder="1" applyAlignment="1">
      <alignment horizontal="left" vertical="top" wrapText="1"/>
    </xf>
    <xf numFmtId="165" fontId="136" fillId="5" borderId="3" xfId="8" applyNumberFormat="1" applyFont="1" applyFill="1" applyBorder="1" applyAlignment="1">
      <alignment horizontal="left" vertical="top" wrapText="1"/>
    </xf>
    <xf numFmtId="165" fontId="368" fillId="5" borderId="3" xfId="8" applyNumberFormat="1" applyFont="1" applyFill="1" applyBorder="1" applyAlignment="1">
      <alignment horizontal="left" vertical="top" wrapText="1"/>
    </xf>
    <xf numFmtId="165" fontId="291" fillId="5" borderId="3" xfId="8" applyNumberFormat="1" applyFont="1" applyFill="1" applyBorder="1" applyAlignment="1">
      <alignment horizontal="left" vertical="top" wrapText="1"/>
    </xf>
    <xf numFmtId="165" fontId="369" fillId="5" borderId="3" xfId="8" applyNumberFormat="1" applyFont="1" applyFill="1" applyBorder="1" applyAlignment="1">
      <alignment horizontal="left" vertical="top" wrapText="1"/>
    </xf>
    <xf numFmtId="165" fontId="137" fillId="5" borderId="3" xfId="8" applyNumberFormat="1" applyFont="1" applyFill="1" applyBorder="1" applyAlignment="1">
      <alignment horizontal="left" vertical="top" wrapText="1"/>
    </xf>
    <xf numFmtId="165" fontId="138" fillId="5" borderId="3" xfId="8" applyNumberFormat="1" applyFont="1" applyFill="1" applyBorder="1" applyAlignment="1">
      <alignment horizontal="left" vertical="top" wrapText="1"/>
    </xf>
    <xf numFmtId="165" fontId="143" fillId="5" borderId="3" xfId="8" applyNumberFormat="1" applyFont="1" applyFill="1" applyBorder="1" applyAlignment="1">
      <alignment horizontal="left" vertical="top" wrapText="1"/>
    </xf>
    <xf numFmtId="165" fontId="219" fillId="5" borderId="3" xfId="8" applyNumberFormat="1" applyFont="1" applyFill="1" applyBorder="1" applyAlignment="1">
      <alignment horizontal="left" vertical="top" wrapText="1"/>
    </xf>
    <xf numFmtId="165" fontId="292" fillId="5" borderId="3" xfId="8" applyNumberFormat="1" applyFont="1" applyFill="1" applyBorder="1" applyAlignment="1">
      <alignment horizontal="left" vertical="top" wrapText="1"/>
    </xf>
    <xf numFmtId="165" fontId="139" fillId="5" borderId="3" xfId="8" applyNumberFormat="1" applyFont="1" applyFill="1" applyBorder="1" applyAlignment="1">
      <alignment horizontal="left" vertical="top" wrapText="1"/>
    </xf>
    <xf numFmtId="165" fontId="140" fillId="5" borderId="3" xfId="8" applyNumberFormat="1" applyFont="1" applyFill="1" applyBorder="1" applyAlignment="1">
      <alignment horizontal="left" vertical="top" wrapText="1"/>
    </xf>
    <xf numFmtId="165" fontId="142" fillId="5" borderId="3" xfId="8" applyNumberFormat="1" applyFont="1" applyFill="1" applyBorder="1" applyAlignment="1">
      <alignment horizontal="left" vertical="top" wrapText="1"/>
    </xf>
    <xf numFmtId="165" fontId="141" fillId="5" borderId="3" xfId="8" applyNumberFormat="1" applyFont="1" applyFill="1" applyBorder="1" applyAlignment="1">
      <alignment horizontal="left" vertical="top" wrapText="1"/>
    </xf>
    <xf numFmtId="165" fontId="356" fillId="5" borderId="3" xfId="8" applyNumberFormat="1" applyFont="1" applyFill="1" applyBorder="1" applyAlignment="1">
      <alignment horizontal="left" vertical="top" wrapText="1"/>
    </xf>
    <xf numFmtId="165" fontId="341" fillId="5" borderId="3" xfId="8" applyNumberFormat="1" applyFont="1" applyFill="1" applyBorder="1" applyAlignment="1">
      <alignment horizontal="left" vertical="top" wrapText="1"/>
    </xf>
    <xf numFmtId="165" fontId="342" fillId="5" borderId="3" xfId="8" applyNumberFormat="1" applyFont="1" applyFill="1" applyBorder="1" applyAlignment="1">
      <alignment horizontal="left" vertical="top" wrapText="1"/>
    </xf>
    <xf numFmtId="165" fontId="343" fillId="5" borderId="3" xfId="8" applyNumberFormat="1" applyFont="1" applyFill="1" applyBorder="1" applyAlignment="1">
      <alignment horizontal="left" vertical="top" wrapText="1"/>
    </xf>
    <xf numFmtId="165" fontId="344" fillId="5" borderId="3" xfId="8" applyNumberFormat="1" applyFont="1" applyFill="1" applyBorder="1" applyAlignment="1">
      <alignment horizontal="left" vertical="top" wrapText="1"/>
    </xf>
    <xf numFmtId="165" fontId="345" fillId="5" borderId="3" xfId="8" applyNumberFormat="1" applyFont="1" applyFill="1" applyBorder="1" applyAlignment="1">
      <alignment horizontal="left" vertical="top" wrapText="1"/>
    </xf>
    <xf numFmtId="165" fontId="357" fillId="5" borderId="3" xfId="8" applyNumberFormat="1" applyFont="1" applyFill="1" applyBorder="1" applyAlignment="1">
      <alignment horizontal="left" vertical="top" wrapText="1"/>
    </xf>
    <xf numFmtId="165" fontId="346" fillId="5" borderId="3" xfId="8" applyNumberFormat="1" applyFont="1" applyFill="1" applyBorder="1" applyAlignment="1">
      <alignment horizontal="left" vertical="top" wrapText="1"/>
    </xf>
    <xf numFmtId="165" fontId="277" fillId="5" borderId="3" xfId="8" applyNumberFormat="1" applyFont="1" applyFill="1" applyBorder="1" applyAlignment="1">
      <alignment horizontal="left" vertical="top" wrapText="1"/>
    </xf>
    <xf numFmtId="165" fontId="358" fillId="5" borderId="3" xfId="8" applyNumberFormat="1" applyFont="1" applyFill="1" applyBorder="1" applyAlignment="1">
      <alignment horizontal="left" vertical="top" wrapText="1"/>
    </xf>
    <xf numFmtId="165" fontId="220" fillId="5" borderId="3" xfId="8" applyNumberFormat="1" applyFont="1" applyFill="1" applyBorder="1" applyAlignment="1">
      <alignment horizontal="left" vertical="top" wrapText="1"/>
    </xf>
    <xf numFmtId="165" fontId="359" fillId="5" borderId="3" xfId="8" applyNumberFormat="1" applyFont="1" applyFill="1" applyBorder="1" applyAlignment="1">
      <alignment horizontal="left" vertical="top" wrapText="1"/>
    </xf>
    <xf numFmtId="165" fontId="86" fillId="5" borderId="3" xfId="8" applyNumberFormat="1" applyFont="1" applyFill="1" applyBorder="1" applyAlignment="1">
      <alignment horizontal="left" vertical="top" wrapText="1"/>
    </xf>
    <xf numFmtId="165" fontId="347" fillId="5" borderId="3" xfId="8" applyNumberFormat="1" applyFont="1" applyFill="1" applyBorder="1" applyAlignment="1">
      <alignment horizontal="left" vertical="top" wrapText="1"/>
    </xf>
    <xf numFmtId="165" fontId="348" fillId="5" borderId="3" xfId="8" applyNumberFormat="1" applyFont="1" applyFill="1" applyBorder="1" applyAlignment="1">
      <alignment horizontal="left" vertical="top" wrapText="1"/>
    </xf>
    <xf numFmtId="165" fontId="360" fillId="5" borderId="3" xfId="8" applyNumberFormat="1" applyFont="1" applyFill="1" applyBorder="1" applyAlignment="1">
      <alignment horizontal="left" vertical="top" wrapText="1"/>
    </xf>
    <xf numFmtId="165" fontId="349" fillId="5" borderId="3" xfId="8" applyNumberFormat="1" applyFont="1" applyFill="1" applyBorder="1" applyAlignment="1">
      <alignment horizontal="left" vertical="top" wrapText="1"/>
    </xf>
    <xf numFmtId="165" fontId="350" fillId="5" borderId="3" xfId="8" applyNumberFormat="1" applyFont="1" applyFill="1" applyBorder="1" applyAlignment="1">
      <alignment horizontal="left" vertical="top" wrapText="1"/>
    </xf>
    <xf numFmtId="165" fontId="351" fillId="5" borderId="3" xfId="8" applyNumberFormat="1" applyFont="1" applyFill="1" applyBorder="1" applyAlignment="1">
      <alignment horizontal="left" vertical="top" wrapText="1"/>
    </xf>
    <xf numFmtId="165" fontId="352" fillId="5" borderId="3" xfId="8" applyNumberFormat="1" applyFont="1" applyFill="1" applyBorder="1" applyAlignment="1">
      <alignment horizontal="left" vertical="top" wrapText="1"/>
    </xf>
    <xf numFmtId="165" fontId="361" fillId="5" borderId="3" xfId="8" applyNumberFormat="1" applyFont="1" applyFill="1" applyBorder="1" applyAlignment="1">
      <alignment horizontal="left" vertical="top" wrapText="1"/>
    </xf>
    <xf numFmtId="165" fontId="353" fillId="5" borderId="3" xfId="8" applyNumberFormat="1" applyFont="1" applyFill="1" applyBorder="1" applyAlignment="1">
      <alignment horizontal="left" vertical="top" wrapText="1"/>
    </xf>
    <xf numFmtId="165" fontId="354" fillId="5" borderId="3" xfId="8" applyNumberFormat="1" applyFont="1" applyFill="1" applyBorder="1" applyAlignment="1">
      <alignment horizontal="left" vertical="top" wrapText="1"/>
    </xf>
    <xf numFmtId="165" fontId="355" fillId="5" borderId="3" xfId="8" applyNumberFormat="1" applyFont="1" applyFill="1" applyBorder="1" applyAlignment="1">
      <alignment horizontal="left" vertical="top" wrapText="1"/>
    </xf>
    <xf numFmtId="165" fontId="74" fillId="5" borderId="3" xfId="8" applyNumberFormat="1" applyFont="1" applyFill="1" applyBorder="1" applyAlignment="1">
      <alignment horizontal="left" vertical="top" wrapText="1"/>
    </xf>
    <xf numFmtId="165" fontId="75" fillId="5" borderId="3" xfId="8" applyNumberFormat="1" applyFont="1" applyFill="1" applyBorder="1" applyAlignment="1">
      <alignment horizontal="left" vertical="top" wrapText="1"/>
    </xf>
    <xf numFmtId="165" fontId="274" fillId="5" borderId="3" xfId="8" applyNumberFormat="1" applyFont="1" applyFill="1" applyBorder="1" applyAlignment="1">
      <alignment horizontal="left" vertical="top" wrapText="1"/>
    </xf>
    <xf numFmtId="165" fontId="573" fillId="5" borderId="3" xfId="8" applyNumberFormat="1" applyFont="1" applyFill="1" applyBorder="1" applyAlignment="1">
      <alignment horizontal="left" vertical="top" wrapText="1"/>
    </xf>
    <xf numFmtId="165" fontId="557" fillId="5" borderId="3" xfId="8" applyNumberFormat="1" applyFont="1" applyFill="1" applyBorder="1" applyAlignment="1">
      <alignment horizontal="left" vertical="top" wrapText="1"/>
    </xf>
    <xf numFmtId="165" fontId="579" fillId="5" borderId="3" xfId="8" applyNumberFormat="1" applyFont="1" applyFill="1" applyBorder="1" applyAlignment="1">
      <alignment horizontal="left" vertical="top" wrapText="1"/>
    </xf>
    <xf numFmtId="165" fontId="558" fillId="5" borderId="3" xfId="8" applyNumberFormat="1" applyFont="1" applyFill="1" applyBorder="1" applyAlignment="1">
      <alignment horizontal="left" vertical="top" wrapText="1"/>
    </xf>
    <xf numFmtId="165" fontId="559" fillId="5" borderId="3" xfId="8" applyNumberFormat="1" applyFont="1" applyFill="1" applyBorder="1" applyAlignment="1">
      <alignment horizontal="left" vertical="top" wrapText="1"/>
    </xf>
    <xf numFmtId="165" fontId="580" fillId="5" borderId="3" xfId="8" applyNumberFormat="1" applyFont="1" applyFill="1" applyBorder="1" applyAlignment="1">
      <alignment horizontal="left" vertical="top" wrapText="1"/>
    </xf>
    <xf numFmtId="165" fontId="576" fillId="5" borderId="3" xfId="8" applyNumberFormat="1" applyFont="1" applyFill="1" applyBorder="1" applyAlignment="1">
      <alignment horizontal="left" vertical="top" wrapText="1"/>
    </xf>
    <xf numFmtId="165" fontId="581" fillId="5" borderId="3" xfId="8" applyNumberFormat="1" applyFont="1" applyFill="1" applyBorder="1" applyAlignment="1">
      <alignment horizontal="left" vertical="top" wrapText="1"/>
    </xf>
    <xf numFmtId="165" fontId="582" fillId="5" borderId="3" xfId="8" applyNumberFormat="1" applyFont="1" applyFill="1" applyBorder="1" applyAlignment="1">
      <alignment horizontal="left" vertical="top" wrapText="1"/>
    </xf>
    <xf numFmtId="165" fontId="583" fillId="5" borderId="3" xfId="8" applyNumberFormat="1" applyFont="1" applyFill="1" applyBorder="1" applyAlignment="1">
      <alignment horizontal="left" vertical="top" wrapText="1"/>
    </xf>
    <xf numFmtId="165" fontId="560" fillId="5" borderId="3" xfId="8" applyNumberFormat="1" applyFont="1" applyFill="1" applyBorder="1" applyAlignment="1">
      <alignment horizontal="left" vertical="top" wrapText="1"/>
    </xf>
    <xf numFmtId="165" fontId="577" fillId="5" borderId="3" xfId="8" applyNumberFormat="1" applyFont="1" applyFill="1" applyBorder="1" applyAlignment="1">
      <alignment horizontal="left" vertical="top" wrapText="1"/>
    </xf>
    <xf numFmtId="165" fontId="584" fillId="5" borderId="3" xfId="8" applyNumberFormat="1" applyFont="1" applyFill="1" applyBorder="1" applyAlignment="1">
      <alignment horizontal="left" vertical="top" wrapText="1"/>
    </xf>
    <xf numFmtId="165" fontId="585" fillId="5" borderId="3" xfId="8" applyNumberFormat="1" applyFont="1" applyFill="1" applyBorder="1" applyAlignment="1">
      <alignment horizontal="left" vertical="top" wrapText="1"/>
    </xf>
    <xf numFmtId="165" fontId="578" fillId="5" borderId="3" xfId="8" applyNumberFormat="1" applyFont="1" applyFill="1" applyBorder="1" applyAlignment="1">
      <alignment horizontal="left" vertical="top" wrapText="1"/>
    </xf>
    <xf numFmtId="165" fontId="561" fillId="5" borderId="3" xfId="8" applyNumberFormat="1" applyFont="1" applyFill="1" applyBorder="1" applyAlignment="1">
      <alignment horizontal="left" vertical="top" wrapText="1"/>
    </xf>
    <xf numFmtId="165" fontId="586" fillId="5" borderId="3" xfId="8" applyNumberFormat="1" applyFont="1" applyFill="1" applyBorder="1" applyAlignment="1">
      <alignment horizontal="left" vertical="top" wrapText="1"/>
    </xf>
    <xf numFmtId="165" fontId="562" fillId="5" borderId="3" xfId="8" applyNumberFormat="1" applyFont="1" applyFill="1" applyBorder="1" applyAlignment="1">
      <alignment horizontal="left" vertical="top" wrapText="1"/>
    </xf>
    <xf numFmtId="165" fontId="563" fillId="5" borderId="3" xfId="8" applyNumberFormat="1" applyFont="1" applyFill="1" applyBorder="1" applyAlignment="1">
      <alignment horizontal="left" vertical="top" wrapText="1"/>
    </xf>
    <xf numFmtId="165" fontId="587" fillId="5" borderId="3" xfId="8" applyNumberFormat="1" applyFont="1" applyFill="1" applyBorder="1" applyAlignment="1">
      <alignment horizontal="left" vertical="top" wrapText="1"/>
    </xf>
    <xf numFmtId="165" fontId="564" fillId="5" borderId="3" xfId="8" applyNumberFormat="1" applyFont="1" applyFill="1" applyBorder="1" applyAlignment="1">
      <alignment horizontal="left" vertical="top" wrapText="1"/>
    </xf>
    <xf numFmtId="165" fontId="565" fillId="5" borderId="3" xfId="8" applyNumberFormat="1" applyFont="1" applyFill="1" applyBorder="1" applyAlignment="1">
      <alignment horizontal="left" vertical="top" wrapText="1"/>
    </xf>
    <xf numFmtId="165" fontId="588" fillId="5" borderId="3" xfId="8" applyNumberFormat="1" applyFont="1" applyFill="1" applyBorder="1" applyAlignment="1">
      <alignment horizontal="left" vertical="top" wrapText="1"/>
    </xf>
    <xf numFmtId="165" fontId="589" fillId="5" borderId="3" xfId="8" applyNumberFormat="1" applyFont="1" applyFill="1" applyBorder="1" applyAlignment="1">
      <alignment horizontal="left" vertical="top" wrapText="1"/>
    </xf>
    <xf numFmtId="165" fontId="566" fillId="5" borderId="3" xfId="8" applyNumberFormat="1" applyFont="1" applyFill="1" applyBorder="1" applyAlignment="1">
      <alignment horizontal="left" vertical="top" wrapText="1"/>
    </xf>
    <xf numFmtId="165" fontId="590" fillId="5" borderId="3" xfId="8" applyNumberFormat="1" applyFont="1" applyFill="1" applyBorder="1" applyAlignment="1">
      <alignment horizontal="left" vertical="top" wrapText="1"/>
    </xf>
    <xf numFmtId="165" fontId="591" fillId="5" borderId="3" xfId="8" applyNumberFormat="1" applyFont="1" applyFill="1" applyBorder="1" applyAlignment="1">
      <alignment horizontal="left" vertical="top" wrapText="1"/>
    </xf>
    <xf numFmtId="165" fontId="567" fillId="5" borderId="3" xfId="8" applyNumberFormat="1" applyFont="1" applyFill="1" applyBorder="1" applyAlignment="1">
      <alignment horizontal="left" vertical="top" wrapText="1"/>
    </xf>
    <xf numFmtId="165" fontId="592" fillId="5" borderId="3" xfId="8" applyNumberFormat="1" applyFont="1" applyFill="1" applyBorder="1" applyAlignment="1">
      <alignment horizontal="left" vertical="top" wrapText="1"/>
    </xf>
    <xf numFmtId="165" fontId="568" fillId="5" borderId="3" xfId="8" applyNumberFormat="1" applyFont="1" applyFill="1" applyBorder="1" applyAlignment="1">
      <alignment horizontal="left" vertical="top" wrapText="1"/>
    </xf>
    <xf numFmtId="165" fontId="968" fillId="5" borderId="3" xfId="8" applyNumberFormat="1" applyFont="1" applyFill="1" applyBorder="1" applyAlignment="1">
      <alignment horizontal="left" vertical="top" wrapText="1"/>
    </xf>
    <xf numFmtId="165" fontId="817" fillId="5" borderId="3" xfId="8" applyNumberFormat="1" applyFont="1" applyFill="1" applyBorder="1" applyAlignment="1">
      <alignment horizontal="left" vertical="top" wrapText="1"/>
    </xf>
    <xf numFmtId="165" fontId="836" fillId="5" borderId="3" xfId="8" applyNumberFormat="1" applyFont="1" applyFill="1" applyBorder="1" applyAlignment="1">
      <alignment horizontal="left" vertical="top" wrapText="1"/>
    </xf>
    <xf numFmtId="165" fontId="837" fillId="5" borderId="3" xfId="8" applyNumberFormat="1" applyFont="1" applyFill="1" applyBorder="1" applyAlignment="1">
      <alignment horizontal="left" vertical="top" wrapText="1"/>
    </xf>
    <xf numFmtId="165" fontId="838" fillId="5" borderId="3" xfId="8" applyNumberFormat="1" applyFont="1" applyFill="1" applyBorder="1" applyAlignment="1">
      <alignment horizontal="left" vertical="top" wrapText="1"/>
    </xf>
    <xf numFmtId="165" fontId="839" fillId="5" borderId="3" xfId="8" applyNumberFormat="1" applyFont="1" applyFill="1" applyBorder="1" applyAlignment="1">
      <alignment horizontal="left" vertical="top" wrapText="1"/>
    </xf>
    <xf numFmtId="165" fontId="840" fillId="5" borderId="3" xfId="8" applyNumberFormat="1" applyFont="1" applyFill="1" applyBorder="1" applyAlignment="1">
      <alignment horizontal="left" vertical="top" wrapText="1"/>
    </xf>
    <xf numFmtId="165" fontId="841" fillId="5" borderId="3" xfId="8" applyNumberFormat="1" applyFont="1" applyFill="1" applyBorder="1" applyAlignment="1">
      <alignment horizontal="left" vertical="top" wrapText="1"/>
    </xf>
    <xf numFmtId="165" fontId="842" fillId="5" borderId="3" xfId="8" applyNumberFormat="1" applyFont="1" applyFill="1" applyBorder="1" applyAlignment="1">
      <alignment horizontal="left" vertical="top" wrapText="1"/>
    </xf>
    <xf numFmtId="165" fontId="843" fillId="5" borderId="3" xfId="8" applyNumberFormat="1" applyFont="1" applyFill="1" applyBorder="1" applyAlignment="1">
      <alignment horizontal="left" vertical="top" wrapText="1"/>
    </xf>
    <xf numFmtId="165" fontId="844" fillId="5" borderId="3" xfId="8" applyNumberFormat="1" applyFont="1" applyFill="1" applyBorder="1" applyAlignment="1">
      <alignment horizontal="left" vertical="top" wrapText="1"/>
    </xf>
    <xf numFmtId="165" fontId="845" fillId="5" borderId="3" xfId="8" applyNumberFormat="1" applyFont="1" applyFill="1" applyBorder="1" applyAlignment="1">
      <alignment horizontal="left" vertical="top" wrapText="1"/>
    </xf>
    <xf numFmtId="165" fontId="846" fillId="5" borderId="3" xfId="8" applyNumberFormat="1" applyFont="1" applyFill="1" applyBorder="1" applyAlignment="1">
      <alignment horizontal="left" vertical="top" wrapText="1"/>
    </xf>
    <xf numFmtId="165" fontId="847" fillId="5" borderId="3" xfId="8" applyNumberFormat="1" applyFont="1" applyFill="1" applyBorder="1" applyAlignment="1">
      <alignment horizontal="left" vertical="top" wrapText="1"/>
    </xf>
    <xf numFmtId="165" fontId="875" fillId="5" borderId="3" xfId="8" applyNumberFormat="1" applyFont="1" applyFill="1" applyBorder="1" applyAlignment="1">
      <alignment horizontal="left" vertical="top" wrapText="1"/>
    </xf>
    <xf numFmtId="165" fontId="876" fillId="5" borderId="3" xfId="8" applyNumberFormat="1" applyFont="1" applyFill="1" applyBorder="1" applyAlignment="1">
      <alignment horizontal="left" vertical="top" wrapText="1"/>
    </xf>
    <xf numFmtId="165" fontId="877" fillId="5" borderId="3" xfId="8" applyNumberFormat="1" applyFont="1" applyFill="1" applyBorder="1" applyAlignment="1">
      <alignment horizontal="left" vertical="top" wrapText="1"/>
    </xf>
    <xf numFmtId="165" fontId="878" fillId="5" borderId="3" xfId="8" applyNumberFormat="1" applyFont="1" applyFill="1" applyBorder="1" applyAlignment="1">
      <alignment horizontal="left" vertical="top" wrapText="1"/>
    </xf>
    <xf numFmtId="165" fontId="910" fillId="5" borderId="3" xfId="8" applyNumberFormat="1" applyFont="1" applyFill="1" applyBorder="1" applyAlignment="1">
      <alignment horizontal="left" vertical="top" wrapText="1"/>
    </xf>
    <xf numFmtId="165" fontId="879" fillId="5" borderId="3" xfId="8" applyNumberFormat="1" applyFont="1" applyFill="1" applyBorder="1" applyAlignment="1">
      <alignment horizontal="left" vertical="top" wrapText="1"/>
    </xf>
    <xf numFmtId="165" fontId="880" fillId="5" borderId="3" xfId="8" applyNumberFormat="1" applyFont="1" applyFill="1" applyBorder="1" applyAlignment="1">
      <alignment horizontal="left" vertical="top" wrapText="1"/>
    </xf>
    <xf numFmtId="165" fontId="950" fillId="5" borderId="3" xfId="8" applyNumberFormat="1" applyFont="1" applyFill="1" applyBorder="1" applyAlignment="1">
      <alignment horizontal="left" vertical="top" wrapText="1"/>
    </xf>
    <xf numFmtId="165" fontId="781" fillId="5" borderId="3" xfId="8" applyNumberFormat="1" applyFont="1" applyFill="1" applyBorder="1" applyAlignment="1">
      <alignment horizontal="left" vertical="top" wrapText="1"/>
    </xf>
    <xf numFmtId="165" fontId="951" fillId="5" borderId="3" xfId="8" applyNumberFormat="1" applyFont="1" applyFill="1" applyBorder="1" applyAlignment="1">
      <alignment horizontal="left" vertical="top" wrapText="1"/>
    </xf>
    <xf numFmtId="165" fontId="952" fillId="5" borderId="3" xfId="8" applyNumberFormat="1" applyFont="1" applyFill="1" applyBorder="1" applyAlignment="1">
      <alignment horizontal="left" vertical="top" wrapText="1"/>
    </xf>
    <xf numFmtId="165" fontId="953" fillId="5" borderId="3" xfId="8" applyNumberFormat="1" applyFont="1" applyFill="1" applyBorder="1" applyAlignment="1">
      <alignment horizontal="left" vertical="top" wrapText="1"/>
    </xf>
    <xf numFmtId="165" fontId="954" fillId="5" borderId="3" xfId="8" applyNumberFormat="1" applyFont="1" applyFill="1" applyBorder="1" applyAlignment="1">
      <alignment horizontal="left" vertical="top" wrapText="1"/>
    </xf>
    <xf numFmtId="165" fontId="955" fillId="5" borderId="3" xfId="8" applyNumberFormat="1" applyFont="1" applyFill="1" applyBorder="1" applyAlignment="1">
      <alignment horizontal="left" vertical="top" wrapText="1"/>
    </xf>
    <xf numFmtId="165" fontId="956" fillId="5" borderId="3" xfId="8" applyNumberFormat="1" applyFont="1" applyFill="1" applyBorder="1" applyAlignment="1">
      <alignment horizontal="left" vertical="top" wrapText="1"/>
    </xf>
    <xf numFmtId="165" fontId="957" fillId="5" borderId="3" xfId="8" applyNumberFormat="1" applyFont="1" applyFill="1" applyBorder="1" applyAlignment="1">
      <alignment horizontal="left" vertical="top" wrapText="1"/>
    </xf>
    <xf numFmtId="165" fontId="959" fillId="5" borderId="3" xfId="8" applyNumberFormat="1" applyFont="1" applyFill="1" applyBorder="1" applyAlignment="1">
      <alignment horizontal="left" vertical="top" wrapText="1"/>
    </xf>
    <xf numFmtId="165" fontId="960" fillId="5" borderId="3" xfId="8" applyNumberFormat="1" applyFont="1" applyFill="1" applyBorder="1" applyAlignment="1">
      <alignment horizontal="left" vertical="top" wrapText="1"/>
    </xf>
    <xf numFmtId="165" fontId="961" fillId="5" borderId="3" xfId="8" applyNumberFormat="1" applyFont="1" applyFill="1" applyBorder="1" applyAlignment="1">
      <alignment horizontal="left" vertical="top" wrapText="1"/>
    </xf>
    <xf numFmtId="165" fontId="962" fillId="5" borderId="3" xfId="8" applyNumberFormat="1" applyFont="1" applyFill="1" applyBorder="1" applyAlignment="1">
      <alignment horizontal="left" vertical="top" wrapText="1"/>
    </xf>
    <xf numFmtId="165" fontId="963" fillId="5" borderId="3" xfId="8" applyNumberFormat="1" applyFont="1" applyFill="1" applyBorder="1" applyAlignment="1">
      <alignment horizontal="left" vertical="top" wrapText="1"/>
    </xf>
    <xf numFmtId="165" fontId="964" fillId="5" borderId="3" xfId="8" applyNumberFormat="1" applyFont="1" applyFill="1" applyBorder="1" applyAlignment="1">
      <alignment horizontal="left" vertical="top" wrapText="1"/>
    </xf>
    <xf numFmtId="165" fontId="965" fillId="5" borderId="3" xfId="8" applyNumberFormat="1" applyFont="1" applyFill="1" applyBorder="1" applyAlignment="1">
      <alignment horizontal="left" vertical="top" wrapText="1"/>
    </xf>
    <xf numFmtId="165" fontId="966" fillId="5" borderId="3" xfId="8" applyNumberFormat="1" applyFont="1" applyFill="1" applyBorder="1" applyAlignment="1">
      <alignment horizontal="left" vertical="top" wrapText="1"/>
    </xf>
    <xf numFmtId="165" fontId="967" fillId="5" borderId="3" xfId="8" applyNumberFormat="1" applyFont="1" applyFill="1" applyBorder="1" applyAlignment="1">
      <alignment horizontal="left" vertical="top" wrapText="1"/>
    </xf>
    <xf numFmtId="165" fontId="818" fillId="5" borderId="3" xfId="8" applyNumberFormat="1" applyFont="1" applyFill="1" applyBorder="1" applyAlignment="1">
      <alignment horizontal="left" vertical="top" wrapText="1"/>
    </xf>
    <xf numFmtId="165" fontId="819" fillId="5" borderId="3" xfId="8" applyNumberFormat="1" applyFont="1" applyFill="1" applyBorder="1" applyAlignment="1">
      <alignment horizontal="left" vertical="top" wrapText="1"/>
    </xf>
    <xf numFmtId="165" fontId="820" fillId="5" borderId="3" xfId="8" applyNumberFormat="1" applyFont="1" applyFill="1" applyBorder="1" applyAlignment="1">
      <alignment horizontal="left" vertical="top" wrapText="1"/>
    </xf>
    <xf numFmtId="165" fontId="821" fillId="5" borderId="3" xfId="8" applyNumberFormat="1" applyFont="1" applyFill="1" applyBorder="1" applyAlignment="1">
      <alignment horizontal="left" vertical="top" wrapText="1"/>
    </xf>
    <xf numFmtId="165" fontId="822" fillId="5" borderId="3" xfId="8" applyNumberFormat="1" applyFont="1" applyFill="1" applyBorder="1" applyAlignment="1">
      <alignment horizontal="left" vertical="top" wrapText="1"/>
    </xf>
    <xf numFmtId="165" fontId="887" fillId="5" borderId="3" xfId="8" applyNumberFormat="1" applyFont="1" applyFill="1" applyBorder="1" applyAlignment="1">
      <alignment horizontal="left" vertical="top" wrapText="1"/>
    </xf>
    <xf numFmtId="165" fontId="824" fillId="5" borderId="3" xfId="8" applyNumberFormat="1" applyFont="1" applyFill="1" applyBorder="1" applyAlignment="1">
      <alignment horizontal="left" vertical="top" wrapText="1"/>
    </xf>
    <xf numFmtId="165" fontId="825" fillId="5" borderId="3" xfId="8" applyNumberFormat="1" applyFont="1" applyFill="1" applyBorder="1" applyAlignment="1">
      <alignment horizontal="left" vertical="top" wrapText="1"/>
    </xf>
    <xf numFmtId="165" fontId="826" fillId="5" borderId="3" xfId="8" applyNumberFormat="1" applyFont="1" applyFill="1" applyBorder="1" applyAlignment="1">
      <alignment horizontal="left" vertical="top" wrapText="1"/>
    </xf>
    <xf numFmtId="165" fontId="827" fillId="5" borderId="3" xfId="8" applyNumberFormat="1" applyFont="1" applyFill="1" applyBorder="1" applyAlignment="1">
      <alignment horizontal="left" vertical="top" wrapText="1"/>
    </xf>
    <xf numFmtId="165" fontId="828" fillId="5" borderId="3" xfId="8" applyNumberFormat="1" applyFont="1" applyFill="1" applyBorder="1" applyAlignment="1">
      <alignment horizontal="left" vertical="top" wrapText="1"/>
    </xf>
    <xf numFmtId="165" fontId="829" fillId="5" borderId="3" xfId="8" applyNumberFormat="1" applyFont="1" applyFill="1" applyBorder="1" applyAlignment="1">
      <alignment horizontal="left" vertical="top" wrapText="1"/>
    </xf>
    <xf numFmtId="165" fontId="830" fillId="5" borderId="3" xfId="8" applyNumberFormat="1" applyFont="1" applyFill="1" applyBorder="1" applyAlignment="1">
      <alignment horizontal="left" vertical="top" wrapText="1"/>
    </xf>
    <xf numFmtId="165" fontId="831" fillId="5" borderId="3" xfId="8" applyNumberFormat="1" applyFont="1" applyFill="1" applyBorder="1" applyAlignment="1">
      <alignment horizontal="left" vertical="top" wrapText="1"/>
    </xf>
    <xf numFmtId="165" fontId="832" fillId="5" borderId="3" xfId="8" applyNumberFormat="1" applyFont="1" applyFill="1" applyBorder="1" applyAlignment="1">
      <alignment horizontal="left" vertical="top" wrapText="1"/>
    </xf>
    <xf numFmtId="165" fontId="833" fillId="5" borderId="3" xfId="8" applyNumberFormat="1" applyFont="1" applyFill="1" applyBorder="1" applyAlignment="1">
      <alignment horizontal="left" vertical="top" wrapText="1"/>
    </xf>
    <xf numFmtId="165" fontId="834" fillId="5" borderId="3" xfId="8" applyNumberFormat="1" applyFont="1" applyFill="1" applyBorder="1" applyAlignment="1">
      <alignment horizontal="left" vertical="top" wrapText="1"/>
    </xf>
    <xf numFmtId="165" fontId="835" fillId="5" borderId="3" xfId="8" applyNumberFormat="1" applyFont="1" applyFill="1" applyBorder="1" applyAlignment="1">
      <alignment horizontal="left" vertical="top" wrapText="1"/>
    </xf>
    <xf numFmtId="165" fontId="1169" fillId="5" borderId="3" xfId="8" applyNumberFormat="1" applyFont="1" applyFill="1" applyBorder="1" applyAlignment="1">
      <alignment horizontal="left" vertical="top" wrapText="1"/>
    </xf>
    <xf numFmtId="165" fontId="1063" fillId="5" borderId="3" xfId="8" applyNumberFormat="1" applyFont="1" applyFill="1" applyBorder="1" applyAlignment="1">
      <alignment horizontal="left" vertical="top" wrapText="1"/>
    </xf>
    <xf numFmtId="165" fontId="1155" fillId="5" borderId="3" xfId="8" applyNumberFormat="1" applyFont="1" applyFill="1" applyBorder="1" applyAlignment="1">
      <alignment horizontal="left" vertical="top" wrapText="1"/>
    </xf>
    <xf numFmtId="165" fontId="1156" fillId="5" borderId="3" xfId="8" applyNumberFormat="1" applyFont="1" applyFill="1" applyBorder="1" applyAlignment="1">
      <alignment horizontal="left" vertical="top" wrapText="1"/>
    </xf>
    <xf numFmtId="165" fontId="1157" fillId="5" borderId="3" xfId="8" applyNumberFormat="1" applyFont="1" applyFill="1" applyBorder="1" applyAlignment="1">
      <alignment horizontal="left" vertical="top" wrapText="1"/>
    </xf>
    <xf numFmtId="165" fontId="1158" fillId="5" borderId="3" xfId="8" applyNumberFormat="1" applyFont="1" applyFill="1" applyBorder="1" applyAlignment="1">
      <alignment horizontal="left" vertical="top" wrapText="1"/>
    </xf>
    <xf numFmtId="165" fontId="1159" fillId="5" borderId="3" xfId="8" applyNumberFormat="1" applyFont="1" applyFill="1" applyBorder="1" applyAlignment="1">
      <alignment horizontal="left" vertical="top" wrapText="1"/>
    </xf>
    <xf numFmtId="165" fontId="1171" fillId="5" borderId="3" xfId="8" applyNumberFormat="1" applyFont="1" applyFill="1" applyBorder="1" applyAlignment="1">
      <alignment horizontal="left" vertical="top" wrapText="1"/>
    </xf>
    <xf numFmtId="165" fontId="1164" fillId="5" borderId="3" xfId="8" applyNumberFormat="1" applyFont="1" applyFill="1" applyBorder="1" applyAlignment="1">
      <alignment horizontal="left" vertical="top" wrapText="1"/>
    </xf>
    <xf numFmtId="165" fontId="1172" fillId="5" borderId="3" xfId="8" applyNumberFormat="1" applyFont="1" applyFill="1" applyBorder="1" applyAlignment="1">
      <alignment horizontal="left" vertical="top" wrapText="1"/>
    </xf>
    <xf numFmtId="165" fontId="1014" fillId="5" borderId="3" xfId="8" applyNumberFormat="1" applyFont="1" applyFill="1" applyBorder="1" applyAlignment="1">
      <alignment horizontal="left" vertical="top" wrapText="1"/>
    </xf>
    <xf numFmtId="165" fontId="1013" fillId="5" borderId="3" xfId="8" applyNumberFormat="1" applyFont="1" applyFill="1" applyBorder="1" applyAlignment="1">
      <alignment horizontal="left" vertical="top" wrapText="1"/>
    </xf>
    <xf numFmtId="165" fontId="1175" fillId="5" borderId="3" xfId="8" applyNumberFormat="1" applyFont="1" applyFill="1" applyBorder="1" applyAlignment="1">
      <alignment horizontal="left" vertical="top" wrapText="1"/>
    </xf>
    <xf numFmtId="165" fontId="1070" fillId="5" borderId="3" xfId="8" applyNumberFormat="1" applyFont="1" applyFill="1" applyBorder="1" applyAlignment="1">
      <alignment horizontal="left" vertical="top" wrapText="1"/>
    </xf>
    <xf numFmtId="165" fontId="1066" fillId="5" borderId="3" xfId="8" applyNumberFormat="1" applyFont="1" applyFill="1" applyBorder="1" applyAlignment="1">
      <alignment horizontal="left" vertical="top" wrapText="1"/>
    </xf>
    <xf numFmtId="165" fontId="1173" fillId="5" borderId="3" xfId="8" applyNumberFormat="1" applyFont="1" applyFill="1" applyBorder="1" applyAlignment="1">
      <alignment horizontal="left" vertical="top" wrapText="1"/>
    </xf>
    <xf numFmtId="165" fontId="1067" fillId="5" borderId="3" xfId="8" applyNumberFormat="1" applyFont="1" applyFill="1" applyBorder="1" applyAlignment="1">
      <alignment horizontal="left" vertical="top" wrapText="1"/>
    </xf>
    <xf numFmtId="165" fontId="1160" fillId="5" borderId="3" xfId="8" applyNumberFormat="1" applyFont="1" applyFill="1" applyBorder="1" applyAlignment="1">
      <alignment horizontal="left" vertical="top" wrapText="1"/>
    </xf>
    <xf numFmtId="165" fontId="1165" fillId="5" borderId="3" xfId="8" applyNumberFormat="1" applyFont="1" applyFill="1" applyBorder="1" applyAlignment="1">
      <alignment horizontal="left" vertical="top" wrapText="1"/>
    </xf>
    <xf numFmtId="165" fontId="1068" fillId="5" borderId="3" xfId="8" applyNumberFormat="1" applyFont="1" applyFill="1" applyBorder="1" applyAlignment="1">
      <alignment horizontal="left" vertical="top" wrapText="1"/>
    </xf>
    <xf numFmtId="165" fontId="1161" fillId="5" borderId="3" xfId="8" applyNumberFormat="1" applyFont="1" applyFill="1" applyBorder="1" applyAlignment="1">
      <alignment horizontal="left" vertical="top" wrapText="1"/>
    </xf>
    <xf numFmtId="165" fontId="1071" fillId="5" borderId="3" xfId="8" applyNumberFormat="1" applyFont="1" applyFill="1" applyBorder="1" applyAlignment="1">
      <alignment horizontal="left" vertical="top" wrapText="1"/>
    </xf>
    <xf numFmtId="165" fontId="1174" fillId="5" borderId="3" xfId="8" applyNumberFormat="1" applyFont="1" applyFill="1" applyBorder="1" applyAlignment="1">
      <alignment horizontal="left" vertical="top" wrapText="1"/>
    </xf>
    <xf numFmtId="165" fontId="1162" fillId="5" borderId="3" xfId="8" applyNumberFormat="1" applyFont="1" applyFill="1" applyBorder="1" applyAlignment="1">
      <alignment horizontal="left" vertical="top" wrapText="1"/>
    </xf>
    <xf numFmtId="165" fontId="1154" fillId="5" borderId="3" xfId="8" applyNumberFormat="1" applyFont="1" applyFill="1" applyBorder="1" applyAlignment="1">
      <alignment horizontal="left" vertical="top" wrapText="1"/>
    </xf>
    <xf numFmtId="165" fontId="1168" fillId="5" borderId="3" xfId="8" applyNumberFormat="1" applyFont="1" applyFill="1" applyBorder="1" applyAlignment="1">
      <alignment horizontal="left" vertical="top" wrapText="1"/>
    </xf>
    <xf numFmtId="165" fontId="1276" fillId="5" borderId="3" xfId="8" applyNumberFormat="1" applyFont="1" applyFill="1" applyBorder="1" applyAlignment="1">
      <alignment horizontal="left" vertical="top" wrapText="1"/>
    </xf>
    <xf numFmtId="165" fontId="1239" fillId="5" borderId="3" xfId="8" applyNumberFormat="1" applyFont="1" applyFill="1" applyBorder="1" applyAlignment="1">
      <alignment horizontal="left" vertical="top" wrapText="1"/>
    </xf>
    <xf numFmtId="165" fontId="1240" fillId="5" borderId="3" xfId="8" applyNumberFormat="1" applyFont="1" applyFill="1" applyBorder="1" applyAlignment="1">
      <alignment horizontal="left" vertical="top" wrapText="1"/>
    </xf>
    <xf numFmtId="165" fontId="1241" fillId="5" borderId="3" xfId="8" applyNumberFormat="1" applyFont="1" applyFill="1" applyBorder="1" applyAlignment="1">
      <alignment horizontal="left" vertical="top" wrapText="1"/>
    </xf>
    <xf numFmtId="165" fontId="1242" fillId="5" borderId="3" xfId="8" applyNumberFormat="1" applyFont="1" applyFill="1" applyBorder="1" applyAlignment="1">
      <alignment horizontal="left" vertical="top" wrapText="1"/>
    </xf>
    <xf numFmtId="165" fontId="1243" fillId="5" borderId="3" xfId="8" applyNumberFormat="1" applyFont="1" applyFill="1" applyBorder="1" applyAlignment="1">
      <alignment horizontal="left" vertical="top" wrapText="1"/>
    </xf>
    <xf numFmtId="165" fontId="1244" fillId="5" borderId="3" xfId="8" applyNumberFormat="1" applyFont="1" applyFill="1" applyBorder="1" applyAlignment="1">
      <alignment horizontal="left" vertical="top" wrapText="1"/>
    </xf>
    <xf numFmtId="165" fontId="1245" fillId="5" borderId="3" xfId="8" applyNumberFormat="1" applyFont="1" applyFill="1" applyBorder="1" applyAlignment="1">
      <alignment horizontal="left" vertical="top" wrapText="1"/>
    </xf>
    <xf numFmtId="165" fontId="1246" fillId="5" borderId="3" xfId="8" applyNumberFormat="1" applyFont="1" applyFill="1" applyBorder="1" applyAlignment="1">
      <alignment horizontal="left" vertical="top" wrapText="1"/>
    </xf>
    <xf numFmtId="165" fontId="1247" fillId="5" borderId="3" xfId="8" applyNumberFormat="1" applyFont="1" applyFill="1" applyBorder="1" applyAlignment="1">
      <alignment horizontal="left" vertical="top" wrapText="1"/>
    </xf>
    <xf numFmtId="165" fontId="1248" fillId="5" borderId="3" xfId="8" applyNumberFormat="1" applyFont="1" applyFill="1" applyBorder="1" applyAlignment="1">
      <alignment horizontal="left" vertical="top" wrapText="1"/>
    </xf>
    <xf numFmtId="165" fontId="1252" fillId="5" borderId="3" xfId="8" applyNumberFormat="1" applyFont="1" applyFill="1" applyBorder="1" applyAlignment="1">
      <alignment horizontal="left" vertical="top" wrapText="1"/>
    </xf>
    <xf numFmtId="165" fontId="1253" fillId="5" borderId="3" xfId="8" applyNumberFormat="1" applyFont="1" applyFill="1" applyBorder="1" applyAlignment="1">
      <alignment horizontal="left" vertical="top" wrapText="1"/>
    </xf>
    <xf numFmtId="165" fontId="1254" fillId="5" borderId="3" xfId="8" applyNumberFormat="1" applyFont="1" applyFill="1" applyBorder="1" applyAlignment="1">
      <alignment horizontal="left" vertical="top" wrapText="1"/>
    </xf>
    <xf numFmtId="165" fontId="1255" fillId="5" borderId="3" xfId="8" applyNumberFormat="1" applyFont="1" applyFill="1" applyBorder="1" applyAlignment="1">
      <alignment horizontal="left" vertical="top" wrapText="1"/>
    </xf>
    <xf numFmtId="165" fontId="1260" fillId="5" borderId="3" xfId="8" applyNumberFormat="1" applyFont="1" applyFill="1" applyBorder="1" applyAlignment="1">
      <alignment horizontal="left" vertical="top" wrapText="1"/>
    </xf>
    <xf numFmtId="165" fontId="1261" fillId="5" borderId="3" xfId="8" applyNumberFormat="1" applyFont="1" applyFill="1" applyBorder="1" applyAlignment="1">
      <alignment horizontal="left" vertical="top" wrapText="1"/>
    </xf>
    <xf numFmtId="165" fontId="1262" fillId="5" borderId="3" xfId="8" applyNumberFormat="1" applyFont="1" applyFill="1" applyBorder="1" applyAlignment="1">
      <alignment horizontal="left" vertical="top" wrapText="1"/>
    </xf>
    <xf numFmtId="165" fontId="1263" fillId="5" borderId="3" xfId="8" applyNumberFormat="1" applyFont="1" applyFill="1" applyBorder="1" applyAlignment="1">
      <alignment horizontal="left" vertical="top" wrapText="1"/>
    </xf>
    <xf numFmtId="165" fontId="1264" fillId="5" borderId="3" xfId="8" applyNumberFormat="1" applyFont="1" applyFill="1" applyBorder="1" applyAlignment="1">
      <alignment horizontal="left" vertical="top" wrapText="1"/>
    </xf>
    <xf numFmtId="165" fontId="1265" fillId="5" borderId="3" xfId="8" applyNumberFormat="1" applyFont="1" applyFill="1" applyBorder="1" applyAlignment="1">
      <alignment horizontal="left" vertical="top" wrapText="1"/>
    </xf>
    <xf numFmtId="165" fontId="1266" fillId="5" borderId="3" xfId="8" applyNumberFormat="1" applyFont="1" applyFill="1" applyBorder="1" applyAlignment="1">
      <alignment horizontal="left" vertical="top" wrapText="1"/>
    </xf>
    <xf numFmtId="165" fontId="1267" fillId="5" borderId="3" xfId="8" applyNumberFormat="1" applyFont="1" applyFill="1" applyBorder="1" applyAlignment="1">
      <alignment horizontal="left" vertical="top" wrapText="1"/>
    </xf>
    <xf numFmtId="165" fontId="1270" fillId="5" borderId="3" xfId="8" applyNumberFormat="1" applyFont="1" applyFill="1" applyBorder="1" applyAlignment="1">
      <alignment horizontal="left" vertical="top" wrapText="1"/>
    </xf>
    <xf numFmtId="165" fontId="1271" fillId="5" borderId="3" xfId="8" applyNumberFormat="1" applyFont="1" applyFill="1" applyBorder="1" applyAlignment="1">
      <alignment horizontal="left" vertical="top" wrapText="1"/>
    </xf>
    <xf numFmtId="165" fontId="1272" fillId="5" borderId="3" xfId="8" applyNumberFormat="1" applyFont="1" applyFill="1" applyBorder="1" applyAlignment="1">
      <alignment horizontal="left" vertical="top" wrapText="1"/>
    </xf>
    <xf numFmtId="165" fontId="1273" fillId="5" borderId="3" xfId="8" applyNumberFormat="1" applyFont="1" applyFill="1" applyBorder="1" applyAlignment="1">
      <alignment horizontal="left" vertical="top" wrapText="1"/>
    </xf>
    <xf numFmtId="165" fontId="1274" fillId="5" borderId="3" xfId="8" applyNumberFormat="1" applyFont="1" applyFill="1" applyBorder="1" applyAlignment="1">
      <alignment horizontal="left" vertical="top" wrapText="1"/>
    </xf>
    <xf numFmtId="165" fontId="1275" fillId="5" borderId="3" xfId="8" applyNumberFormat="1" applyFont="1" applyFill="1" applyBorder="1" applyAlignment="1">
      <alignment horizontal="left" vertical="top" wrapText="1"/>
    </xf>
    <xf numFmtId="165" fontId="1981" fillId="5" borderId="3" xfId="8" applyNumberFormat="1" applyFont="1" applyFill="1" applyBorder="1" applyAlignment="1">
      <alignment horizontal="left" vertical="top" wrapText="1"/>
    </xf>
    <xf numFmtId="0" fontId="1981" fillId="5" borderId="3" xfId="0" applyFont="1" applyFill="1" applyBorder="1" applyAlignment="1">
      <alignment vertical="top"/>
    </xf>
    <xf numFmtId="0" fontId="1981" fillId="5" borderId="3" xfId="0" applyFont="1" applyFill="1" applyBorder="1" applyAlignment="1">
      <alignment horizontal="center" vertical="top"/>
    </xf>
    <xf numFmtId="43" fontId="1938" fillId="5" borderId="3" xfId="8" applyFont="1" applyFill="1" applyBorder="1" applyAlignment="1">
      <alignment horizontal="left" vertical="top" wrapText="1"/>
    </xf>
    <xf numFmtId="43" fontId="1950" fillId="5" borderId="3" xfId="8" applyFont="1" applyFill="1" applyBorder="1" applyAlignment="1">
      <alignment horizontal="left" vertical="top" wrapText="1"/>
    </xf>
    <xf numFmtId="43" fontId="1951" fillId="5" borderId="3" xfId="8" applyFont="1" applyFill="1" applyBorder="1" applyAlignment="1">
      <alignment horizontal="left" vertical="top" wrapText="1"/>
    </xf>
    <xf numFmtId="43" fontId="1930" fillId="5" borderId="3" xfId="8" applyFont="1" applyFill="1" applyBorder="1" applyAlignment="1">
      <alignment horizontal="left" vertical="top" wrapText="1"/>
    </xf>
    <xf numFmtId="43" fontId="1939" fillId="5" borderId="3" xfId="8" applyFont="1" applyFill="1" applyBorder="1" applyAlignment="1">
      <alignment horizontal="left" vertical="top" wrapText="1"/>
    </xf>
    <xf numFmtId="43" fontId="1963" fillId="5" borderId="3" xfId="8" applyFont="1" applyFill="1" applyBorder="1" applyAlignment="1">
      <alignment horizontal="left" vertical="top" wrapText="1"/>
    </xf>
    <xf numFmtId="43" fontId="1931" fillId="5" borderId="3" xfId="8" applyFont="1" applyFill="1" applyBorder="1" applyAlignment="1">
      <alignment horizontal="left" vertical="top" wrapText="1"/>
    </xf>
    <xf numFmtId="43" fontId="1940" fillId="5" borderId="3" xfId="8" applyFont="1" applyFill="1" applyBorder="1" applyAlignment="1">
      <alignment horizontal="left" vertical="top" wrapText="1"/>
    </xf>
    <xf numFmtId="165" fontId="1904" fillId="5" borderId="3" xfId="8" applyNumberFormat="1" applyFont="1" applyFill="1" applyBorder="1" applyAlignment="1">
      <alignment horizontal="left" vertical="top" wrapText="1"/>
    </xf>
    <xf numFmtId="0" fontId="0" fillId="5" borderId="3" xfId="0" applyFill="1" applyBorder="1" applyAlignment="1">
      <alignment horizontal="left" vertical="top" wrapText="1"/>
    </xf>
    <xf numFmtId="0" fontId="6" fillId="5" borderId="3" xfId="0" applyFont="1" applyFill="1" applyBorder="1" applyAlignment="1">
      <alignment horizontal="center" vertical="top" wrapText="1"/>
    </xf>
    <xf numFmtId="0" fontId="1981" fillId="5" borderId="3" xfId="0" applyFont="1" applyFill="1" applyBorder="1" applyAlignment="1">
      <alignment horizontal="left" vertical="top" wrapText="1"/>
    </xf>
    <xf numFmtId="165" fontId="0" fillId="0" borderId="0" xfId="0" applyNumberFormat="1"/>
    <xf numFmtId="165" fontId="1238" fillId="0" borderId="3" xfId="8" applyNumberFormat="1" applyFont="1" applyFill="1" applyBorder="1" applyAlignment="1">
      <alignment horizontal="left" vertical="top" wrapText="1"/>
    </xf>
    <xf numFmtId="165" fontId="1981" fillId="0" borderId="3" xfId="8" applyNumberFormat="1" applyFont="1" applyFill="1" applyBorder="1" applyAlignment="1">
      <alignment horizontal="left" vertical="top" wrapText="1"/>
    </xf>
    <xf numFmtId="165" fontId="1163" fillId="0" borderId="3" xfId="8" applyNumberFormat="1" applyFont="1" applyFill="1" applyBorder="1" applyAlignment="1">
      <alignment horizontal="left" vertical="top" wrapText="1"/>
    </xf>
    <xf numFmtId="165" fontId="1166" fillId="0" borderId="3" xfId="8" applyNumberFormat="1" applyFont="1" applyFill="1" applyBorder="1" applyAlignment="1">
      <alignment horizontal="left" vertical="top" wrapText="1"/>
    </xf>
    <xf numFmtId="165" fontId="1069" fillId="0" borderId="3" xfId="8" applyNumberFormat="1" applyFont="1" applyFill="1" applyBorder="1" applyAlignment="1">
      <alignment horizontal="left" vertical="top" wrapText="1"/>
    </xf>
    <xf numFmtId="165" fontId="1167" fillId="0" borderId="3" xfId="8" applyNumberFormat="1" applyFont="1" applyFill="1" applyBorder="1" applyAlignment="1">
      <alignment horizontal="left" vertical="top" wrapText="1"/>
    </xf>
    <xf numFmtId="165" fontId="1170" fillId="0" borderId="3" xfId="8" applyNumberFormat="1" applyFont="1" applyFill="1" applyBorder="1" applyAlignment="1">
      <alignment horizontal="left" vertical="top" wrapText="1"/>
    </xf>
    <xf numFmtId="165" fontId="1178" fillId="0" borderId="3" xfId="8" applyNumberFormat="1" applyFont="1" applyFill="1" applyBorder="1" applyAlignment="1">
      <alignment horizontal="left" vertical="top" wrapText="1"/>
    </xf>
    <xf numFmtId="165" fontId="1064" fillId="0" borderId="3" xfId="8" applyNumberFormat="1" applyFont="1" applyFill="1" applyBorder="1" applyAlignment="1">
      <alignment horizontal="left" vertical="top" wrapText="1"/>
    </xf>
    <xf numFmtId="165" fontId="1177" fillId="0" borderId="3" xfId="8" applyNumberFormat="1" applyFont="1" applyFill="1" applyBorder="1" applyAlignment="1">
      <alignment horizontal="left" vertical="top" wrapText="1"/>
    </xf>
    <xf numFmtId="165" fontId="1065" fillId="0" borderId="3" xfId="8" applyNumberFormat="1" applyFont="1" applyFill="1" applyBorder="1" applyAlignment="1">
      <alignment horizontal="left" vertical="top" wrapText="1"/>
    </xf>
    <xf numFmtId="165" fontId="1012" fillId="0" borderId="3" xfId="8" applyNumberFormat="1" applyFont="1" applyFill="1" applyBorder="1" applyAlignment="1">
      <alignment horizontal="left" vertical="top" wrapText="1"/>
    </xf>
    <xf numFmtId="165" fontId="1268" fillId="0" borderId="3" xfId="8" applyNumberFormat="1" applyFont="1" applyFill="1" applyBorder="1" applyAlignment="1">
      <alignment horizontal="left" vertical="top" wrapText="1"/>
    </xf>
    <xf numFmtId="165" fontId="1269" fillId="0" borderId="3" xfId="8" applyNumberFormat="1" applyFont="1" applyFill="1" applyBorder="1" applyAlignment="1">
      <alignment horizontal="left" vertical="top" wrapText="1"/>
    </xf>
    <xf numFmtId="165" fontId="1981" fillId="0" borderId="3" xfId="8" applyNumberFormat="1" applyFont="1" applyFill="1" applyBorder="1" applyAlignment="1">
      <alignment vertical="top"/>
    </xf>
    <xf numFmtId="165" fontId="428" fillId="0" borderId="3" xfId="8" applyNumberFormat="1" applyFont="1" applyFill="1" applyBorder="1" applyAlignment="1">
      <alignment horizontal="left" vertical="top" wrapText="1"/>
    </xf>
    <xf numFmtId="165" fontId="85" fillId="0" borderId="3" xfId="8" applyNumberFormat="1" applyFont="1" applyFill="1" applyBorder="1" applyAlignment="1">
      <alignment horizontal="left" vertical="top" wrapText="1"/>
    </xf>
    <xf numFmtId="165" fontId="87" fillId="0" borderId="3" xfId="8" applyNumberFormat="1" applyFont="1" applyFill="1" applyBorder="1" applyAlignment="1">
      <alignment horizontal="left" vertical="top" wrapText="1"/>
    </xf>
    <xf numFmtId="165" fontId="363" fillId="0" borderId="3" xfId="8" applyNumberFormat="1" applyFont="1" applyFill="1" applyBorder="1" applyAlignment="1">
      <alignment horizontal="left" vertical="top" wrapText="1"/>
    </xf>
    <xf numFmtId="165" fontId="593" fillId="0" borderId="3" xfId="8" applyNumberFormat="1" applyFont="1" applyFill="1" applyBorder="1" applyAlignment="1">
      <alignment horizontal="left" vertical="top" wrapText="1"/>
    </xf>
    <xf numFmtId="165" fontId="569" fillId="0" borderId="3" xfId="8" applyNumberFormat="1" applyFont="1" applyFill="1" applyBorder="1" applyAlignment="1">
      <alignment horizontal="left" vertical="top" wrapText="1"/>
    </xf>
    <xf numFmtId="165" fontId="614" fillId="0" borderId="3" xfId="8" applyNumberFormat="1" applyFont="1" applyFill="1" applyBorder="1" applyAlignment="1">
      <alignment horizontal="left" vertical="top" wrapText="1"/>
    </xf>
    <xf numFmtId="165" fontId="594" fillId="0" borderId="3" xfId="8" applyNumberFormat="1" applyFont="1" applyFill="1" applyBorder="1" applyAlignment="1">
      <alignment horizontal="left" vertical="top" wrapText="1"/>
    </xf>
    <xf numFmtId="165" fontId="720" fillId="0" borderId="3" xfId="8" applyNumberFormat="1" applyFont="1" applyFill="1" applyBorder="1" applyAlignment="1">
      <alignment horizontal="left" vertical="top" wrapText="1"/>
    </xf>
    <xf numFmtId="165" fontId="595" fillId="0" borderId="3" xfId="8" applyNumberFormat="1" applyFont="1" applyFill="1" applyBorder="1" applyAlignment="1">
      <alignment horizontal="left" vertical="top" wrapText="1"/>
    </xf>
    <xf numFmtId="165" fontId="721" fillId="0" borderId="3" xfId="8" applyNumberFormat="1" applyFont="1" applyFill="1" applyBorder="1" applyAlignment="1">
      <alignment horizontal="left" vertical="top" wrapText="1"/>
    </xf>
    <xf numFmtId="165" fontId="722" fillId="0" borderId="3" xfId="8" applyNumberFormat="1" applyFont="1" applyFill="1" applyBorder="1" applyAlignment="1">
      <alignment horizontal="left" vertical="top" wrapText="1"/>
    </xf>
    <xf numFmtId="165" fontId="570" fillId="0" borderId="3" xfId="8" applyNumberFormat="1" applyFont="1" applyFill="1" applyBorder="1" applyAlignment="1">
      <alignment horizontal="left" vertical="top" wrapText="1"/>
    </xf>
    <xf numFmtId="165" fontId="723" fillId="0" borderId="3" xfId="8" applyNumberFormat="1" applyFont="1" applyFill="1" applyBorder="1" applyAlignment="1">
      <alignment horizontal="left" vertical="top" wrapText="1"/>
    </xf>
    <xf numFmtId="165" fontId="724" fillId="0" borderId="3" xfId="8" applyNumberFormat="1" applyFont="1" applyFill="1" applyBorder="1" applyAlignment="1">
      <alignment horizontal="left" vertical="top" wrapText="1"/>
    </xf>
    <xf numFmtId="165" fontId="596" fillId="0" borderId="3" xfId="8" applyNumberFormat="1" applyFont="1" applyFill="1" applyBorder="1" applyAlignment="1">
      <alignment horizontal="left" vertical="top" wrapText="1"/>
    </xf>
    <xf numFmtId="165" fontId="725" fillId="0" borderId="3" xfId="8" applyNumberFormat="1" applyFont="1" applyFill="1" applyBorder="1" applyAlignment="1">
      <alignment horizontal="left" vertical="top" wrapText="1"/>
    </xf>
    <xf numFmtId="165" fontId="571" fillId="0" borderId="3" xfId="8" applyNumberFormat="1" applyFont="1" applyFill="1" applyBorder="1" applyAlignment="1">
      <alignment horizontal="left" vertical="top" wrapText="1"/>
    </xf>
    <xf numFmtId="165" fontId="1176" fillId="0" borderId="3" xfId="8" applyNumberFormat="1" applyFont="1" applyFill="1" applyBorder="1" applyAlignment="1">
      <alignment horizontal="left" vertical="top" wrapText="1"/>
    </xf>
    <xf numFmtId="0" fontId="6" fillId="0" borderId="3" xfId="0" applyFont="1" applyBorder="1" applyAlignment="1">
      <alignment horizontal="center" vertical="top" wrapText="1"/>
    </xf>
    <xf numFmtId="14" fontId="1980" fillId="0" borderId="3" xfId="0" applyNumberFormat="1" applyFont="1" applyBorder="1" applyAlignment="1">
      <alignment horizontal="center" vertical="top" wrapText="1"/>
    </xf>
    <xf numFmtId="0" fontId="0" fillId="0" borderId="3" xfId="0" applyBorder="1" applyAlignment="1">
      <alignment horizontal="left" vertical="top" wrapText="1"/>
    </xf>
    <xf numFmtId="0" fontId="1898" fillId="6" borderId="0" xfId="0" applyFont="1" applyFill="1" applyAlignment="1">
      <alignment horizontal="center"/>
    </xf>
    <xf numFmtId="0" fontId="0" fillId="6" borderId="0" xfId="0" applyFill="1" applyAlignment="1">
      <alignment horizontal="center"/>
    </xf>
    <xf numFmtId="0" fontId="1896" fillId="6" borderId="0" xfId="0" applyFont="1" applyFill="1" applyAlignment="1">
      <alignment horizontal="center"/>
    </xf>
    <xf numFmtId="0" fontId="1899" fillId="6" borderId="0" xfId="0" applyFont="1" applyFill="1" applyAlignment="1">
      <alignment horizontal="center"/>
    </xf>
    <xf numFmtId="0" fontId="1897" fillId="4" borderId="3" xfId="0" applyFont="1" applyFill="1" applyBorder="1" applyAlignment="1">
      <alignment horizontal="center" vertical="top" wrapText="1"/>
    </xf>
    <xf numFmtId="0" fontId="1895" fillId="4" borderId="3" xfId="0" applyFont="1" applyFill="1" applyBorder="1" applyAlignment="1">
      <alignment horizontal="center" vertical="top" wrapText="1"/>
    </xf>
    <xf numFmtId="0" fontId="3" fillId="0" borderId="0" xfId="0" applyFont="1" applyAlignment="1">
      <alignment horizontal="center"/>
    </xf>
    <xf numFmtId="0" fontId="8" fillId="0" borderId="2" xfId="0" applyFont="1" applyBorder="1" applyAlignment="1">
      <alignment horizontal="right" wrapText="1"/>
    </xf>
    <xf numFmtId="0" fontId="13" fillId="0" borderId="0" xfId="0" applyFont="1" applyAlignment="1">
      <alignment horizontal="center" vertical="top" wrapText="1"/>
    </xf>
    <xf numFmtId="0" fontId="6" fillId="0" borderId="0" xfId="1" applyFont="1"/>
    <xf numFmtId="0" fontId="6" fillId="0" borderId="0" xfId="0" applyFont="1"/>
    <xf numFmtId="0" fontId="34" fillId="6" borderId="0" xfId="0" applyFont="1" applyFill="1" applyAlignment="1">
      <alignment horizontal="center"/>
    </xf>
    <xf numFmtId="0" fontId="45" fillId="6" borderId="0" xfId="0" applyFont="1" applyFill="1" applyAlignment="1">
      <alignment horizontal="center"/>
    </xf>
    <xf numFmtId="0" fontId="1982" fillId="6" borderId="0" xfId="0" applyFont="1" applyFill="1" applyAlignment="1">
      <alignment horizontal="center"/>
    </xf>
    <xf numFmtId="0" fontId="46" fillId="6" borderId="0" xfId="0" applyFont="1" applyFill="1" applyAlignment="1">
      <alignment horizontal="center"/>
    </xf>
    <xf numFmtId="0" fontId="555" fillId="6" borderId="0" xfId="0" applyFont="1" applyFill="1" applyAlignment="1">
      <alignment horizontal="center"/>
    </xf>
    <xf numFmtId="0" fontId="740" fillId="6" borderId="0" xfId="0" applyFont="1" applyFill="1" applyAlignment="1">
      <alignment horizontal="center"/>
    </xf>
    <xf numFmtId="0" fontId="741" fillId="6" borderId="0" xfId="0" applyFont="1" applyFill="1" applyAlignment="1">
      <alignment horizontal="center"/>
    </xf>
    <xf numFmtId="0" fontId="1009" fillId="6" borderId="0" xfId="0" applyFont="1" applyFill="1" applyAlignment="1">
      <alignment horizontal="center"/>
    </xf>
    <xf numFmtId="0" fontId="1010" fillId="6" borderId="0" xfId="0" applyFont="1" applyFill="1" applyAlignment="1">
      <alignment horizontal="center"/>
    </xf>
    <xf numFmtId="0" fontId="1181" fillId="6" borderId="0" xfId="0" applyFont="1" applyFill="1" applyAlignment="1">
      <alignment horizontal="center"/>
    </xf>
    <xf numFmtId="0" fontId="1182" fillId="6" borderId="0" xfId="0" applyFont="1" applyFill="1" applyAlignment="1">
      <alignment horizontal="center"/>
    </xf>
    <xf numFmtId="0" fontId="1323" fillId="6" borderId="0" xfId="0" applyFont="1" applyFill="1" applyAlignment="1">
      <alignment horizontal="center"/>
    </xf>
    <xf numFmtId="0" fontId="1324" fillId="6" borderId="0" xfId="0" applyFont="1" applyFill="1" applyAlignment="1">
      <alignment horizontal="center"/>
    </xf>
    <xf numFmtId="0" fontId="1704" fillId="6" borderId="0" xfId="0" applyFont="1" applyFill="1" applyAlignment="1">
      <alignment horizontal="center"/>
    </xf>
  </cellXfs>
  <cellStyles count="9">
    <cellStyle name="Comma" xfId="8" builtinId="3"/>
    <cellStyle name="Comma 2" xfId="4" xr:uid="{00000000-0005-0000-0000-000001000000}"/>
    <cellStyle name="Comma 2 2" xfId="7" xr:uid="{00000000-0005-0000-0000-000002000000}"/>
    <cellStyle name="Comma 3" xfId="2" xr:uid="{00000000-0005-0000-0000-000003000000}"/>
    <cellStyle name="Comma 3 2" xfId="6" xr:uid="{00000000-0005-0000-0000-000004000000}"/>
    <cellStyle name="Normal" xfId="0" builtinId="0"/>
    <cellStyle name="Normal 2" xfId="1" xr:uid="{00000000-0005-0000-0000-000006000000}"/>
    <cellStyle name="Normal 42" xfId="5" xr:uid="{00000000-0005-0000-0000-000007000000}"/>
    <cellStyle name="Percent 2"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topLeftCell="A9" workbookViewId="0">
      <selection activeCell="D30" sqref="D30"/>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1" spans="1:4" x14ac:dyDescent="0.25">
      <c r="A1" s="1667" t="s">
        <v>773</v>
      </c>
    </row>
    <row r="2" spans="1:4" x14ac:dyDescent="0.25">
      <c r="A2" s="1668" t="s">
        <v>774</v>
      </c>
      <c r="D2" s="5"/>
    </row>
    <row r="4" spans="1:4" ht="15.75" x14ac:dyDescent="0.25">
      <c r="B4" s="2"/>
      <c r="C4" s="2"/>
    </row>
    <row r="5" spans="1:4" ht="15.75" x14ac:dyDescent="0.25">
      <c r="A5" s="2"/>
      <c r="B5" s="1986" t="s">
        <v>2</v>
      </c>
      <c r="C5" s="1987" t="s">
        <v>2</v>
      </c>
      <c r="D5" s="1988"/>
    </row>
    <row r="6" spans="1:4" ht="15.75" x14ac:dyDescent="0.25">
      <c r="A6" s="2"/>
      <c r="B6" s="2"/>
      <c r="C6" s="2"/>
      <c r="D6" s="2"/>
    </row>
    <row r="7" spans="1:4" ht="18.75" x14ac:dyDescent="0.3">
      <c r="A7" s="2"/>
      <c r="B7" s="1984" t="s">
        <v>783</v>
      </c>
      <c r="C7" s="1984"/>
      <c r="D7" s="1984"/>
    </row>
    <row r="8" spans="1:4" ht="15.75" x14ac:dyDescent="0.25">
      <c r="A8" s="2"/>
      <c r="B8" s="2"/>
      <c r="C8" s="2"/>
      <c r="D8" s="2"/>
    </row>
    <row r="9" spans="1:4" ht="15.75" x14ac:dyDescent="0.25">
      <c r="A9" s="2"/>
      <c r="B9" s="1985" t="s">
        <v>6</v>
      </c>
      <c r="C9" s="1985"/>
      <c r="D9" s="1985"/>
    </row>
    <row r="10" spans="1:4" ht="15.75" x14ac:dyDescent="0.25">
      <c r="A10" s="2"/>
      <c r="B10" s="4" t="s">
        <v>0</v>
      </c>
      <c r="C10" s="3" t="s">
        <v>4</v>
      </c>
      <c r="D10" s="3" t="s">
        <v>3</v>
      </c>
    </row>
    <row r="11" spans="1:4" x14ac:dyDescent="0.25">
      <c r="B11" s="11">
        <v>1</v>
      </c>
      <c r="C11" s="10" t="s">
        <v>7</v>
      </c>
      <c r="D11" s="12" t="s">
        <v>8</v>
      </c>
    </row>
    <row r="12" spans="1:4" x14ac:dyDescent="0.25">
      <c r="B12" s="13">
        <v>2</v>
      </c>
      <c r="C12" s="10" t="s">
        <v>9</v>
      </c>
      <c r="D12" s="14" t="s">
        <v>10</v>
      </c>
    </row>
    <row r="13" spans="1:4" x14ac:dyDescent="0.25">
      <c r="B13" s="15">
        <v>3</v>
      </c>
      <c r="C13" s="10" t="s">
        <v>11</v>
      </c>
      <c r="D13" s="16" t="s">
        <v>12</v>
      </c>
    </row>
    <row r="14" spans="1:4" x14ac:dyDescent="0.25">
      <c r="B14" s="17">
        <v>4</v>
      </c>
      <c r="C14" s="10" t="s">
        <v>13</v>
      </c>
      <c r="D14" s="18" t="s">
        <v>14</v>
      </c>
    </row>
    <row r="15" spans="1:4" x14ac:dyDescent="0.25">
      <c r="B15" s="19">
        <v>5</v>
      </c>
      <c r="C15" s="10" t="s">
        <v>15</v>
      </c>
      <c r="D15" s="20" t="s">
        <v>16</v>
      </c>
    </row>
    <row r="16" spans="1:4" x14ac:dyDescent="0.25">
      <c r="B16" s="21">
        <v>6</v>
      </c>
      <c r="C16" s="10" t="s">
        <v>17</v>
      </c>
      <c r="D16" s="22" t="s">
        <v>18</v>
      </c>
    </row>
    <row r="17" spans="1:4" x14ac:dyDescent="0.25">
      <c r="B17" s="23">
        <v>7</v>
      </c>
      <c r="C17" s="10" t="s">
        <v>19</v>
      </c>
      <c r="D17" s="24" t="s">
        <v>20</v>
      </c>
    </row>
    <row r="18" spans="1:4" x14ac:dyDescent="0.25">
      <c r="B18" s="25">
        <v>8</v>
      </c>
      <c r="C18" s="10" t="s">
        <v>21</v>
      </c>
      <c r="D18" s="26" t="s">
        <v>22</v>
      </c>
    </row>
    <row r="19" spans="1:4" x14ac:dyDescent="0.25">
      <c r="B19" s="27">
        <v>9</v>
      </c>
      <c r="C19" s="10" t="s">
        <v>23</v>
      </c>
      <c r="D19" s="28" t="s">
        <v>24</v>
      </c>
    </row>
    <row r="21" spans="1:4" ht="15.75" x14ac:dyDescent="0.25">
      <c r="A21" s="2"/>
      <c r="B21" s="8" t="s">
        <v>1</v>
      </c>
      <c r="C21" s="6"/>
    </row>
    <row r="22" spans="1:4" ht="90" x14ac:dyDescent="0.25">
      <c r="B22" s="29" t="s">
        <v>25</v>
      </c>
    </row>
    <row r="23" spans="1:4" x14ac:dyDescent="0.25">
      <c r="A23" s="7"/>
      <c r="B23" s="7"/>
      <c r="C23" s="7"/>
      <c r="D23" s="7"/>
    </row>
    <row r="24" spans="1:4" x14ac:dyDescent="0.25">
      <c r="A24" s="7"/>
      <c r="B24" s="1669"/>
      <c r="C24" s="1669"/>
      <c r="D24" s="1669" t="s">
        <v>788</v>
      </c>
    </row>
    <row r="25" spans="1:4" x14ac:dyDescent="0.25">
      <c r="A25" s="7"/>
      <c r="B25" s="1671" t="s">
        <v>26</v>
      </c>
      <c r="C25" s="1671" t="s">
        <v>27</v>
      </c>
      <c r="D25" s="1671" t="s">
        <v>28</v>
      </c>
    </row>
    <row r="26" spans="1:4" x14ac:dyDescent="0.25">
      <c r="A26" s="7"/>
      <c r="B26" s="1670" t="s">
        <v>29</v>
      </c>
      <c r="C26" s="1670" t="s">
        <v>29</v>
      </c>
      <c r="D26" s="1670" t="s">
        <v>30</v>
      </c>
    </row>
    <row r="27" spans="1:4" x14ac:dyDescent="0.25">
      <c r="A27" s="7"/>
      <c r="B27" s="1670"/>
      <c r="C27" s="1670"/>
      <c r="D27" s="1670"/>
    </row>
    <row r="28" spans="1:4" x14ac:dyDescent="0.25">
      <c r="A28" s="7"/>
    </row>
    <row r="29" spans="1:4" x14ac:dyDescent="0.25">
      <c r="A29" s="7"/>
      <c r="B29" s="1672" t="s">
        <v>775</v>
      </c>
      <c r="C29" s="1672" t="s">
        <v>776</v>
      </c>
      <c r="D29" s="1672" t="s">
        <v>777</v>
      </c>
    </row>
    <row r="30" spans="1:4" x14ac:dyDescent="0.25">
      <c r="A30" s="7"/>
      <c r="B30" s="7"/>
      <c r="C30" s="7"/>
      <c r="D30" s="7"/>
    </row>
    <row r="31" spans="1:4" x14ac:dyDescent="0.25">
      <c r="A31" s="7"/>
      <c r="B31" s="7"/>
      <c r="C31" s="7"/>
      <c r="D31" s="7"/>
    </row>
    <row r="32" spans="1:4" x14ac:dyDescent="0.25">
      <c r="A32" s="7"/>
      <c r="B32" s="7"/>
      <c r="C32" s="7"/>
      <c r="D32" s="7"/>
    </row>
    <row r="33" spans="1:4" x14ac:dyDescent="0.25">
      <c r="A33" s="7"/>
      <c r="B33" s="7"/>
      <c r="C33" s="7"/>
      <c r="D33" s="7"/>
    </row>
    <row r="34" spans="1:4" x14ac:dyDescent="0.25">
      <c r="A34" s="7"/>
      <c r="B34" s="7"/>
      <c r="C34" s="7"/>
      <c r="D34" s="7"/>
    </row>
    <row r="35" spans="1:4" x14ac:dyDescent="0.25">
      <c r="A35" s="7"/>
      <c r="B35" s="7"/>
      <c r="C35" s="7"/>
      <c r="D35" s="7"/>
    </row>
    <row r="36" spans="1:4" x14ac:dyDescent="0.25">
      <c r="A36" s="7"/>
      <c r="B36" s="7"/>
      <c r="C36" s="7"/>
      <c r="D36" s="7"/>
    </row>
  </sheetData>
  <mergeCells count="3">
    <mergeCell ref="B7:D7"/>
    <mergeCell ref="B9:D9"/>
    <mergeCell ref="B5:D5"/>
  </mergeCells>
  <hyperlinks>
    <hyperlink ref="D11" location="'KT_06618'!A1" display="KT_06618" xr:uid="{00000000-0004-0000-0000-000000000000}"/>
    <hyperlink ref="D12" location="'BCTCR_06608'!A1" display="BCTCR_06608" xr:uid="{00000000-0004-0000-0000-000001000000}"/>
    <hyperlink ref="D13" location="'CCTTCR_06609'!A1" display="CCTTCR_06609" xr:uid="{00000000-0004-0000-0000-000002000000}"/>
    <hyperlink ref="D14" location="'BCKQHDR_06610'!A1" display="BCKQHDR_06610" xr:uid="{00000000-0004-0000-0000-000003000000}"/>
    <hyperlink ref="D15" location="'BCLCTTRTT_06611'!A1" display="BCLCTTRTT_06611" xr:uid="{00000000-0004-0000-0000-000004000000}"/>
    <hyperlink ref="D16" location="'PLCTTHDMGUTCKHTT_06612'!A1" display="PLCTTHDMGUTCKHTT_06612" xr:uid="{00000000-0004-0000-0000-000005000000}"/>
    <hyperlink ref="D17" location="'BCLCTTRGT_06613'!A1" display="BCLCTTRGT_06613" xr:uid="{00000000-0004-0000-0000-000006000000}"/>
    <hyperlink ref="D18" location="'PLCTTHDMGUTCKHGT_06614'!A1" display="PLCTTHDMGUTCKHGT_06614" xr:uid="{00000000-0004-0000-0000-000007000000}"/>
    <hyperlink ref="D19" location="'BCTHBDVCSH_06615'!A1" display="BCTHBDVCSH_06615" xr:uid="{00000000-0004-0000-0000-000008000000}"/>
  </hyperlinks>
  <pageMargins left="0.7" right="0.7" top="0.75" bottom="0.75" header="0.3" footer="0.3"/>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9">
        <v>2814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
  <sheetViews>
    <sheetView workbookViewId="0">
      <selection activeCell="E14" sqref="E14"/>
    </sheetView>
  </sheetViews>
  <sheetFormatPr defaultRowHeight="15" x14ac:dyDescent="0.25"/>
  <cols>
    <col min="1" max="1" width="23.7109375" bestFit="1" customWidth="1"/>
    <col min="2" max="2" width="11.42578125" bestFit="1" customWidth="1"/>
    <col min="3" max="3" width="22" bestFit="1" customWidth="1"/>
    <col min="4" max="4" width="21.28515625" bestFit="1" customWidth="1"/>
    <col min="5" max="5" width="22" bestFit="1" customWidth="1"/>
    <col min="6" max="7" width="20.140625" bestFit="1" customWidth="1"/>
    <col min="8" max="8" width="82.5703125" customWidth="1"/>
  </cols>
  <sheetData>
    <row r="1" spans="1:8" ht="20.25" x14ac:dyDescent="0.3">
      <c r="A1" s="1989" t="s">
        <v>7</v>
      </c>
      <c r="B1" s="1989" t="s">
        <v>5</v>
      </c>
      <c r="C1" s="1989" t="s">
        <v>5</v>
      </c>
      <c r="D1" s="1989" t="s">
        <v>5</v>
      </c>
      <c r="E1" s="1989" t="s">
        <v>5</v>
      </c>
      <c r="F1" s="1989" t="s">
        <v>5</v>
      </c>
      <c r="G1" s="1989" t="s">
        <v>5</v>
      </c>
      <c r="H1" s="1989" t="s">
        <v>5</v>
      </c>
    </row>
    <row r="2" spans="1:8" ht="18.75" x14ac:dyDescent="0.25">
      <c r="A2" s="31" t="s">
        <v>31</v>
      </c>
      <c r="B2" s="31" t="s">
        <v>32</v>
      </c>
      <c r="C2" s="31" t="s">
        <v>33</v>
      </c>
      <c r="D2" s="31" t="s">
        <v>34</v>
      </c>
      <c r="E2" s="31" t="s">
        <v>33</v>
      </c>
      <c r="F2" s="31" t="s">
        <v>35</v>
      </c>
      <c r="G2" s="31" t="s">
        <v>35</v>
      </c>
      <c r="H2" s="31" t="s">
        <v>36</v>
      </c>
    </row>
    <row r="3" spans="1:8" ht="16.5" x14ac:dyDescent="0.25">
      <c r="A3" s="32"/>
      <c r="B3" s="33"/>
      <c r="C3" s="34"/>
      <c r="D3" s="35"/>
      <c r="E3" s="36"/>
      <c r="F3" s="37"/>
      <c r="G3" s="39"/>
      <c r="H3" s="38"/>
    </row>
    <row r="4" spans="1:8" ht="105" x14ac:dyDescent="0.25">
      <c r="A4" s="1937" t="s">
        <v>780</v>
      </c>
      <c r="B4" s="1673" t="s">
        <v>778</v>
      </c>
      <c r="C4" s="1938" t="s">
        <v>781</v>
      </c>
      <c r="D4" s="1937" t="s">
        <v>785</v>
      </c>
      <c r="E4" s="1975" t="s">
        <v>786</v>
      </c>
      <c r="F4" s="1976">
        <v>46107</v>
      </c>
      <c r="G4" s="1976">
        <v>46107</v>
      </c>
      <c r="H4" s="1977" t="s">
        <v>787</v>
      </c>
    </row>
    <row r="5" spans="1:8" ht="16.5" x14ac:dyDescent="0.25">
      <c r="A5" s="30" t="s">
        <v>37</v>
      </c>
      <c r="B5" s="30" t="s">
        <v>5</v>
      </c>
      <c r="C5" s="30" t="s">
        <v>5</v>
      </c>
      <c r="D5" s="30" t="s">
        <v>5</v>
      </c>
      <c r="E5" s="30" t="s">
        <v>5</v>
      </c>
      <c r="F5" s="30" t="s">
        <v>5</v>
      </c>
      <c r="G5" s="30" t="s">
        <v>5</v>
      </c>
      <c r="H5" s="30" t="s">
        <v>5</v>
      </c>
    </row>
  </sheetData>
  <mergeCells count="1">
    <mergeCell ref="A1:H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H3"/>
  <sheetViews>
    <sheetView workbookViewId="0"/>
  </sheetViews>
  <sheetFormatPr defaultRowHeight="15" x14ac:dyDescent="0.25"/>
  <cols>
    <col min="1" max="1" width="1" style="40" bestFit="1" customWidth="1"/>
    <col min="2" max="8" width="1" bestFit="1" customWidth="1"/>
  </cols>
  <sheetData>
    <row r="3" spans="1:8" x14ac:dyDescent="0.25">
      <c r="A3" t="str">
        <f>CONCATENATE(287228,",",ROW(KT_06618!A3),"|",COLUMN(KT_06618!A3),",1",",0")</f>
        <v>287228,3|1,1,0</v>
      </c>
      <c r="B3" t="str">
        <f>CONCATENATE(287229,",",ROW(KT_06618!B3),"|",COLUMN(KT_06618!B3),",1",",0")</f>
        <v>287229,3|2,1,0</v>
      </c>
      <c r="C3" t="str">
        <f>CONCATENATE(287230,",",ROW(KT_06618!C3),"|",COLUMN(KT_06618!C3),",1",",0")</f>
        <v>287230,3|3,1,0</v>
      </c>
      <c r="D3" t="str">
        <f>CONCATENATE(287231,",",ROW(KT_06618!D3),"|",COLUMN(KT_06618!D3),",1",",0")</f>
        <v>287231,3|4,1,0</v>
      </c>
      <c r="E3" t="str">
        <f>CONCATENATE(287232,",",ROW(KT_06618!E3),"|",COLUMN(KT_06618!E3),",1",",0")</f>
        <v>287232,3|5,1,0</v>
      </c>
      <c r="F3" t="str">
        <f>CONCATENATE(287233,",",ROW(KT_06618!F3),"|",COLUMN(KT_06618!F3),",1",",0")</f>
        <v>287233,3|6,1,0</v>
      </c>
      <c r="G3" t="str">
        <f>CONCATENATE(287235,",",ROW(KT_06618!G3),"|",COLUMN(KT_06618!G3),",1",",0")</f>
        <v>287235,3|7,1,0</v>
      </c>
      <c r="H3" t="str">
        <f>CONCATENATE(287234,",",ROW(KT_06618!H3),"|",COLUMN(KT_06618!H3),",1",",0")</f>
        <v>287234,3|8,1,0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9"/>
  <sheetViews>
    <sheetView zoomScale="85" zoomScaleNormal="85" workbookViewId="0">
      <selection sqref="A1:E1"/>
    </sheetView>
  </sheetViews>
  <sheetFormatPr defaultRowHeight="15" x14ac:dyDescent="0.25"/>
  <cols>
    <col min="1" max="1" width="31.28515625" bestFit="1" customWidth="1"/>
    <col min="2" max="2" width="12.85546875" bestFit="1" customWidth="1"/>
    <col min="3" max="3" width="16.7109375" bestFit="1" customWidth="1"/>
    <col min="4" max="4" width="24.7109375" customWidth="1"/>
    <col min="5" max="5" width="25" bestFit="1" customWidth="1"/>
  </cols>
  <sheetData>
    <row r="1" spans="1:5" ht="20.25" x14ac:dyDescent="0.3">
      <c r="A1" s="1989" t="s">
        <v>9</v>
      </c>
      <c r="B1" s="1990" t="s">
        <v>5</v>
      </c>
      <c r="C1" s="1990" t="s">
        <v>5</v>
      </c>
      <c r="D1" s="1990" t="s">
        <v>5</v>
      </c>
      <c r="E1" s="1990" t="s">
        <v>5</v>
      </c>
    </row>
    <row r="2" spans="1:5" ht="15.75" x14ac:dyDescent="0.25">
      <c r="A2" s="1979" t="s">
        <v>782</v>
      </c>
      <c r="B2" s="1991" t="s">
        <v>5</v>
      </c>
      <c r="C2" s="1991" t="s">
        <v>5</v>
      </c>
      <c r="D2" s="1991" t="s">
        <v>5</v>
      </c>
      <c r="E2" s="1991" t="s">
        <v>5</v>
      </c>
    </row>
    <row r="3" spans="1:5" ht="18.75" x14ac:dyDescent="0.3">
      <c r="A3" s="1992" t="s">
        <v>43</v>
      </c>
      <c r="B3" s="1992" t="s">
        <v>5</v>
      </c>
      <c r="C3" s="1992" t="s">
        <v>5</v>
      </c>
      <c r="D3" s="1992" t="s">
        <v>5</v>
      </c>
      <c r="E3" s="1992" t="s">
        <v>5</v>
      </c>
    </row>
    <row r="4" spans="1:5" ht="18.75" x14ac:dyDescent="0.25">
      <c r="A4" s="42" t="s">
        <v>38</v>
      </c>
      <c r="B4" s="42" t="s">
        <v>39</v>
      </c>
      <c r="C4" s="42" t="s">
        <v>40</v>
      </c>
      <c r="D4" s="42" t="s">
        <v>41</v>
      </c>
      <c r="E4" s="42" t="s">
        <v>42</v>
      </c>
    </row>
    <row r="5" spans="1:5" ht="16.5" x14ac:dyDescent="0.25">
      <c r="A5" s="250" t="s">
        <v>186</v>
      </c>
      <c r="B5" s="206" t="s">
        <v>144</v>
      </c>
      <c r="C5" s="178" t="s">
        <v>116</v>
      </c>
      <c r="D5" s="415" t="s">
        <v>286</v>
      </c>
      <c r="E5" s="179" t="s">
        <v>117</v>
      </c>
    </row>
    <row r="6" spans="1:5" ht="16.5" x14ac:dyDescent="0.25">
      <c r="A6" s="416" t="s">
        <v>287</v>
      </c>
      <c r="B6" s="41" t="s">
        <v>5</v>
      </c>
      <c r="C6" s="136"/>
      <c r="D6" s="87" t="s">
        <v>5</v>
      </c>
      <c r="E6" s="87" t="s">
        <v>5</v>
      </c>
    </row>
    <row r="7" spans="1:5" ht="33" x14ac:dyDescent="0.25">
      <c r="A7" s="417" t="s">
        <v>288</v>
      </c>
      <c r="B7" s="225" t="s">
        <v>161</v>
      </c>
      <c r="C7" s="395"/>
      <c r="D7" s="1942">
        <f>+D8+D28</f>
        <v>6479776240903</v>
      </c>
      <c r="E7" s="1942">
        <f>+E8+E28</f>
        <v>5080994655407</v>
      </c>
    </row>
    <row r="8" spans="1:5" ht="16.5" x14ac:dyDescent="0.25">
      <c r="A8" s="185" t="s">
        <v>123</v>
      </c>
      <c r="B8" s="367" t="s">
        <v>279</v>
      </c>
      <c r="C8" s="88"/>
      <c r="D8" s="1942">
        <f>+D9+D12+D13+D14+D15+D16+D17+D22++D23+D24+D25+D26+D27</f>
        <v>6473913240205</v>
      </c>
      <c r="E8" s="1942">
        <f>+E9+E12+E13+E14+E15+E16+E17+E22++E23+E24+E25+E26+E27</f>
        <v>5074653021947</v>
      </c>
    </row>
    <row r="9" spans="1:5" ht="33" x14ac:dyDescent="0.25">
      <c r="A9" s="418" t="s">
        <v>289</v>
      </c>
      <c r="B9" s="226" t="s">
        <v>162</v>
      </c>
      <c r="C9" s="405"/>
      <c r="D9" s="1958">
        <f>+D10+D11</f>
        <v>367910939027</v>
      </c>
      <c r="E9" s="1958">
        <f>+E10+E11</f>
        <v>167854336536</v>
      </c>
    </row>
    <row r="10" spans="1:5" ht="16.5" x14ac:dyDescent="0.25">
      <c r="A10" s="186" t="s">
        <v>124</v>
      </c>
      <c r="B10" s="368" t="s">
        <v>280</v>
      </c>
      <c r="C10" s="89"/>
      <c r="D10" s="1958">
        <v>367910939027</v>
      </c>
      <c r="E10" s="1958">
        <v>167854336536</v>
      </c>
    </row>
    <row r="11" spans="1:5" ht="33" x14ac:dyDescent="0.25">
      <c r="A11" s="43" t="s">
        <v>44</v>
      </c>
      <c r="B11" s="314" t="s">
        <v>248</v>
      </c>
      <c r="C11" s="342"/>
      <c r="D11" s="1959"/>
      <c r="E11" s="1959"/>
    </row>
    <row r="12" spans="1:5" ht="33" customHeight="1" x14ac:dyDescent="0.25">
      <c r="A12" s="187" t="s">
        <v>125</v>
      </c>
      <c r="B12" s="267" t="s">
        <v>202</v>
      </c>
      <c r="C12" s="90"/>
      <c r="D12" s="1674">
        <v>596931012196</v>
      </c>
      <c r="E12" s="1674">
        <v>416563567584</v>
      </c>
    </row>
    <row r="13" spans="1:5" ht="33" x14ac:dyDescent="0.25">
      <c r="A13" s="419" t="s">
        <v>290</v>
      </c>
      <c r="B13" s="227" t="s">
        <v>163</v>
      </c>
      <c r="C13" s="406"/>
      <c r="D13" s="1675">
        <v>787098313696</v>
      </c>
      <c r="E13" s="1675">
        <v>860549280822</v>
      </c>
    </row>
    <row r="14" spans="1:5" ht="16.5" x14ac:dyDescent="0.25">
      <c r="A14" s="420" t="s">
        <v>291</v>
      </c>
      <c r="B14" s="268" t="s">
        <v>203</v>
      </c>
      <c r="C14" s="407"/>
      <c r="D14" s="1675">
        <v>4557146139544</v>
      </c>
      <c r="E14" s="1675">
        <v>3503735501065</v>
      </c>
    </row>
    <row r="15" spans="1:5" ht="33" x14ac:dyDescent="0.25">
      <c r="A15" s="188" t="s">
        <v>126</v>
      </c>
      <c r="B15" s="315" t="s">
        <v>249</v>
      </c>
      <c r="C15" s="91"/>
      <c r="D15" s="1676">
        <v>168838563387</v>
      </c>
      <c r="E15" s="1676">
        <v>164918492047</v>
      </c>
    </row>
    <row r="16" spans="1:5" ht="66" x14ac:dyDescent="0.25">
      <c r="A16" s="421" t="s">
        <v>292</v>
      </c>
      <c r="B16" s="369" t="s">
        <v>281</v>
      </c>
      <c r="C16" s="408"/>
      <c r="D16" s="1677">
        <v>-57136773335</v>
      </c>
      <c r="E16" s="1677">
        <v>-109653683194</v>
      </c>
    </row>
    <row r="17" spans="1:5" ht="16.5" x14ac:dyDescent="0.25">
      <c r="A17" s="189" t="s">
        <v>127</v>
      </c>
      <c r="B17" s="269" t="s">
        <v>204</v>
      </c>
      <c r="C17" s="92"/>
      <c r="D17" s="1678">
        <v>73118360649</v>
      </c>
      <c r="E17" s="1678">
        <f>+E18+E19</f>
        <v>57967118793</v>
      </c>
    </row>
    <row r="18" spans="1:5" ht="33" x14ac:dyDescent="0.25">
      <c r="A18" s="190" t="s">
        <v>128</v>
      </c>
      <c r="B18" s="370" t="s">
        <v>282</v>
      </c>
      <c r="C18" s="93"/>
      <c r="D18" s="1679">
        <v>30041005700</v>
      </c>
      <c r="E18" s="1679">
        <v>22650925000</v>
      </c>
    </row>
    <row r="19" spans="1:5" ht="49.5" x14ac:dyDescent="0.25">
      <c r="A19" s="251" t="s">
        <v>187</v>
      </c>
      <c r="B19" s="115" t="s">
        <v>80</v>
      </c>
      <c r="C19" s="409"/>
      <c r="D19" s="1680">
        <v>43077354949</v>
      </c>
      <c r="E19" s="1680">
        <v>35316193793</v>
      </c>
    </row>
    <row r="20" spans="1:5" ht="33" x14ac:dyDescent="0.25">
      <c r="A20" s="422" t="s">
        <v>293</v>
      </c>
      <c r="B20" s="316" t="s">
        <v>250</v>
      </c>
      <c r="C20" s="343"/>
      <c r="D20" s="1681"/>
      <c r="E20" s="1681"/>
    </row>
    <row r="21" spans="1:5" ht="33" x14ac:dyDescent="0.25">
      <c r="A21" s="44" t="s">
        <v>45</v>
      </c>
      <c r="B21" s="228" t="s">
        <v>164</v>
      </c>
      <c r="C21" s="410"/>
      <c r="D21" s="1682">
        <v>43077354949</v>
      </c>
      <c r="E21" s="1682">
        <v>35316193793</v>
      </c>
    </row>
    <row r="22" spans="1:5" ht="16.5" x14ac:dyDescent="0.25">
      <c r="A22" s="252" t="s">
        <v>188</v>
      </c>
      <c r="B22" s="129" t="s">
        <v>94</v>
      </c>
      <c r="C22" s="411"/>
      <c r="D22" s="1683">
        <v>3756693164</v>
      </c>
      <c r="E22" s="1683">
        <v>10152924445</v>
      </c>
    </row>
    <row r="23" spans="1:5" ht="33" x14ac:dyDescent="0.25">
      <c r="A23" s="191" t="s">
        <v>129</v>
      </c>
      <c r="B23" s="317" t="s">
        <v>251</v>
      </c>
      <c r="C23" s="399"/>
      <c r="D23" s="1684">
        <v>11032464813</v>
      </c>
      <c r="E23" s="1684">
        <v>8986931664</v>
      </c>
    </row>
    <row r="24" spans="1:5" ht="16.5" x14ac:dyDescent="0.25">
      <c r="A24" s="45" t="s">
        <v>46</v>
      </c>
      <c r="B24" s="130" t="s">
        <v>95</v>
      </c>
      <c r="C24" s="412"/>
      <c r="D24" s="1685"/>
      <c r="E24" s="1685"/>
    </row>
    <row r="25" spans="1:5" ht="33" x14ac:dyDescent="0.25">
      <c r="A25" s="192" t="s">
        <v>130</v>
      </c>
      <c r="B25" s="131" t="s">
        <v>96</v>
      </c>
      <c r="C25" s="94"/>
      <c r="D25" s="1686"/>
      <c r="E25" s="1686"/>
    </row>
    <row r="26" spans="1:5" ht="16.5" x14ac:dyDescent="0.25">
      <c r="A26" s="423" t="s">
        <v>294</v>
      </c>
      <c r="B26" s="270" t="s">
        <v>205</v>
      </c>
      <c r="C26" s="413"/>
      <c r="D26" s="1687">
        <v>12970197288</v>
      </c>
      <c r="E26" s="1687">
        <v>13048922259</v>
      </c>
    </row>
    <row r="27" spans="1:5" ht="33" x14ac:dyDescent="0.25">
      <c r="A27" s="253" t="s">
        <v>189</v>
      </c>
      <c r="B27" s="271" t="s">
        <v>206</v>
      </c>
      <c r="C27" s="414"/>
      <c r="D27" s="1688">
        <v>-47752670224</v>
      </c>
      <c r="E27" s="1688">
        <v>-19470370074</v>
      </c>
    </row>
    <row r="28" spans="1:5" ht="16.5" x14ac:dyDescent="0.25">
      <c r="A28" s="254" t="s">
        <v>190</v>
      </c>
      <c r="B28" s="180" t="s">
        <v>118</v>
      </c>
      <c r="C28" s="344"/>
      <c r="D28" s="1925">
        <f>SUM(D29:D33)</f>
        <v>5863000698</v>
      </c>
      <c r="E28" s="1925">
        <f>SUM(E29:E33)</f>
        <v>6341633460</v>
      </c>
    </row>
    <row r="29" spans="1:5" ht="16.5" x14ac:dyDescent="0.25">
      <c r="A29" s="46" t="s">
        <v>47</v>
      </c>
      <c r="B29" s="116" t="s">
        <v>81</v>
      </c>
      <c r="C29" s="209"/>
      <c r="D29" s="1689">
        <v>271000000</v>
      </c>
      <c r="E29" s="1689">
        <v>205700000</v>
      </c>
    </row>
    <row r="30" spans="1:5" ht="33" x14ac:dyDescent="0.25">
      <c r="A30" s="47" t="s">
        <v>48</v>
      </c>
      <c r="B30" s="229" t="s">
        <v>165</v>
      </c>
      <c r="C30" s="107"/>
      <c r="D30" s="1690">
        <v>136377620</v>
      </c>
      <c r="E30" s="1690">
        <v>155779000</v>
      </c>
    </row>
    <row r="31" spans="1:5" ht="16.5" x14ac:dyDescent="0.25">
      <c r="A31" s="329" t="s">
        <v>263</v>
      </c>
      <c r="B31" s="318" t="s">
        <v>252</v>
      </c>
      <c r="C31" s="345"/>
      <c r="D31" s="1691">
        <v>5361623078</v>
      </c>
      <c r="E31" s="1691">
        <v>5914154460</v>
      </c>
    </row>
    <row r="32" spans="1:5" ht="33" x14ac:dyDescent="0.25">
      <c r="A32" s="313" t="s">
        <v>247</v>
      </c>
      <c r="B32" s="272" t="s">
        <v>207</v>
      </c>
      <c r="C32" s="341"/>
      <c r="D32" s="1692">
        <v>94000000</v>
      </c>
      <c r="E32" s="1692">
        <v>66000000</v>
      </c>
    </row>
    <row r="33" spans="1:5" ht="33" x14ac:dyDescent="0.25">
      <c r="A33" s="48" t="s">
        <v>49</v>
      </c>
      <c r="B33" s="230" t="s">
        <v>166</v>
      </c>
      <c r="C33" s="108"/>
      <c r="D33" s="1693" t="s">
        <v>779</v>
      </c>
      <c r="E33" s="1693"/>
    </row>
    <row r="34" spans="1:5" ht="33" x14ac:dyDescent="0.25">
      <c r="A34" s="424" t="s">
        <v>295</v>
      </c>
      <c r="B34" s="132" t="s">
        <v>97</v>
      </c>
      <c r="C34" s="109"/>
      <c r="D34" s="1694"/>
      <c r="E34" s="1694"/>
    </row>
    <row r="35" spans="1:5" ht="16.5" x14ac:dyDescent="0.25">
      <c r="A35" s="49" t="s">
        <v>50</v>
      </c>
      <c r="B35" s="231" t="s">
        <v>167</v>
      </c>
      <c r="C35" s="110"/>
      <c r="D35" s="1695"/>
      <c r="E35" s="1695"/>
    </row>
    <row r="36" spans="1:5" ht="33" x14ac:dyDescent="0.25">
      <c r="A36" s="425" t="s">
        <v>296</v>
      </c>
      <c r="B36" s="117" t="s">
        <v>82</v>
      </c>
      <c r="C36" s="111"/>
      <c r="D36" s="1696"/>
      <c r="E36" s="1696"/>
    </row>
    <row r="37" spans="1:5" ht="33" x14ac:dyDescent="0.25">
      <c r="A37" s="330" t="s">
        <v>264</v>
      </c>
      <c r="B37" s="319" t="s">
        <v>253</v>
      </c>
      <c r="C37" s="346"/>
      <c r="D37" s="1697"/>
      <c r="E37" s="1697"/>
    </row>
    <row r="38" spans="1:5" ht="49.5" x14ac:dyDescent="0.25">
      <c r="A38" s="193" t="s">
        <v>131</v>
      </c>
      <c r="B38" s="118" t="s">
        <v>83</v>
      </c>
      <c r="C38" s="95"/>
      <c r="D38" s="1925">
        <f>+D39+D47+D60+D64+D65+D71</f>
        <v>553222987393</v>
      </c>
      <c r="E38" s="1925">
        <f>+E39+E47+E60+E64+E65+E71</f>
        <v>547665110380</v>
      </c>
    </row>
    <row r="39" spans="1:5" ht="16.5" x14ac:dyDescent="0.25">
      <c r="A39" s="426" t="s">
        <v>297</v>
      </c>
      <c r="B39" s="119" t="s">
        <v>84</v>
      </c>
      <c r="C39" s="71"/>
      <c r="D39" s="1925">
        <f>+D40+D41+D46</f>
        <v>482784510127</v>
      </c>
      <c r="E39" s="1925">
        <f>+E40+E41+E46</f>
        <v>471214589773</v>
      </c>
    </row>
    <row r="40" spans="1:5" ht="16.5" x14ac:dyDescent="0.25">
      <c r="A40" s="63" t="s">
        <v>64</v>
      </c>
      <c r="B40" s="320" t="s">
        <v>254</v>
      </c>
      <c r="C40" s="347"/>
      <c r="D40" s="1698"/>
      <c r="E40" s="1698"/>
    </row>
    <row r="41" spans="1:5" ht="16.5" x14ac:dyDescent="0.25">
      <c r="A41" s="427" t="s">
        <v>298</v>
      </c>
      <c r="B41" s="133" t="s">
        <v>98</v>
      </c>
      <c r="C41" s="112"/>
      <c r="D41" s="1699">
        <v>482784510127</v>
      </c>
      <c r="E41" s="1699">
        <f>+E42+E43+E44+E45</f>
        <v>474155973773</v>
      </c>
    </row>
    <row r="42" spans="1:5" ht="33" x14ac:dyDescent="0.25">
      <c r="A42" s="331" t="s">
        <v>265</v>
      </c>
      <c r="B42" s="285" t="s">
        <v>219</v>
      </c>
      <c r="C42" s="396"/>
      <c r="D42" s="1700">
        <v>302596817388</v>
      </c>
      <c r="E42" s="1700">
        <v>302597007664</v>
      </c>
    </row>
    <row r="43" spans="1:5" ht="16.5" x14ac:dyDescent="0.25">
      <c r="A43" s="50" t="s">
        <v>51</v>
      </c>
      <c r="B43" s="286" t="s">
        <v>220</v>
      </c>
      <c r="C43" s="113"/>
      <c r="D43" s="1701"/>
      <c r="E43" s="1701"/>
    </row>
    <row r="44" spans="1:5" ht="33" x14ac:dyDescent="0.25">
      <c r="A44" s="194" t="s">
        <v>132</v>
      </c>
      <c r="B44" s="287" t="s">
        <v>221</v>
      </c>
      <c r="C44" s="96"/>
      <c r="D44" s="1702"/>
      <c r="E44" s="1702"/>
    </row>
    <row r="45" spans="1:5" ht="16.5" x14ac:dyDescent="0.25">
      <c r="A45" s="121" t="s">
        <v>86</v>
      </c>
      <c r="B45" s="232" t="s">
        <v>168</v>
      </c>
      <c r="C45" s="397"/>
      <c r="D45" s="1703">
        <v>180187692739</v>
      </c>
      <c r="E45" s="1703">
        <v>171558966109</v>
      </c>
    </row>
    <row r="46" spans="1:5" ht="33" x14ac:dyDescent="0.25">
      <c r="A46" s="122" t="s">
        <v>87</v>
      </c>
      <c r="B46" s="55" t="s">
        <v>55</v>
      </c>
      <c r="C46" s="398"/>
      <c r="D46" s="1704"/>
      <c r="E46" s="1704">
        <v>-2941384000</v>
      </c>
    </row>
    <row r="47" spans="1:5" ht="16.5" x14ac:dyDescent="0.25">
      <c r="A47" s="123" t="s">
        <v>88</v>
      </c>
      <c r="B47" s="288" t="s">
        <v>222</v>
      </c>
      <c r="C47" s="400"/>
      <c r="D47" s="1925">
        <f>+D48+D56</f>
        <v>22034033251</v>
      </c>
      <c r="E47" s="1925">
        <f>+E48+E56</f>
        <v>19663795172</v>
      </c>
    </row>
    <row r="48" spans="1:5" ht="16.5" x14ac:dyDescent="0.25">
      <c r="A48" s="1939" t="s">
        <v>299</v>
      </c>
      <c r="B48" s="1927" t="s">
        <v>266</v>
      </c>
      <c r="C48" s="1939"/>
      <c r="D48" s="1925">
        <f>+D49+D50+D51</f>
        <v>14351987273</v>
      </c>
      <c r="E48" s="1925">
        <f>+E49+E50+E51</f>
        <v>11743292692</v>
      </c>
    </row>
    <row r="49" spans="1:5" ht="16.5" x14ac:dyDescent="0.25">
      <c r="A49" s="428" t="s">
        <v>134</v>
      </c>
      <c r="B49" s="289" t="s">
        <v>223</v>
      </c>
      <c r="C49" s="161"/>
      <c r="D49" s="1705">
        <v>58858404192</v>
      </c>
      <c r="E49" s="1705">
        <v>51080662613</v>
      </c>
    </row>
    <row r="50" spans="1:5" ht="16.5" x14ac:dyDescent="0.25">
      <c r="A50" s="51" t="s">
        <v>52</v>
      </c>
      <c r="B50" s="290" t="s">
        <v>224</v>
      </c>
      <c r="C50" s="138"/>
      <c r="D50" s="1706">
        <v>-44506416919</v>
      </c>
      <c r="E50" s="1706">
        <v>-39337369921</v>
      </c>
    </row>
    <row r="51" spans="1:5" ht="33" x14ac:dyDescent="0.25">
      <c r="A51" s="52" t="s">
        <v>53</v>
      </c>
      <c r="B51" s="291" t="s">
        <v>225</v>
      </c>
      <c r="C51" s="139"/>
      <c r="D51" s="1707"/>
      <c r="E51" s="1707"/>
    </row>
    <row r="52" spans="1:5" ht="33" x14ac:dyDescent="0.25">
      <c r="A52" s="195" t="s">
        <v>133</v>
      </c>
      <c r="B52" s="292" t="s">
        <v>226</v>
      </c>
      <c r="C52" s="97"/>
      <c r="D52" s="1708">
        <f>+D53+D54+D55</f>
        <v>0</v>
      </c>
      <c r="E52" s="1708">
        <f>+E53+E54+E55</f>
        <v>0</v>
      </c>
    </row>
    <row r="53" spans="1:5" ht="16.5" x14ac:dyDescent="0.25">
      <c r="A53" s="196" t="s">
        <v>134</v>
      </c>
      <c r="B53" s="321" t="s">
        <v>255</v>
      </c>
      <c r="C53" s="98"/>
      <c r="D53" s="1709"/>
      <c r="E53" s="1709"/>
    </row>
    <row r="54" spans="1:5" ht="16.5" x14ac:dyDescent="0.25">
      <c r="A54" s="429" t="s">
        <v>52</v>
      </c>
      <c r="B54" s="293" t="s">
        <v>227</v>
      </c>
      <c r="C54" s="140"/>
      <c r="D54" s="1710"/>
      <c r="E54" s="1710"/>
    </row>
    <row r="55" spans="1:5" ht="33" x14ac:dyDescent="0.25">
      <c r="A55" s="197" t="s">
        <v>135</v>
      </c>
      <c r="B55" s="233" t="s">
        <v>169</v>
      </c>
      <c r="C55" s="99"/>
      <c r="D55" s="1711"/>
      <c r="E55" s="1711"/>
    </row>
    <row r="56" spans="1:5" ht="16.5" x14ac:dyDescent="0.25">
      <c r="A56" s="1939" t="s">
        <v>136</v>
      </c>
      <c r="B56" s="56" t="s">
        <v>56</v>
      </c>
      <c r="C56" s="100"/>
      <c r="D56" s="1925">
        <f>+D57+D58+D59</f>
        <v>7682045978</v>
      </c>
      <c r="E56" s="1925">
        <f>+E57+E58+E59</f>
        <v>7920502480</v>
      </c>
    </row>
    <row r="57" spans="1:5" ht="16.5" x14ac:dyDescent="0.25">
      <c r="A57" s="198" t="s">
        <v>137</v>
      </c>
      <c r="B57" s="294" t="s">
        <v>228</v>
      </c>
      <c r="C57" s="101"/>
      <c r="D57" s="1712">
        <v>28951866090</v>
      </c>
      <c r="E57" s="1712">
        <v>27185516090</v>
      </c>
    </row>
    <row r="58" spans="1:5" ht="16.5" x14ac:dyDescent="0.25">
      <c r="A58" s="264" t="s">
        <v>54</v>
      </c>
      <c r="B58" s="234" t="s">
        <v>170</v>
      </c>
      <c r="C58" s="141"/>
      <c r="D58" s="1713">
        <v>-21269820112</v>
      </c>
      <c r="E58" s="1713">
        <v>-19265013610</v>
      </c>
    </row>
    <row r="59" spans="1:5" ht="33" x14ac:dyDescent="0.25">
      <c r="A59" s="64" t="s">
        <v>65</v>
      </c>
      <c r="B59" s="295" t="s">
        <v>229</v>
      </c>
      <c r="C59" s="142"/>
      <c r="D59" s="1714"/>
      <c r="E59" s="1714"/>
    </row>
    <row r="60" spans="1:5" ht="16.5" x14ac:dyDescent="0.25">
      <c r="A60" s="124" t="s">
        <v>89</v>
      </c>
      <c r="B60" s="296" t="s">
        <v>230</v>
      </c>
      <c r="C60" s="401"/>
      <c r="D60" s="1715"/>
      <c r="E60" s="1715"/>
    </row>
    <row r="61" spans="1:5" ht="16.5" x14ac:dyDescent="0.25">
      <c r="A61" s="199" t="s">
        <v>137</v>
      </c>
      <c r="B61" s="235" t="s">
        <v>171</v>
      </c>
      <c r="C61" s="102"/>
      <c r="D61" s="1716"/>
      <c r="E61" s="1716"/>
    </row>
    <row r="62" spans="1:5" ht="16.5" x14ac:dyDescent="0.25">
      <c r="A62" s="53" t="s">
        <v>54</v>
      </c>
      <c r="B62" s="297" t="s">
        <v>231</v>
      </c>
      <c r="C62" s="143"/>
      <c r="D62" s="1717"/>
      <c r="E62" s="1717"/>
    </row>
    <row r="63" spans="1:5" ht="33" x14ac:dyDescent="0.25">
      <c r="A63" s="125" t="s">
        <v>90</v>
      </c>
      <c r="B63" s="236" t="s">
        <v>172</v>
      </c>
      <c r="C63" s="402"/>
      <c r="D63" s="1718"/>
      <c r="E63" s="1718"/>
    </row>
    <row r="64" spans="1:5" ht="33" x14ac:dyDescent="0.25">
      <c r="A64" s="200" t="s">
        <v>138</v>
      </c>
      <c r="B64" s="322" t="s">
        <v>256</v>
      </c>
      <c r="C64" s="103"/>
      <c r="D64" s="1719">
        <v>1306975000</v>
      </c>
      <c r="E64" s="1719"/>
    </row>
    <row r="65" spans="1:5" ht="16.5" x14ac:dyDescent="0.25">
      <c r="A65" s="126" t="s">
        <v>91</v>
      </c>
      <c r="B65" s="1927" t="s">
        <v>57</v>
      </c>
      <c r="C65" s="1939"/>
      <c r="D65" s="1925">
        <f>+D66+D67+D68+D69+D70</f>
        <v>47097469015</v>
      </c>
      <c r="E65" s="1925">
        <f>+E66+E67+E68+E69+E70</f>
        <v>56786725435</v>
      </c>
    </row>
    <row r="66" spans="1:5" ht="33" x14ac:dyDescent="0.25">
      <c r="A66" s="201" t="s">
        <v>139</v>
      </c>
      <c r="B66" s="298" t="s">
        <v>232</v>
      </c>
      <c r="C66" s="104"/>
      <c r="D66" s="1720">
        <v>2407511192</v>
      </c>
      <c r="E66" s="1720">
        <v>2176565237</v>
      </c>
    </row>
    <row r="67" spans="1:5" ht="16.5" x14ac:dyDescent="0.25">
      <c r="A67" s="258" t="s">
        <v>194</v>
      </c>
      <c r="B67" s="237" t="s">
        <v>173</v>
      </c>
      <c r="C67" s="144"/>
      <c r="D67" s="1721">
        <v>23830214301</v>
      </c>
      <c r="E67" s="1721">
        <v>33399650083</v>
      </c>
    </row>
    <row r="68" spans="1:5" ht="33" x14ac:dyDescent="0.25">
      <c r="A68" s="73" t="s">
        <v>72</v>
      </c>
      <c r="B68" s="299" t="s">
        <v>233</v>
      </c>
      <c r="C68" s="145"/>
      <c r="D68" s="1722"/>
      <c r="E68" s="1722"/>
    </row>
    <row r="69" spans="1:5" ht="33" x14ac:dyDescent="0.25">
      <c r="A69" s="181" t="s">
        <v>119</v>
      </c>
      <c r="B69" s="300" t="s">
        <v>234</v>
      </c>
      <c r="C69" s="146"/>
      <c r="D69" s="1723">
        <v>20859743522</v>
      </c>
      <c r="E69" s="1723">
        <v>21210510115</v>
      </c>
    </row>
    <row r="70" spans="1:5" ht="16.5" x14ac:dyDescent="0.25">
      <c r="A70" s="65" t="s">
        <v>66</v>
      </c>
      <c r="B70" s="57" t="s">
        <v>58</v>
      </c>
      <c r="C70" s="147"/>
      <c r="D70" s="1724"/>
      <c r="E70" s="1724"/>
    </row>
    <row r="71" spans="1:5" ht="33" x14ac:dyDescent="0.25">
      <c r="A71" s="127" t="s">
        <v>92</v>
      </c>
      <c r="B71" s="301" t="s">
        <v>235</v>
      </c>
      <c r="C71" s="403"/>
      <c r="D71" s="1725"/>
      <c r="E71" s="1725"/>
    </row>
    <row r="72" spans="1:5" ht="16.5" x14ac:dyDescent="0.25">
      <c r="A72" s="207" t="s">
        <v>145</v>
      </c>
      <c r="B72" s="41" t="s">
        <v>5</v>
      </c>
      <c r="C72" s="333"/>
      <c r="D72" s="1942">
        <f>+D38+D7</f>
        <v>7032999228296</v>
      </c>
      <c r="E72" s="1942">
        <f>+E38+E7</f>
        <v>5628659765787</v>
      </c>
    </row>
    <row r="73" spans="1:5" ht="16.5" x14ac:dyDescent="0.25">
      <c r="A73" s="182" t="s">
        <v>120</v>
      </c>
      <c r="B73" s="238" t="s">
        <v>174</v>
      </c>
      <c r="C73" s="148"/>
      <c r="D73" s="1956"/>
      <c r="E73" s="1956"/>
    </row>
    <row r="74" spans="1:5" ht="16.5" x14ac:dyDescent="0.25">
      <c r="A74" s="183" t="s">
        <v>121</v>
      </c>
      <c r="B74" s="239" t="s">
        <v>175</v>
      </c>
      <c r="C74" s="149"/>
      <c r="D74" s="1942">
        <f>+D75+D98</f>
        <v>4376210636405</v>
      </c>
      <c r="E74" s="1942">
        <f>+E75+E98</f>
        <v>3153287233438</v>
      </c>
    </row>
    <row r="75" spans="1:5" ht="16.5" x14ac:dyDescent="0.25">
      <c r="A75" s="74" t="s">
        <v>73</v>
      </c>
      <c r="B75" s="302" t="s">
        <v>236</v>
      </c>
      <c r="C75" s="150"/>
      <c r="D75" s="1942">
        <f>+D76+D79+D80+D81+D82+D83+D84+D85+D86+D87+D88+D89+D90+D91+D92+D93+D94+D95+D96+D97</f>
        <v>4330690774733</v>
      </c>
      <c r="E75" s="1942">
        <f>+E76+E79+E80+E81+E82+E83+E84+E85+E86+E87+E88+E89+E90+E91+E92+E93+E94+E95+E96+E97</f>
        <v>3118981333079</v>
      </c>
    </row>
    <row r="76" spans="1:5" ht="33" x14ac:dyDescent="0.25">
      <c r="A76" s="128" t="s">
        <v>93</v>
      </c>
      <c r="B76" s="240" t="s">
        <v>176</v>
      </c>
      <c r="C76" s="404"/>
      <c r="D76" s="1957">
        <f>+D77+D78</f>
        <v>4070368955884</v>
      </c>
      <c r="E76" s="1957">
        <f>+E77+E78</f>
        <v>2908548369811</v>
      </c>
    </row>
    <row r="77" spans="1:5" ht="16.5" x14ac:dyDescent="0.25">
      <c r="A77" s="75" t="s">
        <v>74</v>
      </c>
      <c r="B77" s="303" t="s">
        <v>237</v>
      </c>
      <c r="C77" s="151"/>
      <c r="D77" s="1726">
        <v>4070368955884</v>
      </c>
      <c r="E77" s="1726">
        <v>2908548369811</v>
      </c>
    </row>
    <row r="78" spans="1:5" ht="33" x14ac:dyDescent="0.25">
      <c r="A78" s="213" t="s">
        <v>149</v>
      </c>
      <c r="B78" s="241" t="s">
        <v>177</v>
      </c>
      <c r="C78" s="152"/>
      <c r="D78" s="1727"/>
      <c r="E78" s="1727"/>
    </row>
    <row r="79" spans="1:5" ht="33" x14ac:dyDescent="0.25">
      <c r="A79" s="255" t="s">
        <v>191</v>
      </c>
      <c r="B79" s="242" t="s">
        <v>178</v>
      </c>
      <c r="C79" s="153"/>
      <c r="D79" s="1728"/>
      <c r="E79" s="1728"/>
    </row>
    <row r="80" spans="1:5" ht="33" x14ac:dyDescent="0.25">
      <c r="A80" s="310" t="s">
        <v>244</v>
      </c>
      <c r="B80" s="59" t="s">
        <v>60</v>
      </c>
      <c r="C80" s="392"/>
      <c r="D80" s="1729"/>
      <c r="E80" s="1729"/>
    </row>
    <row r="81" spans="1:5" ht="33" x14ac:dyDescent="0.25">
      <c r="A81" s="311" t="s">
        <v>245</v>
      </c>
      <c r="B81" s="243" t="s">
        <v>179</v>
      </c>
      <c r="C81" s="393"/>
      <c r="D81" s="1730"/>
      <c r="E81" s="1730"/>
    </row>
    <row r="82" spans="1:5" ht="16.5" x14ac:dyDescent="0.25">
      <c r="A82" s="312" t="s">
        <v>246</v>
      </c>
      <c r="B82" s="60" t="s">
        <v>61</v>
      </c>
      <c r="C82" s="394"/>
      <c r="D82" s="1731"/>
      <c r="E82" s="1731"/>
    </row>
    <row r="83" spans="1:5" ht="33" x14ac:dyDescent="0.25">
      <c r="A83" s="248" t="s">
        <v>184</v>
      </c>
      <c r="B83" s="304" t="s">
        <v>238</v>
      </c>
      <c r="C83" s="154"/>
      <c r="D83" s="1732">
        <v>7310248791</v>
      </c>
      <c r="E83" s="1732">
        <v>4686958543</v>
      </c>
    </row>
    <row r="84" spans="1:5" ht="33" x14ac:dyDescent="0.25">
      <c r="A84" s="430" t="s">
        <v>300</v>
      </c>
      <c r="B84" s="305" t="s">
        <v>239</v>
      </c>
      <c r="C84" s="155"/>
      <c r="D84" s="1733"/>
      <c r="E84" s="1733"/>
    </row>
    <row r="85" spans="1:5" ht="33" customHeight="1" x14ac:dyDescent="0.25">
      <c r="A85" s="431" t="s">
        <v>301</v>
      </c>
      <c r="B85" s="307" t="s">
        <v>241</v>
      </c>
      <c r="C85" s="156"/>
      <c r="D85" s="1734">
        <v>2768539312</v>
      </c>
      <c r="E85" s="1734">
        <v>11259867371</v>
      </c>
    </row>
    <row r="86" spans="1:5" ht="33" x14ac:dyDescent="0.25">
      <c r="A86" s="432" t="s">
        <v>302</v>
      </c>
      <c r="B86" s="244" t="s">
        <v>180</v>
      </c>
      <c r="C86" s="157"/>
      <c r="D86" s="1735">
        <v>4184580000</v>
      </c>
      <c r="E86" s="1735">
        <v>21326000000</v>
      </c>
    </row>
    <row r="87" spans="1:5" ht="33" x14ac:dyDescent="0.25">
      <c r="A87" s="433" t="s">
        <v>303</v>
      </c>
      <c r="B87" s="308" t="s">
        <v>242</v>
      </c>
      <c r="C87" s="158"/>
      <c r="D87" s="1736">
        <v>23185374616</v>
      </c>
      <c r="E87" s="1736">
        <v>22189529933</v>
      </c>
    </row>
    <row r="88" spans="1:5" ht="16.5" x14ac:dyDescent="0.25">
      <c r="A88" s="434" t="s">
        <v>304</v>
      </c>
      <c r="B88" s="309" t="s">
        <v>243</v>
      </c>
      <c r="C88" s="159"/>
      <c r="D88" s="1737">
        <v>117470841136</v>
      </c>
      <c r="E88" s="1737">
        <v>113102490705</v>
      </c>
    </row>
    <row r="89" spans="1:5" ht="33" x14ac:dyDescent="0.25">
      <c r="A89" s="435" t="s">
        <v>305</v>
      </c>
      <c r="B89" s="162" t="s">
        <v>100</v>
      </c>
      <c r="C89" s="72"/>
      <c r="D89" s="1738">
        <v>1373456171</v>
      </c>
      <c r="E89" s="1738">
        <v>1682252723</v>
      </c>
    </row>
    <row r="90" spans="1:5" ht="16.5" x14ac:dyDescent="0.25">
      <c r="A90" s="355" t="s">
        <v>267</v>
      </c>
      <c r="B90" s="163" t="s">
        <v>101</v>
      </c>
      <c r="C90" s="80"/>
      <c r="D90" s="1739">
        <v>39329554062</v>
      </c>
      <c r="E90" s="1739">
        <v>21478614332</v>
      </c>
    </row>
    <row r="91" spans="1:5" ht="16.5" x14ac:dyDescent="0.25">
      <c r="A91" s="356" t="s">
        <v>268</v>
      </c>
      <c r="B91" s="245" t="s">
        <v>181</v>
      </c>
      <c r="C91" s="81"/>
      <c r="D91" s="1740"/>
      <c r="E91" s="1740"/>
    </row>
    <row r="92" spans="1:5" ht="33" x14ac:dyDescent="0.25">
      <c r="A92" s="202" t="s">
        <v>140</v>
      </c>
      <c r="B92" s="164" t="s">
        <v>102</v>
      </c>
      <c r="C92" s="105"/>
      <c r="D92" s="1741"/>
      <c r="E92" s="1741"/>
    </row>
    <row r="93" spans="1:5" ht="33" x14ac:dyDescent="0.25">
      <c r="A93" s="203" t="s">
        <v>141</v>
      </c>
      <c r="B93" s="323" t="s">
        <v>257</v>
      </c>
      <c r="C93" s="106"/>
      <c r="D93" s="1742"/>
      <c r="E93" s="1742"/>
    </row>
    <row r="94" spans="1:5" ht="33" x14ac:dyDescent="0.25">
      <c r="A94" s="76" t="s">
        <v>75</v>
      </c>
      <c r="B94" s="165" t="s">
        <v>103</v>
      </c>
      <c r="C94" s="82"/>
      <c r="D94" s="1743">
        <v>3025728393</v>
      </c>
      <c r="E94" s="1743">
        <v>2827318436</v>
      </c>
    </row>
    <row r="95" spans="1:5" ht="33" x14ac:dyDescent="0.25">
      <c r="A95" s="357" t="s">
        <v>269</v>
      </c>
      <c r="B95" s="324" t="s">
        <v>258</v>
      </c>
      <c r="C95" s="348"/>
      <c r="D95" s="1744">
        <v>45000000000</v>
      </c>
      <c r="E95" s="1744"/>
    </row>
    <row r="96" spans="1:5" ht="16.5" x14ac:dyDescent="0.25">
      <c r="A96" s="204" t="s">
        <v>142</v>
      </c>
      <c r="B96" s="246" t="s">
        <v>182</v>
      </c>
      <c r="C96" s="160"/>
      <c r="D96" s="1745">
        <v>16673496368</v>
      </c>
      <c r="E96" s="1745">
        <v>11879931225</v>
      </c>
    </row>
    <row r="97" spans="1:5" ht="33" x14ac:dyDescent="0.25">
      <c r="A97" s="358" t="s">
        <v>270</v>
      </c>
      <c r="B97" s="325" t="s">
        <v>259</v>
      </c>
      <c r="C97" s="349"/>
      <c r="D97" s="1746"/>
      <c r="E97" s="1746"/>
    </row>
    <row r="98" spans="1:5" ht="16.5" x14ac:dyDescent="0.25">
      <c r="A98" s="137" t="s">
        <v>99</v>
      </c>
      <c r="B98" s="247" t="s">
        <v>183</v>
      </c>
      <c r="C98" s="83"/>
      <c r="D98" s="1925">
        <f>+D99+D102+D103+D104+D105+D106+D107+D109+D108+D110+D111+D112+D113+D114+D115</f>
        <v>45519861672</v>
      </c>
      <c r="E98" s="1925">
        <f>+E99+E102+E103+E104+E105+E106+E107+E109+E108+E110+E111+E112+E113+E114+E115</f>
        <v>34305900359</v>
      </c>
    </row>
    <row r="99" spans="1:5" ht="33" x14ac:dyDescent="0.25">
      <c r="A99" s="306" t="s">
        <v>240</v>
      </c>
      <c r="B99" s="61" t="s">
        <v>62</v>
      </c>
      <c r="C99" s="84"/>
      <c r="D99" s="1747">
        <f>+D101+D100</f>
        <v>0</v>
      </c>
      <c r="E99" s="1747">
        <f>+E101+E100</f>
        <v>0</v>
      </c>
    </row>
    <row r="100" spans="1:5" ht="16.5" x14ac:dyDescent="0.25">
      <c r="A100" s="77" t="s">
        <v>76</v>
      </c>
      <c r="B100" s="166" t="s">
        <v>104</v>
      </c>
      <c r="C100" s="85"/>
      <c r="D100" s="1748"/>
      <c r="E100" s="1748"/>
    </row>
    <row r="101" spans="1:5" ht="16.5" x14ac:dyDescent="0.25">
      <c r="A101" s="359" t="s">
        <v>271</v>
      </c>
      <c r="B101" s="168" t="s">
        <v>106</v>
      </c>
      <c r="C101" s="135"/>
      <c r="D101" s="1749"/>
      <c r="E101" s="1749"/>
    </row>
    <row r="102" spans="1:5" ht="16.5" x14ac:dyDescent="0.25">
      <c r="A102" s="360" t="s">
        <v>272</v>
      </c>
      <c r="B102" s="326" t="s">
        <v>260</v>
      </c>
      <c r="C102" s="350"/>
      <c r="D102" s="1750"/>
      <c r="E102" s="1750"/>
    </row>
    <row r="103" spans="1:5" ht="33" x14ac:dyDescent="0.25">
      <c r="A103" s="205" t="s">
        <v>143</v>
      </c>
      <c r="B103" s="273" t="s">
        <v>208</v>
      </c>
      <c r="C103" s="334"/>
      <c r="D103" s="1751"/>
      <c r="E103" s="1751"/>
    </row>
    <row r="104" spans="1:5" ht="16.5" x14ac:dyDescent="0.25">
      <c r="A104" s="214" t="s">
        <v>150</v>
      </c>
      <c r="B104" s="169" t="s">
        <v>107</v>
      </c>
      <c r="C104" s="86"/>
      <c r="D104" s="1752"/>
      <c r="E104" s="1752"/>
    </row>
    <row r="105" spans="1:5" ht="16.5" x14ac:dyDescent="0.25">
      <c r="A105" s="215" t="s">
        <v>151</v>
      </c>
      <c r="B105" s="274" t="s">
        <v>209</v>
      </c>
      <c r="C105" s="54"/>
      <c r="D105" s="1753"/>
      <c r="E105" s="1753"/>
    </row>
    <row r="106" spans="1:5" ht="33" x14ac:dyDescent="0.25">
      <c r="A106" s="78" t="s">
        <v>77</v>
      </c>
      <c r="B106" s="170" t="s">
        <v>108</v>
      </c>
      <c r="C106" s="134"/>
      <c r="D106" s="1754"/>
      <c r="E106" s="1754"/>
    </row>
    <row r="107" spans="1:5" ht="16.5" x14ac:dyDescent="0.25">
      <c r="A107" s="184" t="s">
        <v>122</v>
      </c>
      <c r="B107" s="275" t="s">
        <v>210</v>
      </c>
      <c r="C107" s="284"/>
      <c r="D107" s="1755"/>
      <c r="E107" s="1755"/>
    </row>
    <row r="108" spans="1:5" ht="16.5" x14ac:dyDescent="0.25">
      <c r="A108" s="259" t="s">
        <v>195</v>
      </c>
      <c r="B108" s="276" t="s">
        <v>211</v>
      </c>
      <c r="C108" s="335"/>
      <c r="D108" s="1756"/>
      <c r="E108" s="1756"/>
    </row>
    <row r="109" spans="1:5" ht="33" x14ac:dyDescent="0.25">
      <c r="A109" s="216" t="s">
        <v>152</v>
      </c>
      <c r="B109" s="171" t="s">
        <v>109</v>
      </c>
      <c r="C109" s="353"/>
      <c r="D109" s="1757"/>
      <c r="E109" s="1757"/>
    </row>
    <row r="110" spans="1:5" ht="33" x14ac:dyDescent="0.25">
      <c r="A110" s="217" t="s">
        <v>153</v>
      </c>
      <c r="B110" s="277" t="s">
        <v>212</v>
      </c>
      <c r="C110" s="354"/>
      <c r="D110" s="1758"/>
      <c r="E110" s="1758"/>
    </row>
    <row r="111" spans="1:5" ht="33" x14ac:dyDescent="0.25">
      <c r="A111" s="79" t="s">
        <v>78</v>
      </c>
      <c r="B111" s="278" t="s">
        <v>213</v>
      </c>
      <c r="C111" s="374"/>
      <c r="D111" s="1759"/>
      <c r="E111" s="1759"/>
    </row>
    <row r="112" spans="1:5" ht="16.5" x14ac:dyDescent="0.25">
      <c r="A112" s="262" t="s">
        <v>198</v>
      </c>
      <c r="B112" s="172" t="s">
        <v>110</v>
      </c>
      <c r="C112" s="375"/>
      <c r="D112" s="1760"/>
      <c r="E112" s="1760"/>
    </row>
    <row r="113" spans="1:5" ht="16.5" x14ac:dyDescent="0.25">
      <c r="A113" s="167" t="s">
        <v>105</v>
      </c>
      <c r="B113" s="279" t="s">
        <v>214</v>
      </c>
      <c r="C113" s="376"/>
      <c r="D113" s="1761"/>
      <c r="E113" s="1761"/>
    </row>
    <row r="114" spans="1:5" ht="33" x14ac:dyDescent="0.25">
      <c r="A114" s="260" t="s">
        <v>196</v>
      </c>
      <c r="B114" s="173" t="s">
        <v>111</v>
      </c>
      <c r="C114" s="336"/>
      <c r="D114" s="1762">
        <v>45519861672</v>
      </c>
      <c r="E114" s="1762">
        <v>34305900359</v>
      </c>
    </row>
    <row r="115" spans="1:5" ht="33" x14ac:dyDescent="0.25">
      <c r="A115" s="218" t="s">
        <v>154</v>
      </c>
      <c r="B115" s="62" t="s">
        <v>63</v>
      </c>
      <c r="C115" s="377"/>
      <c r="D115" s="1763"/>
      <c r="E115" s="1763"/>
    </row>
    <row r="116" spans="1:5" ht="16.5" x14ac:dyDescent="0.25">
      <c r="A116" s="208" t="s">
        <v>146</v>
      </c>
      <c r="B116" s="41" t="s">
        <v>5</v>
      </c>
      <c r="C116" s="332"/>
      <c r="D116" s="1764"/>
      <c r="E116" s="1764"/>
    </row>
    <row r="117" spans="1:5" ht="16.5" x14ac:dyDescent="0.25">
      <c r="A117" s="361" t="s">
        <v>273</v>
      </c>
      <c r="B117" s="280" t="s">
        <v>215</v>
      </c>
      <c r="C117" s="378"/>
      <c r="D117" s="1925">
        <f>+D118+D135</f>
        <v>2656788591891</v>
      </c>
      <c r="E117" s="1925">
        <f>+E118+E135</f>
        <v>2475372532349</v>
      </c>
    </row>
    <row r="118" spans="1:5" ht="16.5" x14ac:dyDescent="0.25">
      <c r="A118" s="362" t="s">
        <v>274</v>
      </c>
      <c r="B118" s="174" t="s">
        <v>112</v>
      </c>
      <c r="C118" s="379"/>
      <c r="D118" s="1925">
        <f>+D119+D127+D128+D129+D130+D131+D132</f>
        <v>2656788591891</v>
      </c>
      <c r="E118" s="1925">
        <f>+E119+E127+E128+E129+E130+E131+E132</f>
        <v>2475372532349</v>
      </c>
    </row>
    <row r="119" spans="1:5" ht="16.5" x14ac:dyDescent="0.25">
      <c r="A119" s="261" t="s">
        <v>197</v>
      </c>
      <c r="B119" s="175" t="s">
        <v>113</v>
      </c>
      <c r="C119" s="337"/>
      <c r="D119" s="1765">
        <f>+D120+D123+D124+D125+D126</f>
        <v>1332095854220</v>
      </c>
      <c r="E119" s="1765">
        <f>+E120+E123+E124+E125+E126</f>
        <v>1332095854220</v>
      </c>
    </row>
    <row r="120" spans="1:5" ht="16.5" x14ac:dyDescent="0.25">
      <c r="A120" s="219" t="s">
        <v>155</v>
      </c>
      <c r="B120" s="327" t="s">
        <v>261</v>
      </c>
      <c r="C120" s="351"/>
      <c r="D120" s="1766">
        <f>+D121+D122</f>
        <v>722339370000</v>
      </c>
      <c r="E120" s="1766">
        <f>+E121+E122</f>
        <v>722339370000</v>
      </c>
    </row>
    <row r="121" spans="1:5" ht="33" x14ac:dyDescent="0.25">
      <c r="A121" s="371" t="s">
        <v>283</v>
      </c>
      <c r="B121" s="176" t="s">
        <v>114</v>
      </c>
      <c r="C121" s="338"/>
      <c r="D121" s="1767">
        <v>722339370000</v>
      </c>
      <c r="E121" s="1767">
        <v>722339370000</v>
      </c>
    </row>
    <row r="122" spans="1:5" ht="16.5" x14ac:dyDescent="0.25">
      <c r="A122" s="263" t="s">
        <v>199</v>
      </c>
      <c r="B122" s="328" t="s">
        <v>262</v>
      </c>
      <c r="C122" s="352"/>
      <c r="D122" s="1768"/>
      <c r="E122" s="1768"/>
    </row>
    <row r="123" spans="1:5" ht="16.5" x14ac:dyDescent="0.25">
      <c r="A123" s="363" t="s">
        <v>275</v>
      </c>
      <c r="B123" s="281" t="s">
        <v>216</v>
      </c>
      <c r="C123" s="380"/>
      <c r="D123" s="1769">
        <v>610253166720</v>
      </c>
      <c r="E123" s="1769">
        <v>610253166720</v>
      </c>
    </row>
    <row r="124" spans="1:5" ht="33" x14ac:dyDescent="0.25">
      <c r="A124" s="220" t="s">
        <v>156</v>
      </c>
      <c r="B124" s="177" t="s">
        <v>115</v>
      </c>
      <c r="C124" s="381"/>
      <c r="D124" s="1770"/>
      <c r="E124" s="1770"/>
    </row>
    <row r="125" spans="1:5" ht="16.5" x14ac:dyDescent="0.25">
      <c r="A125" s="372" t="s">
        <v>284</v>
      </c>
      <c r="B125" s="120" t="s">
        <v>85</v>
      </c>
      <c r="C125" s="339"/>
      <c r="D125" s="1771"/>
      <c r="E125" s="1771"/>
    </row>
    <row r="126" spans="1:5" ht="16.5" x14ac:dyDescent="0.25">
      <c r="A126" s="221" t="s">
        <v>157</v>
      </c>
      <c r="B126" s="282" t="s">
        <v>217</v>
      </c>
      <c r="C126" s="382"/>
      <c r="D126" s="1772">
        <v>-496682500</v>
      </c>
      <c r="E126" s="1772">
        <v>-496682500</v>
      </c>
    </row>
    <row r="127" spans="1:5" ht="33" x14ac:dyDescent="0.25">
      <c r="A127" s="364" t="s">
        <v>276</v>
      </c>
      <c r="B127" s="283" t="s">
        <v>218</v>
      </c>
      <c r="C127" s="383"/>
      <c r="D127" s="1773">
        <v>130461661643</v>
      </c>
      <c r="E127" s="1773">
        <v>103417376339</v>
      </c>
    </row>
    <row r="128" spans="1:5" ht="16.5" x14ac:dyDescent="0.25">
      <c r="A128" s="265" t="s">
        <v>200</v>
      </c>
      <c r="B128" s="256" t="s">
        <v>192</v>
      </c>
      <c r="C128" s="384"/>
      <c r="D128" s="1774"/>
      <c r="E128" s="1774"/>
    </row>
    <row r="129" spans="1:5" ht="33" x14ac:dyDescent="0.25">
      <c r="A129" s="222" t="s">
        <v>158</v>
      </c>
      <c r="B129" s="66" t="s">
        <v>67</v>
      </c>
      <c r="C129" s="385"/>
      <c r="D129" s="1775">
        <v>59379106210</v>
      </c>
      <c r="E129" s="1775">
        <v>59379106210</v>
      </c>
    </row>
    <row r="130" spans="1:5" ht="33" x14ac:dyDescent="0.25">
      <c r="A130" s="373" t="s">
        <v>285</v>
      </c>
      <c r="B130" s="257" t="s">
        <v>193</v>
      </c>
      <c r="C130" s="340"/>
      <c r="D130" s="1776">
        <v>59379106210</v>
      </c>
      <c r="E130" s="1776">
        <v>59379106210</v>
      </c>
    </row>
    <row r="131" spans="1:5" ht="33" x14ac:dyDescent="0.25">
      <c r="A131" s="365" t="s">
        <v>277</v>
      </c>
      <c r="B131" s="67" t="s">
        <v>68</v>
      </c>
      <c r="C131" s="386"/>
      <c r="D131" s="1777">
        <v>173325877426</v>
      </c>
      <c r="E131" s="1777">
        <v>111398413642</v>
      </c>
    </row>
    <row r="132" spans="1:5" ht="16.5" x14ac:dyDescent="0.25">
      <c r="A132" s="223" t="s">
        <v>159</v>
      </c>
      <c r="B132" s="69" t="s">
        <v>70</v>
      </c>
      <c r="C132" s="387"/>
      <c r="D132" s="1778">
        <f>+D133+D134</f>
        <v>902146986182</v>
      </c>
      <c r="E132" s="1778">
        <f>+E133+E134</f>
        <v>809702675728</v>
      </c>
    </row>
    <row r="133" spans="1:5" ht="33" x14ac:dyDescent="0.25">
      <c r="A133" s="266" t="s">
        <v>201</v>
      </c>
      <c r="B133" s="68" t="s">
        <v>69</v>
      </c>
      <c r="C133" s="388"/>
      <c r="D133" s="1779">
        <v>861117418850</v>
      </c>
      <c r="E133" s="1779">
        <v>788784464886</v>
      </c>
    </row>
    <row r="134" spans="1:5" ht="16.5" x14ac:dyDescent="0.25">
      <c r="A134" s="224" t="s">
        <v>160</v>
      </c>
      <c r="B134" s="70" t="s">
        <v>71</v>
      </c>
      <c r="C134" s="389"/>
      <c r="D134" s="1780">
        <v>41029567332</v>
      </c>
      <c r="E134" s="1780">
        <v>20918210842</v>
      </c>
    </row>
    <row r="135" spans="1:5" ht="33" x14ac:dyDescent="0.25">
      <c r="A135" s="366" t="s">
        <v>278</v>
      </c>
      <c r="B135" s="58" t="s">
        <v>59</v>
      </c>
      <c r="C135" s="390"/>
      <c r="D135" s="1781"/>
      <c r="E135" s="1781"/>
    </row>
    <row r="136" spans="1:5" ht="16.5" x14ac:dyDescent="0.25">
      <c r="A136" s="114" t="s">
        <v>79</v>
      </c>
      <c r="B136" s="249" t="s">
        <v>185</v>
      </c>
      <c r="C136" s="391"/>
      <c r="D136" s="1942">
        <f>+D74+D117</f>
        <v>7032999228296</v>
      </c>
      <c r="E136" s="1942">
        <f>+E74+E117</f>
        <v>5628659765787</v>
      </c>
    </row>
    <row r="137" spans="1:5" ht="16.5" x14ac:dyDescent="0.25">
      <c r="A137" s="212" t="s">
        <v>148</v>
      </c>
      <c r="B137" s="210" t="s">
        <v>147</v>
      </c>
      <c r="C137" s="211"/>
      <c r="D137" s="1782"/>
      <c r="E137" s="1782"/>
    </row>
    <row r="139" spans="1:5" x14ac:dyDescent="0.25">
      <c r="D139" s="1940">
        <f>+D136-D72</f>
        <v>0</v>
      </c>
    </row>
  </sheetData>
  <mergeCells count="3">
    <mergeCell ref="A1:E1"/>
    <mergeCell ref="A2:E2"/>
    <mergeCell ref="A3:E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5:E137"/>
  <sheetViews>
    <sheetView workbookViewId="0"/>
  </sheetViews>
  <sheetFormatPr defaultRowHeight="15" x14ac:dyDescent="0.25"/>
  <cols>
    <col min="1" max="1" width="1" style="40" bestFit="1" customWidth="1"/>
    <col min="2" max="5" width="1" bestFit="1" customWidth="1"/>
  </cols>
  <sheetData>
    <row r="5" spans="1:5" x14ac:dyDescent="0.25">
      <c r="A5" t="str">
        <f>CONCATENATE(287843,",",ROW(BCTCR_06608!A5),"|",COLUMN(BCTCR_06608!A5),",0",",0")</f>
        <v>287843,5|1,0,0</v>
      </c>
      <c r="B5" t="str">
        <f>CONCATENATE(287937,",",ROW(BCTCR_06608!B5),"|",COLUMN(BCTCR_06608!B5),",0",",0")</f>
        <v>287937,5|2,0,0</v>
      </c>
      <c r="C5" t="str">
        <f>CONCATENATE(287807,",",ROW(BCTCR_06608!C5),"|",COLUMN(BCTCR_06608!C5),",0",",0")</f>
        <v>287807,5|3,0,0</v>
      </c>
      <c r="D5" t="str">
        <f>CONCATENATE(288147,",",ROW(BCTCR_06608!D5),"|",COLUMN(BCTCR_06608!D5),",0",",0")</f>
        <v>288147,5|4,0,0</v>
      </c>
      <c r="E5" t="str">
        <f>CONCATENATE(287808,",",ROW(BCTCR_06608!E5),"|",COLUMN(BCTCR_06608!E5),",0",",0")</f>
        <v>287808,5|5,0,0</v>
      </c>
    </row>
    <row r="6" spans="1:5" x14ac:dyDescent="0.25">
      <c r="A6" t="str">
        <f>CONCATENATE(288148,",",ROW(BCTCR_06608!A6),"|",COLUMN(BCTCR_06608!A6),",0",",0")</f>
        <v>288148,6|1,0,0</v>
      </c>
      <c r="B6" t="s">
        <v>5</v>
      </c>
      <c r="C6" t="str">
        <f>CONCATENATE(287714,",",ROW(BCTCR_06608!C6),"|",COLUMN(BCTCR_06608!C6),",0",",0")</f>
        <v>287714,6|3,0,0</v>
      </c>
      <c r="D6" t="str">
        <f>CONCATENATE(287963,",",ROW(BCTCR_06608!D6),"|",COLUMN(BCTCR_06608!D6),",0",",0")</f>
        <v>287963,6|4,0,0</v>
      </c>
      <c r="E6" t="str">
        <f>CONCATENATE(288263,",",ROW(BCTCR_06608!E6),"|",COLUMN(BCTCR_06608!E6),",0",",0")</f>
        <v>288263,6|5,0,0</v>
      </c>
    </row>
    <row r="7" spans="1:5" x14ac:dyDescent="0.25">
      <c r="A7" t="str">
        <f>CONCATENATE(288149,",",ROW(BCTCR_06608!A7),"|",COLUMN(BCTCR_06608!A7),",0",",0")</f>
        <v>288149,7|1,0,0</v>
      </c>
      <c r="B7" t="str">
        <f>CONCATENATE(287728,",",ROW(BCTCR_06608!B7),"|",COLUMN(BCTCR_06608!B7),",0",",0")</f>
        <v>287728,7|2,0,0</v>
      </c>
      <c r="C7" t="str">
        <f>CONCATENATE(288126,",",ROW(BCTCR_06608!C7),"|",COLUMN(BCTCR_06608!C7),",0",",0")</f>
        <v>288126,7|3,0,0</v>
      </c>
      <c r="D7" t="str">
        <f>CONCATENATE(288042,",",ROW(BCTCR_06608!D7),"|",COLUMN(BCTCR_06608!D7),",0",",0")</f>
        <v>288042,7|4,0,0</v>
      </c>
      <c r="E7" t="str">
        <f>CONCATENATE(287858,",",ROW(BCTCR_06608!E7),"|",COLUMN(BCTCR_06608!E7),",0",",0")</f>
        <v>287858,7|5,0,0</v>
      </c>
    </row>
    <row r="8" spans="1:5" x14ac:dyDescent="0.25">
      <c r="A8" t="str">
        <f>CONCATENATE(287915,",",ROW(BCTCR_06608!A8),"|",COLUMN(BCTCR_06608!A8),",0",",0")</f>
        <v>287915,8|1,0,0</v>
      </c>
      <c r="B8" t="str">
        <f>CONCATENATE(288181,",",ROW(BCTCR_06608!B8),"|",COLUMN(BCTCR_06608!B8),",0",",0")</f>
        <v>288181,8|2,0,0</v>
      </c>
      <c r="C8" t="str">
        <f>CONCATENATE(287965,",",ROW(BCTCR_06608!C8),"|",COLUMN(BCTCR_06608!C8),",0",",0")</f>
        <v>287965,8|3,0,0</v>
      </c>
      <c r="D8" t="str">
        <f>CONCATENATE(288264,",",ROW(BCTCR_06608!D8),"|",COLUMN(BCTCR_06608!D8),",0",",0")</f>
        <v>288264,8|4,0,0</v>
      </c>
      <c r="E8" t="str">
        <f>CONCATENATE(288229,",",ROW(BCTCR_06608!E8),"|",COLUMN(BCTCR_06608!E8),",0",",0")</f>
        <v>288229,8|5,0,0</v>
      </c>
    </row>
    <row r="9" spans="1:5" x14ac:dyDescent="0.25">
      <c r="A9" t="str">
        <f>CONCATENATE(288150,",",ROW(BCTCR_06608!A9),"|",COLUMN(BCTCR_06608!A9),",0",",0")</f>
        <v>288150,9|1,0,0</v>
      </c>
      <c r="B9" t="str">
        <f>CONCATENATE(287729,",",ROW(BCTCR_06608!B9),"|",COLUMN(BCTCR_06608!B9),",0",",0")</f>
        <v>287729,9|2,0,0</v>
      </c>
      <c r="C9" t="str">
        <f>CONCATENATE(288137,",",ROW(BCTCR_06608!C9),"|",COLUMN(BCTCR_06608!C9),",0",",0")</f>
        <v>288137,9|3,0,0</v>
      </c>
      <c r="D9" t="str">
        <f>CONCATENATE(288052,",",ROW(BCTCR_06608!D9),"|",COLUMN(BCTCR_06608!D9),",0",",0")</f>
        <v>288052,9|4,0,0</v>
      </c>
      <c r="E9" t="str">
        <f>CONCATENATE(287868,",",ROW(BCTCR_06608!E9),"|",COLUMN(BCTCR_06608!E9),",0",",0")</f>
        <v>287868,9|5,0,0</v>
      </c>
    </row>
    <row r="10" spans="1:5" x14ac:dyDescent="0.25">
      <c r="A10" t="str">
        <f>CONCATENATE(287916,",",ROW(BCTCR_06608!A10),"|",COLUMN(BCTCR_06608!A10),",0",",0")</f>
        <v>287916,10|1,0,0</v>
      </c>
      <c r="B10" t="str">
        <f>CONCATENATE(288182,",",ROW(BCTCR_06608!B10),"|",COLUMN(BCTCR_06608!B10),",0",",0")</f>
        <v>288182,10|2,0,0</v>
      </c>
      <c r="C10" t="str">
        <f>CONCATENATE(287966,",",ROW(BCTCR_06608!C10),"|",COLUMN(BCTCR_06608!C10),",0",",0")</f>
        <v>287966,10|3,0,0</v>
      </c>
      <c r="D10" t="str">
        <f>CONCATENATE(288265,",",ROW(BCTCR_06608!D10),"|",COLUMN(BCTCR_06608!D10),",0",",0")</f>
        <v>288265,10|4,0,0</v>
      </c>
      <c r="E10" t="str">
        <f>CONCATENATE(287809,",",ROW(BCTCR_06608!E10),"|",COLUMN(BCTCR_06608!E10),",0",",0")</f>
        <v>287809,10|5,0,0</v>
      </c>
    </row>
    <row r="11" spans="1:5" x14ac:dyDescent="0.25">
      <c r="A11" t="str">
        <f>CONCATENATE(287899,",",ROW(BCTCR_06608!A11),"|",COLUMN(BCTCR_06608!A11),",0",",0")</f>
        <v>287899,11|1,0,0</v>
      </c>
      <c r="B11" t="str">
        <f>CONCATENATE(288189,",",ROW(BCTCR_06608!B11),"|",COLUMN(BCTCR_06608!B11),",0",",0")</f>
        <v>288189,11|2,0,0</v>
      </c>
      <c r="C11" t="str">
        <f>CONCATENATE(288092,",",ROW(BCTCR_06608!C11),"|",COLUMN(BCTCR_06608!C11),",0",",0")</f>
        <v>288092,11|3,0,0</v>
      </c>
      <c r="D11" t="str">
        <f>CONCATENATE(287643,",",ROW(BCTCR_06608!D11),"|",COLUMN(BCTCR_06608!D11),",0",",0")</f>
        <v>287643,11|4,0,0</v>
      </c>
      <c r="E11" t="str">
        <f>CONCATENATE(288211,",",ROW(BCTCR_06608!E11),"|",COLUMN(BCTCR_06608!E11),",0",",0")</f>
        <v>288211,11|5,0,0</v>
      </c>
    </row>
    <row r="12" spans="1:5" x14ac:dyDescent="0.25">
      <c r="A12" t="str">
        <f>CONCATENATE(287917,",",ROW(BCTCR_06608!A12),"|",COLUMN(BCTCR_06608!A12),",0",",0")</f>
        <v>287917,12|1,0,0</v>
      </c>
      <c r="B12" t="str">
        <f>CONCATENATE(287659,",",ROW(BCTCR_06608!B12),"|",COLUMN(BCTCR_06608!B12),",0",",0")</f>
        <v>287659,12|2,0,0</v>
      </c>
      <c r="C12" t="str">
        <f>CONCATENATE(287967,",",ROW(BCTCR_06608!C12),"|",COLUMN(BCTCR_06608!C12),",0",",0")</f>
        <v>287967,12|3,0,0</v>
      </c>
      <c r="D12" t="str">
        <f>CONCATENATE(288266,",",ROW(BCTCR_06608!D12),"|",COLUMN(BCTCR_06608!D12),",0",",0")</f>
        <v>288266,12|4,0,0</v>
      </c>
      <c r="E12" t="str">
        <f>CONCATENATE(287810,",",ROW(BCTCR_06608!E12),"|",COLUMN(BCTCR_06608!E12),",0",",0")</f>
        <v>287810,12|5,0,0</v>
      </c>
    </row>
    <row r="13" spans="1:5" x14ac:dyDescent="0.25">
      <c r="A13" t="str">
        <f>CONCATENATE(288151,",",ROW(BCTCR_06608!A13),"|",COLUMN(BCTCR_06608!A13),",0",",0")</f>
        <v>288151,13|1,0,0</v>
      </c>
      <c r="B13" t="str">
        <f>CONCATENATE(287730,",",ROW(BCTCR_06608!B13),"|",COLUMN(BCTCR_06608!B13),",0",",0")</f>
        <v>287730,13|2,0,0</v>
      </c>
      <c r="C13" t="str">
        <f>CONCATENATE(288138,",",ROW(BCTCR_06608!C13),"|",COLUMN(BCTCR_06608!C13),",0",",0")</f>
        <v>288138,13|3,0,0</v>
      </c>
      <c r="D13" t="str">
        <f>CONCATENATE(287964,",",ROW(BCTCR_06608!D13),"|",COLUMN(BCTCR_06608!D13),",0",",0")</f>
        <v>287964,13|4,0,0</v>
      </c>
      <c r="E13" t="str">
        <f>CONCATENATE(287869,",",ROW(BCTCR_06608!E13),"|",COLUMN(BCTCR_06608!E13),",0",",0")</f>
        <v>287869,13|5,0,0</v>
      </c>
    </row>
    <row r="14" spans="1:5" x14ac:dyDescent="0.25">
      <c r="A14" t="str">
        <f>CONCATENATE(288152,",",ROW(BCTCR_06608!A14),"|",COLUMN(BCTCR_06608!A14),",0",",0")</f>
        <v>288152,14|1,0,0</v>
      </c>
      <c r="B14" t="str">
        <f>CONCATENATE(287660,",",ROW(BCTCR_06608!B14),"|",COLUMN(BCTCR_06608!B14),",0",",0")</f>
        <v>287660,14|2,0,0</v>
      </c>
      <c r="C14" t="str">
        <f>CONCATENATE(288139,",",ROW(BCTCR_06608!C14),"|",COLUMN(BCTCR_06608!C14),",0",",0")</f>
        <v>288139,14|3,0,0</v>
      </c>
      <c r="D14" t="str">
        <f>CONCATENATE(288053,",",ROW(BCTCR_06608!D14),"|",COLUMN(BCTCR_06608!D14),",0",",0")</f>
        <v>288053,14|4,0,0</v>
      </c>
      <c r="E14" t="str">
        <f>CONCATENATE(287870,",",ROW(BCTCR_06608!E14),"|",COLUMN(BCTCR_06608!E14),",0",",0")</f>
        <v>287870,14|5,0,0</v>
      </c>
    </row>
    <row r="15" spans="1:5" x14ac:dyDescent="0.25">
      <c r="A15" t="str">
        <f>CONCATENATE(287918,",",ROW(BCTCR_06608!A15),"|",COLUMN(BCTCR_06608!A15),",0",",0")</f>
        <v>287918,15|1,0,0</v>
      </c>
      <c r="B15" t="str">
        <f>CONCATENATE(288190,",",ROW(BCTCR_06608!B15),"|",COLUMN(BCTCR_06608!B15),",0",",0")</f>
        <v>288190,15|2,0,0</v>
      </c>
      <c r="C15" t="str">
        <f>CONCATENATE(287968,",",ROW(BCTCR_06608!C15),"|",COLUMN(BCTCR_06608!C15),",0",",0")</f>
        <v>287968,15|3,0,0</v>
      </c>
      <c r="D15" t="str">
        <f>CONCATENATE(288267,",",ROW(BCTCR_06608!D15),"|",COLUMN(BCTCR_06608!D15),",0",",0")</f>
        <v>288267,15|4,0,0</v>
      </c>
      <c r="E15" t="str">
        <f>CONCATENATE(287811,",",ROW(BCTCR_06608!E15),"|",COLUMN(BCTCR_06608!E15),",0",",0")</f>
        <v>287811,15|5,0,0</v>
      </c>
    </row>
    <row r="16" spans="1:5" x14ac:dyDescent="0.25">
      <c r="A16" t="str">
        <f>CONCATENATE(288153,",",ROW(BCTCR_06608!A16),"|",COLUMN(BCTCR_06608!A16),",0",",0")</f>
        <v>288153,16|1,0,0</v>
      </c>
      <c r="B16" t="str">
        <f>CONCATENATE(288183,",",ROW(BCTCR_06608!B16),"|",COLUMN(BCTCR_06608!B16),",0",",0")</f>
        <v>288183,16|2,0,0</v>
      </c>
      <c r="C16" t="str">
        <f>CONCATENATE(288140,",",ROW(BCTCR_06608!C16),"|",COLUMN(BCTCR_06608!C16),",0",",0")</f>
        <v>288140,16|3,0,0</v>
      </c>
      <c r="D16" t="str">
        <f>CONCATENATE(288054,",",ROW(BCTCR_06608!D16),"|",COLUMN(BCTCR_06608!D16),",0",",0")</f>
        <v>288054,16|4,0,0</v>
      </c>
      <c r="E16" t="str">
        <f>CONCATENATE(287871,",",ROW(BCTCR_06608!E16),"|",COLUMN(BCTCR_06608!E16),",0",",0")</f>
        <v>287871,16|5,0,0</v>
      </c>
    </row>
    <row r="17" spans="1:5" x14ac:dyDescent="0.25">
      <c r="A17" t="str">
        <f>CONCATENATE(287919,",",ROW(BCTCR_06608!A17),"|",COLUMN(BCTCR_06608!A17),",0",",0")</f>
        <v>287919,17|1,0,0</v>
      </c>
      <c r="B17" t="str">
        <f>CONCATENATE(287661,",",ROW(BCTCR_06608!B17),"|",COLUMN(BCTCR_06608!B17),",0",",0")</f>
        <v>287661,17|2,0,0</v>
      </c>
      <c r="C17" t="str">
        <f>CONCATENATE(287969,",",ROW(BCTCR_06608!C17),"|",COLUMN(BCTCR_06608!C17),",0",",0")</f>
        <v>287969,17|3,0,0</v>
      </c>
      <c r="D17" t="str">
        <f>CONCATENATE(288268,",",ROW(BCTCR_06608!D17),"|",COLUMN(BCTCR_06608!D17),",0",",0")</f>
        <v>288268,17|4,0,0</v>
      </c>
      <c r="E17" t="str">
        <f>CONCATENATE(287813,",",ROW(BCTCR_06608!E17),"|",COLUMN(BCTCR_06608!E17),",0",",0")</f>
        <v>287813,17|5,0,0</v>
      </c>
    </row>
    <row r="18" spans="1:5" x14ac:dyDescent="0.25">
      <c r="A18" t="str">
        <f>CONCATENATE(287920,",",ROW(BCTCR_06608!A18),"|",COLUMN(BCTCR_06608!A18),",0",",0")</f>
        <v>287920,18|1,0,0</v>
      </c>
      <c r="B18" t="str">
        <f>CONCATENATE(288184,",",ROW(BCTCR_06608!B18),"|",COLUMN(BCTCR_06608!B18),",0",",0")</f>
        <v>288184,18|2,0,0</v>
      </c>
      <c r="C18" t="str">
        <f>CONCATENATE(287970,",",ROW(BCTCR_06608!C18),"|",COLUMN(BCTCR_06608!C18),",0",",0")</f>
        <v>287970,18|3,0,0</v>
      </c>
      <c r="D18" t="str">
        <f>CONCATENATE(287619,",",ROW(BCTCR_06608!D18),"|",COLUMN(BCTCR_06608!D18),",0",",0")</f>
        <v>287619,18|4,0,0</v>
      </c>
      <c r="E18" t="str">
        <f>CONCATENATE(287814,",",ROW(BCTCR_06608!E18),"|",COLUMN(BCTCR_06608!E18),",0",",0")</f>
        <v>287814,18|5,0,0</v>
      </c>
    </row>
    <row r="19" spans="1:5" x14ac:dyDescent="0.25">
      <c r="A19" t="str">
        <f>CONCATENATE(287844,",",ROW(BCTCR_06608!A19),"|",COLUMN(BCTCR_06608!A19),",0",",0")</f>
        <v>287844,19|1,0,0</v>
      </c>
      <c r="B19" t="str">
        <f>CONCATENATE(287693,",",ROW(BCTCR_06608!B19),"|",COLUMN(BCTCR_06608!B19),",0",",0")</f>
        <v>287693,19|2,0,0</v>
      </c>
      <c r="C19" t="str">
        <f>CONCATENATE(288141,",",ROW(BCTCR_06608!C19),"|",COLUMN(BCTCR_06608!C19),",0",",0")</f>
        <v>288141,19|3,0,0</v>
      </c>
      <c r="D19" t="str">
        <f>CONCATENATE(288055,",",ROW(BCTCR_06608!D19),"|",COLUMN(BCTCR_06608!D19),",0",",0")</f>
        <v>288055,19|4,0,0</v>
      </c>
      <c r="E19" t="str">
        <f>CONCATENATE(287872,",",ROW(BCTCR_06608!E19),"|",COLUMN(BCTCR_06608!E19),",0",",0")</f>
        <v>287872,19|5,0,0</v>
      </c>
    </row>
    <row r="20" spans="1:5" x14ac:dyDescent="0.25">
      <c r="A20" t="str">
        <f>CONCATENATE(288154,",",ROW(BCTCR_06608!A20),"|",COLUMN(BCTCR_06608!A20),",0",",0")</f>
        <v>288154,20|1,0,0</v>
      </c>
      <c r="B20" t="str">
        <f>CONCATENATE(288191,",",ROW(BCTCR_06608!B20),"|",COLUMN(BCTCR_06608!B20),",0",",0")</f>
        <v>288191,20|2,0,0</v>
      </c>
      <c r="C20" t="str">
        <f>CONCATENATE(288093,",",ROW(BCTCR_06608!C20),"|",COLUMN(BCTCR_06608!C20),",0",",0")</f>
        <v>288093,20|3,0,0</v>
      </c>
      <c r="D20" t="str">
        <f>CONCATENATE(287644,",",ROW(BCTCR_06608!D20),"|",COLUMN(BCTCR_06608!D20),",0",",0")</f>
        <v>287644,20|4,0,0</v>
      </c>
      <c r="E20" t="str">
        <f>CONCATENATE(288212,",",ROW(BCTCR_06608!E20),"|",COLUMN(BCTCR_06608!E20),",0",",0")</f>
        <v>288212,20|5,0,0</v>
      </c>
    </row>
    <row r="21" spans="1:5" x14ac:dyDescent="0.25">
      <c r="A21" t="str">
        <f>CONCATENATE(287900,",",ROW(BCTCR_06608!A21),"|",COLUMN(BCTCR_06608!A21),",0",",0")</f>
        <v>287900,21|1,0,0</v>
      </c>
      <c r="B21" t="str">
        <f>CONCATENATE(287731,",",ROW(BCTCR_06608!B21),"|",COLUMN(BCTCR_06608!B21),",0",",0")</f>
        <v>287731,21|2,0,0</v>
      </c>
      <c r="C21" t="str">
        <f>CONCATENATE(288142,",",ROW(BCTCR_06608!C21),"|",COLUMN(BCTCR_06608!C21),",0",",0")</f>
        <v>288142,21|3,0,0</v>
      </c>
      <c r="D21" t="str">
        <f>CONCATENATE(288056,",",ROW(BCTCR_06608!D21),"|",COLUMN(BCTCR_06608!D21),",0",",0")</f>
        <v>288056,21|4,0,0</v>
      </c>
      <c r="E21" t="str">
        <f>CONCATENATE(287873,",",ROW(BCTCR_06608!E21),"|",COLUMN(BCTCR_06608!E21),",0",",0")</f>
        <v>287873,21|5,0,0</v>
      </c>
    </row>
    <row r="22" spans="1:5" x14ac:dyDescent="0.25">
      <c r="A22" t="str">
        <f>CONCATENATE(287845,",",ROW(BCTCR_06608!A22),"|",COLUMN(BCTCR_06608!A22),",0",",0")</f>
        <v>287845,22|1,0,0</v>
      </c>
      <c r="B22" t="str">
        <f>CONCATENATE(287707,",",ROW(BCTCR_06608!B22),"|",COLUMN(BCTCR_06608!B22),",0",",0")</f>
        <v>287707,22|2,0,0</v>
      </c>
      <c r="C22" t="str">
        <f>CONCATENATE(288143,",",ROW(BCTCR_06608!C22),"|",COLUMN(BCTCR_06608!C22),",0",",0")</f>
        <v>288143,22|3,0,0</v>
      </c>
      <c r="D22" t="str">
        <f>CONCATENATE(288057,",",ROW(BCTCR_06608!D22),"|",COLUMN(BCTCR_06608!D22),",0",",0")</f>
        <v>288057,22|4,0,0</v>
      </c>
      <c r="E22" t="str">
        <f>CONCATENATE(287874,",",ROW(BCTCR_06608!E22),"|",COLUMN(BCTCR_06608!E22),",0",",0")</f>
        <v>287874,22|5,0,0</v>
      </c>
    </row>
    <row r="23" spans="1:5" x14ac:dyDescent="0.25">
      <c r="A23" t="str">
        <f>CONCATENATE(287921,",",ROW(BCTCR_06608!A23),"|",COLUMN(BCTCR_06608!A23),",0",",0")</f>
        <v>287921,23|1,0,0</v>
      </c>
      <c r="B23" t="str">
        <f>CONCATENATE(288192,",",ROW(BCTCR_06608!B23),"|",COLUMN(BCTCR_06608!B23),",0",",0")</f>
        <v>288192,23|2,0,0</v>
      </c>
      <c r="C23" t="str">
        <f>CONCATENATE(288130,",",ROW(BCTCR_06608!C23),"|",COLUMN(BCTCR_06608!C23),",0",",0")</f>
        <v>288130,23|3,0,0</v>
      </c>
      <c r="D23" t="str">
        <f>CONCATENATE(287620,",",ROW(BCTCR_06608!D23),"|",COLUMN(BCTCR_06608!D23),",0",",0")</f>
        <v>287620,23|4,0,0</v>
      </c>
      <c r="E23" t="str">
        <f>CONCATENATE(287815,",",ROW(BCTCR_06608!E23),"|",COLUMN(BCTCR_06608!E23),",0",",0")</f>
        <v>287815,23|5,0,0</v>
      </c>
    </row>
    <row r="24" spans="1:5" x14ac:dyDescent="0.25">
      <c r="A24" t="str">
        <f>CONCATENATE(287901,",",ROW(BCTCR_06608!A24),"|",COLUMN(BCTCR_06608!A24),",0",",0")</f>
        <v>287901,24|1,0,0</v>
      </c>
      <c r="B24" t="str">
        <f>CONCATENATE(287708,",",ROW(BCTCR_06608!B24),"|",COLUMN(BCTCR_06608!B24),",0",",0")</f>
        <v>287708,24|2,0,0</v>
      </c>
      <c r="C24" t="str">
        <f>CONCATENATE(288144,",",ROW(BCTCR_06608!C24),"|",COLUMN(BCTCR_06608!C24),",0",",0")</f>
        <v>288144,24|3,0,0</v>
      </c>
      <c r="D24" t="str">
        <f>CONCATENATE(288058,",",ROW(BCTCR_06608!D24),"|",COLUMN(BCTCR_06608!D24),",0",",0")</f>
        <v>288058,24|4,0,0</v>
      </c>
      <c r="E24" t="str">
        <f>CONCATENATE(287875,",",ROW(BCTCR_06608!E24),"|",COLUMN(BCTCR_06608!E24),",0",",0")</f>
        <v>287875,24|5,0,0</v>
      </c>
    </row>
    <row r="25" spans="1:5" x14ac:dyDescent="0.25">
      <c r="A25" t="str">
        <f>CONCATENATE(287922,",",ROW(BCTCR_06608!A25),"|",COLUMN(BCTCR_06608!A25),",0",",0")</f>
        <v>287922,25|1,0,0</v>
      </c>
      <c r="B25" t="str">
        <f>CONCATENATE(287709,",",ROW(BCTCR_06608!B25),"|",COLUMN(BCTCR_06608!B25),",0",",0")</f>
        <v>287709,25|2,0,0</v>
      </c>
      <c r="C25" t="str">
        <f>CONCATENATE(287971,",",ROW(BCTCR_06608!C25),"|",COLUMN(BCTCR_06608!C25),",0",",0")</f>
        <v>287971,25|3,0,0</v>
      </c>
      <c r="D25" t="str">
        <f>CONCATENATE(287621,",",ROW(BCTCR_06608!D25),"|",COLUMN(BCTCR_06608!D25),",0",",0")</f>
        <v>287621,25|4,0,0</v>
      </c>
      <c r="E25" t="str">
        <f>CONCATENATE(287816,",",ROW(BCTCR_06608!E25),"|",COLUMN(BCTCR_06608!E25),",0",",0")</f>
        <v>287816,25|5,0,0</v>
      </c>
    </row>
    <row r="26" spans="1:5" x14ac:dyDescent="0.25">
      <c r="A26" t="str">
        <f>CONCATENATE(288155,",",ROW(BCTCR_06608!A26),"|",COLUMN(BCTCR_06608!A26),",0",",0")</f>
        <v>288155,26|1,0,0</v>
      </c>
      <c r="B26" t="str">
        <f>CONCATENATE(287662,",",ROW(BCTCR_06608!B26),"|",COLUMN(BCTCR_06608!B26),",0",",0")</f>
        <v>287662,26|2,0,0</v>
      </c>
      <c r="C26" t="str">
        <f>CONCATENATE(288145,",",ROW(BCTCR_06608!C26),"|",COLUMN(BCTCR_06608!C26),",0",",0")</f>
        <v>288145,26|3,0,0</v>
      </c>
      <c r="D26" t="str">
        <f>CONCATENATE(288059,",",ROW(BCTCR_06608!D26),"|",COLUMN(BCTCR_06608!D26),",0",",0")</f>
        <v>288059,26|4,0,0</v>
      </c>
      <c r="E26" t="str">
        <f>CONCATENATE(287876,",",ROW(BCTCR_06608!E26),"|",COLUMN(BCTCR_06608!E26),",0",",0")</f>
        <v>287876,26|5,0,0</v>
      </c>
    </row>
    <row r="27" spans="1:5" x14ac:dyDescent="0.25">
      <c r="A27" t="str">
        <f>CONCATENATE(287846,",",ROW(BCTCR_06608!A27),"|",COLUMN(BCTCR_06608!A27),",0",",0")</f>
        <v>287846,27|1,0,0</v>
      </c>
      <c r="B27" t="str">
        <f>CONCATENATE(287663,",",ROW(BCTCR_06608!B27),"|",COLUMN(BCTCR_06608!B27),",0",",0")</f>
        <v>287663,27|2,0,0</v>
      </c>
      <c r="C27" t="str">
        <f>CONCATENATE(288146,",",ROW(BCTCR_06608!C27),"|",COLUMN(BCTCR_06608!C27),",0",",0")</f>
        <v>288146,27|3,0,0</v>
      </c>
      <c r="D27" t="str">
        <f>CONCATENATE(288060,",",ROW(BCTCR_06608!D27),"|",COLUMN(BCTCR_06608!D27),",0",",0")</f>
        <v>288060,27|4,0,0</v>
      </c>
      <c r="E27" t="str">
        <f>CONCATENATE(287877,",",ROW(BCTCR_06608!E27),"|",COLUMN(BCTCR_06608!E27),",0",",0")</f>
        <v>287877,27|5,0,0</v>
      </c>
    </row>
    <row r="28" spans="1:5" x14ac:dyDescent="0.25">
      <c r="A28" t="str">
        <f>CONCATENATE(287847,",",ROW(BCTCR_06608!A28),"|",COLUMN(BCTCR_06608!A28),",0",",0")</f>
        <v>287847,28|1,0,0</v>
      </c>
      <c r="B28" t="str">
        <f>CONCATENATE(287812,",",ROW(BCTCR_06608!B28),"|",COLUMN(BCTCR_06608!B28),",0",",0")</f>
        <v>287812,28|2,0,0</v>
      </c>
      <c r="C28" t="str">
        <f>CONCATENATE(288094,",",ROW(BCTCR_06608!C28),"|",COLUMN(BCTCR_06608!C28),",0",",0")</f>
        <v>288094,28|3,0,0</v>
      </c>
      <c r="D28" t="str">
        <f>CONCATENATE(287645,",",ROW(BCTCR_06608!D28),"|",COLUMN(BCTCR_06608!D28),",0",",0")</f>
        <v>287645,28|4,0,0</v>
      </c>
      <c r="E28" t="str">
        <f>CONCATENATE(288213,",",ROW(BCTCR_06608!E28),"|",COLUMN(BCTCR_06608!E28),",0",",0")</f>
        <v>288213,28|5,0,0</v>
      </c>
    </row>
    <row r="29" spans="1:5" x14ac:dyDescent="0.25">
      <c r="A29" t="str">
        <f>CONCATENATE(287902,",",ROW(BCTCR_06608!A29),"|",COLUMN(BCTCR_06608!A29),",0",",0")</f>
        <v>287902,29|1,0,0</v>
      </c>
      <c r="B29" t="str">
        <f>CONCATENATE(287694,",",ROW(BCTCR_06608!B29),"|",COLUMN(BCTCR_06608!B29),",0",",0")</f>
        <v>287694,29|2,0,0</v>
      </c>
      <c r="C29" t="str">
        <f>CONCATENATE(287940,",",ROW(BCTCR_06608!C29),"|",COLUMN(BCTCR_06608!C29),",0",",0")</f>
        <v>287940,29|3,0,0</v>
      </c>
      <c r="D29" t="str">
        <f>CONCATENATE(288061,",",ROW(BCTCR_06608!D29),"|",COLUMN(BCTCR_06608!D29),",0",",0")</f>
        <v>288061,29|4,0,0</v>
      </c>
      <c r="E29" t="str">
        <f>CONCATENATE(287878,",",ROW(BCTCR_06608!E29),"|",COLUMN(BCTCR_06608!E29),",0",",0")</f>
        <v>287878,29|5,0,0</v>
      </c>
    </row>
    <row r="30" spans="1:5" x14ac:dyDescent="0.25">
      <c r="A30" t="str">
        <f>CONCATENATE(287903,",",ROW(BCTCR_06608!A30),"|",COLUMN(BCTCR_06608!A30),",0",",0")</f>
        <v>287903,30|1,0,0</v>
      </c>
      <c r="B30" t="str">
        <f>CONCATENATE(287732,",",ROW(BCTCR_06608!B30),"|",COLUMN(BCTCR_06608!B30),",0",",0")</f>
        <v>287732,30|2,0,0</v>
      </c>
      <c r="C30" t="str">
        <f>CONCATENATE(287984,",",ROW(BCTCR_06608!C30),"|",COLUMN(BCTCR_06608!C30),",0",",0")</f>
        <v>287984,30|3,0,0</v>
      </c>
      <c r="D30" t="str">
        <f>CONCATENATE(288062,",",ROW(BCTCR_06608!D30),"|",COLUMN(BCTCR_06608!D30),",0",",0")</f>
        <v>288062,30|4,0,0</v>
      </c>
      <c r="E30" t="str">
        <f>CONCATENATE(287879,",",ROW(BCTCR_06608!E30),"|",COLUMN(BCTCR_06608!E30),",0",",0")</f>
        <v>287879,30|5,0,0</v>
      </c>
    </row>
    <row r="31" spans="1:5" x14ac:dyDescent="0.25">
      <c r="A31" t="str">
        <f>CONCATENATE(288204,",",ROW(BCTCR_06608!A31),"|",COLUMN(BCTCR_06608!A31),",0",",0")</f>
        <v>288204,31|1,0,0</v>
      </c>
      <c r="B31" t="str">
        <f>CONCATENATE(288193,",",ROW(BCTCR_06608!B31),"|",COLUMN(BCTCR_06608!B31),",0",",0")</f>
        <v>288193,31|2,0,0</v>
      </c>
      <c r="C31" t="str">
        <f>CONCATENATE(288095,",",ROW(BCTCR_06608!C31),"|",COLUMN(BCTCR_06608!C31),",0",",0")</f>
        <v>288095,31|3,0,0</v>
      </c>
      <c r="D31" t="str">
        <f>CONCATENATE(287646,",",ROW(BCTCR_06608!D31),"|",COLUMN(BCTCR_06608!D31),",0",",0")</f>
        <v>287646,31|4,0,0</v>
      </c>
      <c r="E31" t="str">
        <f>CONCATENATE(288214,",",ROW(BCTCR_06608!E31),"|",COLUMN(BCTCR_06608!E31),",0",",0")</f>
        <v>288214,31|5,0,0</v>
      </c>
    </row>
    <row r="32" spans="1:5" x14ac:dyDescent="0.25">
      <c r="A32" t="str">
        <f>CONCATENATE(288188,",",ROW(BCTCR_06608!A32),"|",COLUMN(BCTCR_06608!A32),",0",",0")</f>
        <v>288188,32|1,0,0</v>
      </c>
      <c r="B32" t="str">
        <f>CONCATENATE(287664,",",ROW(BCTCR_06608!B32),"|",COLUMN(BCTCR_06608!B32),",0",",0")</f>
        <v>287664,32|2,0,0</v>
      </c>
      <c r="C32" t="str">
        <f>CONCATENATE(288091,",",ROW(BCTCR_06608!C32),"|",COLUMN(BCTCR_06608!C32),",0",",0")</f>
        <v>288091,32|3,0,0</v>
      </c>
      <c r="D32" t="str">
        <f>CONCATENATE(287642,",",ROW(BCTCR_06608!D32),"|",COLUMN(BCTCR_06608!D32),",0",",0")</f>
        <v>287642,32|4,0,0</v>
      </c>
      <c r="E32" t="str">
        <f>CONCATENATE(288210,",",ROW(BCTCR_06608!E32),"|",COLUMN(BCTCR_06608!E32),",0",",0")</f>
        <v>288210,32|5,0,0</v>
      </c>
    </row>
    <row r="33" spans="1:5" x14ac:dyDescent="0.25">
      <c r="A33" t="str">
        <f>CONCATENATE(287904,",",ROW(BCTCR_06608!A33),"|",COLUMN(BCTCR_06608!A33),",0",",0")</f>
        <v>287904,33|1,0,0</v>
      </c>
      <c r="B33" t="str">
        <f>CONCATENATE(287733,",",ROW(BCTCR_06608!B33),"|",COLUMN(BCTCR_06608!B33),",0",",0")</f>
        <v>287733,33|2,0,0</v>
      </c>
      <c r="C33" t="str">
        <f>CONCATENATE(287985,",",ROW(BCTCR_06608!C33),"|",COLUMN(BCTCR_06608!C33),",0",",0")</f>
        <v>287985,33|3,0,0</v>
      </c>
      <c r="D33" t="str">
        <f>CONCATENATE(288063,",",ROW(BCTCR_06608!D33),"|",COLUMN(BCTCR_06608!D33),",0",",0")</f>
        <v>288063,33|4,0,0</v>
      </c>
      <c r="E33" t="str">
        <f>CONCATENATE(287880,",",ROW(BCTCR_06608!E33),"|",COLUMN(BCTCR_06608!E33),",0",",0")</f>
        <v>287880,33|5,0,0</v>
      </c>
    </row>
    <row r="34" spans="1:5" x14ac:dyDescent="0.25">
      <c r="A34" t="str">
        <f>CONCATENATE(288156,",",ROW(BCTCR_06608!A34),"|",COLUMN(BCTCR_06608!A34),",0",",0")</f>
        <v>288156,34|1,0,0</v>
      </c>
      <c r="B34" t="str">
        <f>CONCATENATE(287710,",",ROW(BCTCR_06608!B34),"|",COLUMN(BCTCR_06608!B34),",0",",0")</f>
        <v>287710,34|2,0,0</v>
      </c>
      <c r="C34" t="str">
        <f>CONCATENATE(287986,",",ROW(BCTCR_06608!C34),"|",COLUMN(BCTCR_06608!C34),",0",",0")</f>
        <v>287986,34|3,0,0</v>
      </c>
      <c r="D34" t="str">
        <f>CONCATENATE(288064,",",ROW(BCTCR_06608!D34),"|",COLUMN(BCTCR_06608!D34),",0",",0")</f>
        <v>288064,34|4,0,0</v>
      </c>
      <c r="E34" t="str">
        <f>CONCATENATE(287881,",",ROW(BCTCR_06608!E34),"|",COLUMN(BCTCR_06608!E34),",0",",0")</f>
        <v>287881,34|5,0,0</v>
      </c>
    </row>
    <row r="35" spans="1:5" x14ac:dyDescent="0.25">
      <c r="A35" t="str">
        <f>CONCATENATE(287905,",",ROW(BCTCR_06608!A35),"|",COLUMN(BCTCR_06608!A35),",0",",0")</f>
        <v>287905,35|1,0,0</v>
      </c>
      <c r="B35" t="str">
        <f>CONCATENATE(287734,",",ROW(BCTCR_06608!B35),"|",COLUMN(BCTCR_06608!B35),",0",",0")</f>
        <v>287734,35|2,0,0</v>
      </c>
      <c r="C35" t="str">
        <f>CONCATENATE(287987,",",ROW(BCTCR_06608!C35),"|",COLUMN(BCTCR_06608!C35),",0",",0")</f>
        <v>287987,35|3,0,0</v>
      </c>
      <c r="D35" t="str">
        <f>CONCATENATE(288065,",",ROW(BCTCR_06608!D35),"|",COLUMN(BCTCR_06608!D35),",0",",0")</f>
        <v>288065,35|4,0,0</v>
      </c>
      <c r="E35" t="str">
        <f>CONCATENATE(287882,",",ROW(BCTCR_06608!E35),"|",COLUMN(BCTCR_06608!E35),",0",",0")</f>
        <v>287882,35|5,0,0</v>
      </c>
    </row>
    <row r="36" spans="1:5" x14ac:dyDescent="0.25">
      <c r="A36" t="str">
        <f>CONCATENATE(288157,",",ROW(BCTCR_06608!A36),"|",COLUMN(BCTCR_06608!A36),",0",",0")</f>
        <v>288157,36|1,0,0</v>
      </c>
      <c r="B36" t="str">
        <f>CONCATENATE(287695,",",ROW(BCTCR_06608!B36),"|",COLUMN(BCTCR_06608!B36),",0",",0")</f>
        <v>287695,36|2,0,0</v>
      </c>
      <c r="C36" t="str">
        <f>CONCATENATE(287988,",",ROW(BCTCR_06608!C36),"|",COLUMN(BCTCR_06608!C36),",0",",0")</f>
        <v>287988,36|3,0,0</v>
      </c>
      <c r="D36" t="str">
        <f>CONCATENATE(288066,",",ROW(BCTCR_06608!D36),"|",COLUMN(BCTCR_06608!D36),",0",",0")</f>
        <v>288066,36|4,0,0</v>
      </c>
      <c r="E36" t="str">
        <f>CONCATENATE(287883,",",ROW(BCTCR_06608!E36),"|",COLUMN(BCTCR_06608!E36),",0",",0")</f>
        <v>287883,36|5,0,0</v>
      </c>
    </row>
    <row r="37" spans="1:5" x14ac:dyDescent="0.25">
      <c r="A37" t="str">
        <f>CONCATENATE(288205,",",ROW(BCTCR_06608!A37),"|",COLUMN(BCTCR_06608!A37),",0",",0")</f>
        <v>288205,37|1,0,0</v>
      </c>
      <c r="B37" t="str">
        <f>CONCATENATE(288194,",",ROW(BCTCR_06608!B37),"|",COLUMN(BCTCR_06608!B37),",0",",0")</f>
        <v>288194,37|2,0,0</v>
      </c>
      <c r="C37" t="str">
        <f>CONCATENATE(288096,",",ROW(BCTCR_06608!C37),"|",COLUMN(BCTCR_06608!C37),",0",",0")</f>
        <v>288096,37|3,0,0</v>
      </c>
      <c r="D37" t="str">
        <f>CONCATENATE(287647,",",ROW(BCTCR_06608!D37),"|",COLUMN(BCTCR_06608!D37),",0",",0")</f>
        <v>287647,37|4,0,0</v>
      </c>
      <c r="E37" t="str">
        <f>CONCATENATE(288215,",",ROW(BCTCR_06608!E37),"|",COLUMN(BCTCR_06608!E37),",0",",0")</f>
        <v>288215,37|5,0,0</v>
      </c>
    </row>
    <row r="38" spans="1:5" x14ac:dyDescent="0.25">
      <c r="A38" t="str">
        <f>CONCATENATE(287923,",",ROW(BCTCR_06608!A38),"|",COLUMN(BCTCR_06608!A38),",0",",0")</f>
        <v>287923,38|1,0,0</v>
      </c>
      <c r="B38" t="str">
        <f>CONCATENATE(287696,",",ROW(BCTCR_06608!B38),"|",COLUMN(BCTCR_06608!B38),",0",",0")</f>
        <v>287696,38|2,0,0</v>
      </c>
      <c r="C38" t="str">
        <f>CONCATENATE(287972,",",ROW(BCTCR_06608!C38),"|",COLUMN(BCTCR_06608!C38),",0",",0")</f>
        <v>287972,38|3,0,0</v>
      </c>
      <c r="D38" t="str">
        <f>CONCATENATE(287622,",",ROW(BCTCR_06608!D38),"|",COLUMN(BCTCR_06608!D38),",0",",0")</f>
        <v>287622,38|4,0,0</v>
      </c>
      <c r="E38" t="str">
        <f>CONCATENATE(287817,",",ROW(BCTCR_06608!E38),"|",COLUMN(BCTCR_06608!E38),",0",",0")</f>
        <v>287817,38|5,0,0</v>
      </c>
    </row>
    <row r="39" spans="1:5" x14ac:dyDescent="0.25">
      <c r="A39" t="str">
        <f>CONCATENATE(288158,",",ROW(BCTCR_06608!A39),"|",COLUMN(BCTCR_06608!A39),",0",",0")</f>
        <v>288158,39|1,0,0</v>
      </c>
      <c r="B39" t="str">
        <f>CONCATENATE(287697,",",ROW(BCTCR_06608!B39),"|",COLUMN(BCTCR_06608!B39),",0",",0")</f>
        <v>287697,39|2,0,0</v>
      </c>
      <c r="C39" t="str">
        <f>CONCATENATE(287683,",",ROW(BCTCR_06608!C39),"|",COLUMN(BCTCR_06608!C39),",0",",0")</f>
        <v>287683,39|3,0,0</v>
      </c>
      <c r="D39" t="str">
        <f>CONCATENATE(288067,",",ROW(BCTCR_06608!D39),"|",COLUMN(BCTCR_06608!D39),",0",",0")</f>
        <v>288067,39|4,0,0</v>
      </c>
      <c r="E39" t="str">
        <f>CONCATENATE(287884,",",ROW(BCTCR_06608!E39),"|",COLUMN(BCTCR_06608!E39),",0",",0")</f>
        <v>287884,39|5,0,0</v>
      </c>
    </row>
    <row r="40" spans="1:5" x14ac:dyDescent="0.25">
      <c r="A40" t="str">
        <f>CONCATENATE(287674,",",ROW(BCTCR_06608!A40),"|",COLUMN(BCTCR_06608!A40),",0",",0")</f>
        <v>287674,40|1,0,0</v>
      </c>
      <c r="B40" t="str">
        <f>CONCATENATE(288195,",",ROW(BCTCR_06608!B40),"|",COLUMN(BCTCR_06608!B40),",0",",0")</f>
        <v>288195,40|2,0,0</v>
      </c>
      <c r="C40" t="str">
        <f>CONCATENATE(288097,",",ROW(BCTCR_06608!C40),"|",COLUMN(BCTCR_06608!C40),",0",",0")</f>
        <v>288097,40|3,0,0</v>
      </c>
      <c r="D40" t="str">
        <f>CONCATENATE(287648,",",ROW(BCTCR_06608!D40),"|",COLUMN(BCTCR_06608!D40),",0",",0")</f>
        <v>287648,40|4,0,0</v>
      </c>
      <c r="E40" t="str">
        <f>CONCATENATE(288216,",",ROW(BCTCR_06608!E40),"|",COLUMN(BCTCR_06608!E40),",0",",0")</f>
        <v>288216,40|5,0,0</v>
      </c>
    </row>
    <row r="41" spans="1:5" x14ac:dyDescent="0.25">
      <c r="A41" t="str">
        <f>CONCATENATE(288159,",",ROW(BCTCR_06608!A41),"|",COLUMN(BCTCR_06608!A41),",0",",0")</f>
        <v>288159,41|1,0,0</v>
      </c>
      <c r="B41" t="str">
        <f>CONCATENATE(287711,",",ROW(BCTCR_06608!B41),"|",COLUMN(BCTCR_06608!B41),",0",",0")</f>
        <v>287711,41|2,0,0</v>
      </c>
      <c r="C41" t="str">
        <f>CONCATENATE(287989,",",ROW(BCTCR_06608!C41),"|",COLUMN(BCTCR_06608!C41),",0",",0")</f>
        <v>287989,41|3,0,0</v>
      </c>
      <c r="D41" t="str">
        <f>CONCATENATE(288068,",",ROW(BCTCR_06608!D41),"|",COLUMN(BCTCR_06608!D41),",0",",0")</f>
        <v>288068,41|4,0,0</v>
      </c>
      <c r="E41" t="str">
        <f>CONCATENATE(287885,",",ROW(BCTCR_06608!E41),"|",COLUMN(BCTCR_06608!E41),",0",",0")</f>
        <v>287885,41|5,0,0</v>
      </c>
    </row>
    <row r="42" spans="1:5" x14ac:dyDescent="0.25">
      <c r="A42" t="str">
        <f>CONCATENATE(288206,",",ROW(BCTCR_06608!A42),"|",COLUMN(BCTCR_06608!A42),",0",",0")</f>
        <v>288206,42|1,0,0</v>
      </c>
      <c r="B42" t="str">
        <f>CONCATENATE(287763,",",ROW(BCTCR_06608!B42),"|",COLUMN(BCTCR_06608!B42),",0",",0")</f>
        <v>287763,42|2,0,0</v>
      </c>
      <c r="C42" t="str">
        <f>CONCATENATE(288127,",",ROW(BCTCR_06608!C42),"|",COLUMN(BCTCR_06608!C42),",0",",0")</f>
        <v>288127,42|3,0,0</v>
      </c>
      <c r="D42" t="str">
        <f>CONCATENATE(288043,",",ROW(BCTCR_06608!D42),"|",COLUMN(BCTCR_06608!D42),",0",",0")</f>
        <v>288043,42|4,0,0</v>
      </c>
      <c r="E42" t="str">
        <f>CONCATENATE(287859,",",ROW(BCTCR_06608!E42),"|",COLUMN(BCTCR_06608!E42),",0",",0")</f>
        <v>287859,42|5,0,0</v>
      </c>
    </row>
    <row r="43" spans="1:5" x14ac:dyDescent="0.25">
      <c r="A43" t="str">
        <f>CONCATENATE(287906,",",ROW(BCTCR_06608!A43),"|",COLUMN(BCTCR_06608!A43),",0",",0")</f>
        <v>287906,43|1,0,0</v>
      </c>
      <c r="B43" t="str">
        <f>CONCATENATE(287764,",",ROW(BCTCR_06608!B43),"|",COLUMN(BCTCR_06608!B43),",0",",0")</f>
        <v>287764,43|2,0,0</v>
      </c>
      <c r="C43" t="str">
        <f>CONCATENATE(287990,",",ROW(BCTCR_06608!C43),"|",COLUMN(BCTCR_06608!C43),",0",",0")</f>
        <v>287990,43|3,0,0</v>
      </c>
      <c r="D43" t="str">
        <f>CONCATENATE(288069,",",ROW(BCTCR_06608!D43),"|",COLUMN(BCTCR_06608!D43),",0",",0")</f>
        <v>288069,43|4,0,0</v>
      </c>
      <c r="E43" t="str">
        <f>CONCATENATE(287886,",",ROW(BCTCR_06608!E43),"|",COLUMN(BCTCR_06608!E43),",0",",0")</f>
        <v>287886,43|5,0,0</v>
      </c>
    </row>
    <row r="44" spans="1:5" x14ac:dyDescent="0.25">
      <c r="A44" t="str">
        <f>CONCATENATE(287924,",",ROW(BCTCR_06608!A44),"|",COLUMN(BCTCR_06608!A44),",0",",0")</f>
        <v>287924,44|1,0,0</v>
      </c>
      <c r="B44" t="str">
        <f>CONCATENATE(287765,",",ROW(BCTCR_06608!B44),"|",COLUMN(BCTCR_06608!B44),",0",",0")</f>
        <v>287765,44|2,0,0</v>
      </c>
      <c r="C44" t="str">
        <f>CONCATENATE(287973,",",ROW(BCTCR_06608!C44),"|",COLUMN(BCTCR_06608!C44),",0",",0")</f>
        <v>287973,44|3,0,0</v>
      </c>
      <c r="D44" t="str">
        <f>CONCATENATE(287623,",",ROW(BCTCR_06608!D44),"|",COLUMN(BCTCR_06608!D44),",0",",0")</f>
        <v>287623,44|4,0,0</v>
      </c>
      <c r="E44" t="str">
        <f>CONCATENATE(287818,",",ROW(BCTCR_06608!E44),"|",COLUMN(BCTCR_06608!E44),",0",",0")</f>
        <v>287818,44|5,0,0</v>
      </c>
    </row>
    <row r="45" spans="1:5" x14ac:dyDescent="0.25">
      <c r="A45" t="str">
        <f>CONCATENATE(287699,",",ROW(BCTCR_06608!A45),"|",COLUMN(BCTCR_06608!A45),",0",",0")</f>
        <v>287699,45|1,0,0</v>
      </c>
      <c r="B45" t="str">
        <f>CONCATENATE(287735,",",ROW(BCTCR_06608!B45),"|",COLUMN(BCTCR_06608!B45),",0",",0")</f>
        <v>287735,45|2,0,0</v>
      </c>
      <c r="C45" t="str">
        <f>CONCATENATE(288128,",",ROW(BCTCR_06608!C45),"|",COLUMN(BCTCR_06608!C45),",0",",0")</f>
        <v>288128,45|3,0,0</v>
      </c>
      <c r="D45" t="str">
        <f>CONCATENATE(288044,",",ROW(BCTCR_06608!D45),"|",COLUMN(BCTCR_06608!D45),",0",",0")</f>
        <v>288044,45|4,0,0</v>
      </c>
      <c r="E45" t="str">
        <f>CONCATENATE(287860,",",ROW(BCTCR_06608!E45),"|",COLUMN(BCTCR_06608!E45),",0",",0")</f>
        <v>287860,45|5,0,0</v>
      </c>
    </row>
    <row r="46" spans="1:5" x14ac:dyDescent="0.25">
      <c r="A46" t="str">
        <f>CONCATENATE(287700,",",ROW(BCTCR_06608!A46),"|",COLUMN(BCTCR_06608!A46),",0",",0")</f>
        <v>287700,46|1,0,0</v>
      </c>
      <c r="B46" t="str">
        <f>CONCATENATE(287665,",",ROW(BCTCR_06608!B46),"|",COLUMN(BCTCR_06608!B46),",0",",0")</f>
        <v>287665,46|2,0,0</v>
      </c>
      <c r="C46" t="str">
        <f>CONCATENATE(288129,",",ROW(BCTCR_06608!C46),"|",COLUMN(BCTCR_06608!C46),",0",",0")</f>
        <v>288129,46|3,0,0</v>
      </c>
      <c r="D46" t="str">
        <f>CONCATENATE(288045,",",ROW(BCTCR_06608!D46),"|",COLUMN(BCTCR_06608!D46),",0",",0")</f>
        <v>288045,46|4,0,0</v>
      </c>
      <c r="E46" t="str">
        <f>CONCATENATE(287861,",",ROW(BCTCR_06608!E46),"|",COLUMN(BCTCR_06608!E46),",0",",0")</f>
        <v>287861,46|5,0,0</v>
      </c>
    </row>
    <row r="47" spans="1:5" x14ac:dyDescent="0.25">
      <c r="A47" t="str">
        <f>CONCATENATE(287701,",",ROW(BCTCR_06608!A47),"|",COLUMN(BCTCR_06608!A47),",0",",0")</f>
        <v>287701,47|1,0,0</v>
      </c>
      <c r="B47" t="str">
        <f>CONCATENATE(287766,",",ROW(BCTCR_06608!B47),"|",COLUMN(BCTCR_06608!B47),",0",",0")</f>
        <v>287766,47|2,0,0</v>
      </c>
      <c r="C47" t="str">
        <f>CONCATENATE(288131,",",ROW(BCTCR_06608!C47),"|",COLUMN(BCTCR_06608!C47),",0",",0")</f>
        <v>288131,47|3,0,0</v>
      </c>
      <c r="D47" t="str">
        <f>CONCATENATE(288046,",",ROW(BCTCR_06608!D47),"|",COLUMN(BCTCR_06608!D47),",0",",0")</f>
        <v>288046,47|4,0,0</v>
      </c>
      <c r="E47" t="str">
        <f>CONCATENATE(287862,",",ROW(BCTCR_06608!E47),"|",COLUMN(BCTCR_06608!E47),",0",",0")</f>
        <v>287862,47|5,0,0</v>
      </c>
    </row>
    <row r="48" spans="1:5" x14ac:dyDescent="0.25">
      <c r="A48" t="str">
        <f>CONCATENATE(288160,",",ROW(BCTCR_06608!A48),"|",COLUMN(BCTCR_06608!A48),",0",",0")</f>
        <v>288160,48|1,0,0</v>
      </c>
      <c r="B48" t="str">
        <f>CONCATENATE(288238,",",ROW(BCTCR_06608!B48),"|",COLUMN(BCTCR_06608!B48),",0",",0")</f>
        <v>288238,48|2,0,0</v>
      </c>
      <c r="C48" t="str">
        <f>CONCATENATE(287991,",",ROW(BCTCR_06608!C48),"|",COLUMN(BCTCR_06608!C48),",0",",0")</f>
        <v>287991,48|3,0,0</v>
      </c>
      <c r="D48" t="str">
        <f>CONCATENATE(288070,",",ROW(BCTCR_06608!D48),"|",COLUMN(BCTCR_06608!D48),",0",",0")</f>
        <v>288070,48|4,0,0</v>
      </c>
      <c r="E48" t="str">
        <f>CONCATENATE(287887,",",ROW(BCTCR_06608!E48),"|",COLUMN(BCTCR_06608!E48),",0",",0")</f>
        <v>287887,48|5,0,0</v>
      </c>
    </row>
    <row r="49" spans="1:5" x14ac:dyDescent="0.25">
      <c r="A49" t="str">
        <f>CONCATENATE(288161,",",ROW(BCTCR_06608!A49),"|",COLUMN(BCTCR_06608!A49),",0",",0")</f>
        <v>288161,49|1,0,0</v>
      </c>
      <c r="B49" t="str">
        <f>CONCATENATE(287767,",",ROW(BCTCR_06608!B49),"|",COLUMN(BCTCR_06608!B49),",0",",0")</f>
        <v>287767,49|2,0,0</v>
      </c>
      <c r="C49" t="str">
        <f>CONCATENATE(287992,",",ROW(BCTCR_06608!C49),"|",COLUMN(BCTCR_06608!C49),",0",",0")</f>
        <v>287992,49|3,0,0</v>
      </c>
      <c r="D49" t="str">
        <f>CONCATENATE(288071,",",ROW(BCTCR_06608!D49),"|",COLUMN(BCTCR_06608!D49),",0",",0")</f>
        <v>288071,49|4,0,0</v>
      </c>
      <c r="E49" t="str">
        <f>CONCATENATE(287888,",",ROW(BCTCR_06608!E49),"|",COLUMN(BCTCR_06608!E49),",0",",0")</f>
        <v>287888,49|5,0,0</v>
      </c>
    </row>
    <row r="50" spans="1:5" x14ac:dyDescent="0.25">
      <c r="A50" t="str">
        <f>CONCATENATE(287907,",",ROW(BCTCR_06608!A50),"|",COLUMN(BCTCR_06608!A50),",0",",0")</f>
        <v>287907,50|1,0,0</v>
      </c>
      <c r="B50" t="str">
        <f>CONCATENATE(287768,",",ROW(BCTCR_06608!B50),"|",COLUMN(BCTCR_06608!B50),",0",",0")</f>
        <v>287768,50|2,0,0</v>
      </c>
      <c r="C50" t="str">
        <f>CONCATENATE(287993,",",ROW(BCTCR_06608!C50),"|",COLUMN(BCTCR_06608!C50),",0",",0")</f>
        <v>287993,50|3,0,0</v>
      </c>
      <c r="D50" t="str">
        <f>CONCATENATE(288072,",",ROW(BCTCR_06608!D50),"|",COLUMN(BCTCR_06608!D50),",0",",0")</f>
        <v>288072,50|4,0,0</v>
      </c>
      <c r="E50" t="str">
        <f>CONCATENATE(287889,",",ROW(BCTCR_06608!E50),"|",COLUMN(BCTCR_06608!E50),",0",",0")</f>
        <v>287889,50|5,0,0</v>
      </c>
    </row>
    <row r="51" spans="1:5" x14ac:dyDescent="0.25">
      <c r="A51" t="str">
        <f>CONCATENATE(287908,",",ROW(BCTCR_06608!A51),"|",COLUMN(BCTCR_06608!A51),",0",",0")</f>
        <v>287908,51|1,0,0</v>
      </c>
      <c r="B51" t="str">
        <f>CONCATENATE(287769,",",ROW(BCTCR_06608!B51),"|",COLUMN(BCTCR_06608!B51),",0",",0")</f>
        <v>287769,51|2,0,0</v>
      </c>
      <c r="C51" t="str">
        <f>CONCATENATE(287994,",",ROW(BCTCR_06608!C51),"|",COLUMN(BCTCR_06608!C51),",0",",0")</f>
        <v>287994,51|3,0,0</v>
      </c>
      <c r="D51" t="str">
        <f>CONCATENATE(288073,",",ROW(BCTCR_06608!D51),"|",COLUMN(BCTCR_06608!D51),",0",",0")</f>
        <v>288073,51|4,0,0</v>
      </c>
      <c r="E51" t="str">
        <f>CONCATENATE(287890,",",ROW(BCTCR_06608!E51),"|",COLUMN(BCTCR_06608!E51),",0",",0")</f>
        <v>287890,51|5,0,0</v>
      </c>
    </row>
    <row r="52" spans="1:5" x14ac:dyDescent="0.25">
      <c r="A52" t="str">
        <f>CONCATENATE(287925,",",ROW(BCTCR_06608!A52),"|",COLUMN(BCTCR_06608!A52),",0",",0")</f>
        <v>287925,52|1,0,0</v>
      </c>
      <c r="B52" t="str">
        <f>CONCATENATE(287770,",",ROW(BCTCR_06608!B52),"|",COLUMN(BCTCR_06608!B52),",0",",0")</f>
        <v>287770,52|2,0,0</v>
      </c>
      <c r="C52" t="str">
        <f>CONCATENATE(287974,",",ROW(BCTCR_06608!C52),"|",COLUMN(BCTCR_06608!C52),",0",",0")</f>
        <v>287974,52|3,0,0</v>
      </c>
      <c r="D52" t="str">
        <f>CONCATENATE(287624,",",ROW(BCTCR_06608!D52),"|",COLUMN(BCTCR_06608!D52),",0",",0")</f>
        <v>287624,52|4,0,0</v>
      </c>
      <c r="E52" t="str">
        <f>CONCATENATE(287819,",",ROW(BCTCR_06608!E52),"|",COLUMN(BCTCR_06608!E52),",0",",0")</f>
        <v>287819,52|5,0,0</v>
      </c>
    </row>
    <row r="53" spans="1:5" x14ac:dyDescent="0.25">
      <c r="A53" t="str">
        <f>CONCATENATE(287926,",",ROW(BCTCR_06608!A53),"|",COLUMN(BCTCR_06608!A53),",0",",0")</f>
        <v>287926,53|1,0,0</v>
      </c>
      <c r="B53" t="str">
        <f>CONCATENATE(288196,",",ROW(BCTCR_06608!B53),"|",COLUMN(BCTCR_06608!B53),",0",",0")</f>
        <v>288196,53|2,0,0</v>
      </c>
      <c r="C53" t="str">
        <f>CONCATENATE(287975,",",ROW(BCTCR_06608!C53),"|",COLUMN(BCTCR_06608!C53),",0",",0")</f>
        <v>287975,53|3,0,0</v>
      </c>
      <c r="D53" t="str">
        <f>CONCATENATE(287625,",",ROW(BCTCR_06608!D53),"|",COLUMN(BCTCR_06608!D53),",0",",0")</f>
        <v>287625,53|4,0,0</v>
      </c>
      <c r="E53" t="str">
        <f>CONCATENATE(287820,",",ROW(BCTCR_06608!E53),"|",COLUMN(BCTCR_06608!E53),",0",",0")</f>
        <v>287820,53|5,0,0</v>
      </c>
    </row>
    <row r="54" spans="1:5" x14ac:dyDescent="0.25">
      <c r="A54" t="str">
        <f>CONCATENATE(288162,",",ROW(BCTCR_06608!A54),"|",COLUMN(BCTCR_06608!A54),",0",",0")</f>
        <v>288162,54|1,0,0</v>
      </c>
      <c r="B54" t="str">
        <f>CONCATENATE(287771,",",ROW(BCTCR_06608!B54),"|",COLUMN(BCTCR_06608!B54),",0",",0")</f>
        <v>287771,54|2,0,0</v>
      </c>
      <c r="C54" t="str">
        <f>CONCATENATE(287995,",",ROW(BCTCR_06608!C54),"|",COLUMN(BCTCR_06608!C54),",0",",0")</f>
        <v>287995,54|3,0,0</v>
      </c>
      <c r="D54" t="str">
        <f>CONCATENATE(288074,",",ROW(BCTCR_06608!D54),"|",COLUMN(BCTCR_06608!D54),",0",",0")</f>
        <v>288074,54|4,0,0</v>
      </c>
      <c r="E54" t="str">
        <f>CONCATENATE(287891,",",ROW(BCTCR_06608!E54),"|",COLUMN(BCTCR_06608!E54),",0",",0")</f>
        <v>287891,54|5,0,0</v>
      </c>
    </row>
    <row r="55" spans="1:5" x14ac:dyDescent="0.25">
      <c r="A55" t="str">
        <f>CONCATENATE(287927,",",ROW(BCTCR_06608!A55),"|",COLUMN(BCTCR_06608!A55),",0",",0")</f>
        <v>287927,55|1,0,0</v>
      </c>
      <c r="B55" t="str">
        <f>CONCATENATE(287736,",",ROW(BCTCR_06608!B55),"|",COLUMN(BCTCR_06608!B55),",0",",0")</f>
        <v>287736,55|2,0,0</v>
      </c>
      <c r="C55" t="str">
        <f>CONCATENATE(287976,",",ROW(BCTCR_06608!C55),"|",COLUMN(BCTCR_06608!C55),",0",",0")</f>
        <v>287976,55|3,0,0</v>
      </c>
      <c r="D55" t="str">
        <f>CONCATENATE(287626,",",ROW(BCTCR_06608!D55),"|",COLUMN(BCTCR_06608!D55),",0",",0")</f>
        <v>287626,55|4,0,0</v>
      </c>
      <c r="E55" t="str">
        <f>CONCATENATE(287821,",",ROW(BCTCR_06608!E55),"|",COLUMN(BCTCR_06608!E55),",0",",0")</f>
        <v>287821,55|5,0,0</v>
      </c>
    </row>
    <row r="56" spans="1:5" x14ac:dyDescent="0.25">
      <c r="A56" t="str">
        <f>CONCATENATE(287928,",",ROW(BCTCR_06608!A56),"|",COLUMN(BCTCR_06608!A56),",0",",0")</f>
        <v>287928,56|1,0,0</v>
      </c>
      <c r="B56" t="str">
        <f>CONCATENATE(287666,",",ROW(BCTCR_06608!B56),"|",COLUMN(BCTCR_06608!B56),",0",",0")</f>
        <v>287666,56|2,0,0</v>
      </c>
      <c r="C56" t="str">
        <f>CONCATENATE(287977,",",ROW(BCTCR_06608!C56),"|",COLUMN(BCTCR_06608!C56),",0",",0")</f>
        <v>287977,56|3,0,0</v>
      </c>
      <c r="D56" t="str">
        <f>CONCATENATE(287627,",",ROW(BCTCR_06608!D56),"|",COLUMN(BCTCR_06608!D56),",0",",0")</f>
        <v>287627,56|4,0,0</v>
      </c>
      <c r="E56" t="str">
        <f>CONCATENATE(287822,",",ROW(BCTCR_06608!E56),"|",COLUMN(BCTCR_06608!E56),",0",",0")</f>
        <v>287822,56|5,0,0</v>
      </c>
    </row>
    <row r="57" spans="1:5" x14ac:dyDescent="0.25">
      <c r="A57" t="str">
        <f>CONCATENATE(287929,",",ROW(BCTCR_06608!A57),"|",COLUMN(BCTCR_06608!A57),",0",",0")</f>
        <v>287929,57|1,0,0</v>
      </c>
      <c r="B57" t="str">
        <f>CONCATENATE(287772,",",ROW(BCTCR_06608!B57),"|",COLUMN(BCTCR_06608!B57),",0",",0")</f>
        <v>287772,57|2,0,0</v>
      </c>
      <c r="C57" t="str">
        <f>CONCATENATE(287978,",",ROW(BCTCR_06608!C57),"|",COLUMN(BCTCR_06608!C57),",0",",0")</f>
        <v>287978,57|3,0,0</v>
      </c>
      <c r="D57" t="str">
        <f>CONCATENATE(287628,",",ROW(BCTCR_06608!D57),"|",COLUMN(BCTCR_06608!D57),",0",",0")</f>
        <v>287628,57|4,0,0</v>
      </c>
      <c r="E57" t="str">
        <f>CONCATENATE(287823,",",ROW(BCTCR_06608!E57),"|",COLUMN(BCTCR_06608!E57),",0",",0")</f>
        <v>287823,57|5,0,0</v>
      </c>
    </row>
    <row r="58" spans="1:5" x14ac:dyDescent="0.25">
      <c r="A58" t="str">
        <f>CONCATENATE(287656,",",ROW(BCTCR_06608!A58),"|",COLUMN(BCTCR_06608!A58),",0",",0")</f>
        <v>287656,58|1,0,0</v>
      </c>
      <c r="B58" t="str">
        <f>CONCATENATE(287737,",",ROW(BCTCR_06608!B58),"|",COLUMN(BCTCR_06608!B58),",0",",0")</f>
        <v>287737,58|2,0,0</v>
      </c>
      <c r="C58" t="str">
        <f>CONCATENATE(287996,",",ROW(BCTCR_06608!C58),"|",COLUMN(BCTCR_06608!C58),",0",",0")</f>
        <v>287996,58|3,0,0</v>
      </c>
      <c r="D58" t="str">
        <f>CONCATENATE(288075,",",ROW(BCTCR_06608!D58),"|",COLUMN(BCTCR_06608!D58),",0",",0")</f>
        <v>288075,58|4,0,0</v>
      </c>
      <c r="E58" t="str">
        <f>CONCATENATE(287892,",",ROW(BCTCR_06608!E58),"|",COLUMN(BCTCR_06608!E58),",0",",0")</f>
        <v>287892,58|5,0,0</v>
      </c>
    </row>
    <row r="59" spans="1:5" x14ac:dyDescent="0.25">
      <c r="A59" t="str">
        <f>CONCATENATE(287675,",",ROW(BCTCR_06608!A59),"|",COLUMN(BCTCR_06608!A59),",0",",0")</f>
        <v>287675,59|1,0,0</v>
      </c>
      <c r="B59" t="str">
        <f>CONCATENATE(287773,",",ROW(BCTCR_06608!B59),"|",COLUMN(BCTCR_06608!B59),",0",",0")</f>
        <v>287773,59|2,0,0</v>
      </c>
      <c r="C59" t="str">
        <f>CONCATENATE(287997,",",ROW(BCTCR_06608!C59),"|",COLUMN(BCTCR_06608!C59),",0",",0")</f>
        <v>287997,59|3,0,0</v>
      </c>
      <c r="D59" t="str">
        <f>CONCATENATE(288076,",",ROW(BCTCR_06608!D59),"|",COLUMN(BCTCR_06608!D59),",0",",0")</f>
        <v>288076,59|4,0,0</v>
      </c>
      <c r="E59" t="str">
        <f>CONCATENATE(287893,",",ROW(BCTCR_06608!E59),"|",COLUMN(BCTCR_06608!E59),",0",",0")</f>
        <v>287893,59|5,0,0</v>
      </c>
    </row>
    <row r="60" spans="1:5" x14ac:dyDescent="0.25">
      <c r="A60" t="str">
        <f>CONCATENATE(287702,",",ROW(BCTCR_06608!A60),"|",COLUMN(BCTCR_06608!A60),",0",",0")</f>
        <v>287702,60|1,0,0</v>
      </c>
      <c r="B60" t="str">
        <f>CONCATENATE(287774,",",ROW(BCTCR_06608!B60),"|",COLUMN(BCTCR_06608!B60),",0",",0")</f>
        <v>287774,60|2,0,0</v>
      </c>
      <c r="C60" t="str">
        <f>CONCATENATE(288132,",",ROW(BCTCR_06608!C60),"|",COLUMN(BCTCR_06608!C60),",0",",0")</f>
        <v>288132,60|3,0,0</v>
      </c>
      <c r="D60" t="str">
        <f>CONCATENATE(288047,",",ROW(BCTCR_06608!D60),"|",COLUMN(BCTCR_06608!D60),",0",",0")</f>
        <v>288047,60|4,0,0</v>
      </c>
      <c r="E60" t="str">
        <f>CONCATENATE(287863,",",ROW(BCTCR_06608!E60),"|",COLUMN(BCTCR_06608!E60),",0",",0")</f>
        <v>287863,60|5,0,0</v>
      </c>
    </row>
    <row r="61" spans="1:5" x14ac:dyDescent="0.25">
      <c r="A61" t="str">
        <f>CONCATENATE(287930,",",ROW(BCTCR_06608!A61),"|",COLUMN(BCTCR_06608!A61),",0",",0")</f>
        <v>287930,61|1,0,0</v>
      </c>
      <c r="B61" t="str">
        <f>CONCATENATE(287738,",",ROW(BCTCR_06608!B61),"|",COLUMN(BCTCR_06608!B61),",0",",0")</f>
        <v>287738,61|2,0,0</v>
      </c>
      <c r="C61" t="str">
        <f>CONCATENATE(287979,",",ROW(BCTCR_06608!C61),"|",COLUMN(BCTCR_06608!C61),",0",",0")</f>
        <v>287979,61|3,0,0</v>
      </c>
      <c r="D61" t="str">
        <f>CONCATENATE(287629,",",ROW(BCTCR_06608!D61),"|",COLUMN(BCTCR_06608!D61),",0",",0")</f>
        <v>287629,61|4,0,0</v>
      </c>
      <c r="E61" t="str">
        <f>CONCATENATE(287824,",",ROW(BCTCR_06608!E61),"|",COLUMN(BCTCR_06608!E61),",0",",0")</f>
        <v>287824,61|5,0,0</v>
      </c>
    </row>
    <row r="62" spans="1:5" x14ac:dyDescent="0.25">
      <c r="A62" t="str">
        <f>CONCATENATE(287909,",",ROW(BCTCR_06608!A62),"|",COLUMN(BCTCR_06608!A62),",0",",0")</f>
        <v>287909,62|1,0,0</v>
      </c>
      <c r="B62" t="str">
        <f>CONCATENATE(287775,",",ROW(BCTCR_06608!B62),"|",COLUMN(BCTCR_06608!B62),",0",",0")</f>
        <v>287775,62|2,0,0</v>
      </c>
      <c r="C62" t="str">
        <f>CONCATENATE(287998,",",ROW(BCTCR_06608!C62),"|",COLUMN(BCTCR_06608!C62),",0",",0")</f>
        <v>287998,62|3,0,0</v>
      </c>
      <c r="D62" t="str">
        <f>CONCATENATE(288077,",",ROW(BCTCR_06608!D62),"|",COLUMN(BCTCR_06608!D62),",0",",0")</f>
        <v>288077,62|4,0,0</v>
      </c>
      <c r="E62" t="str">
        <f>CONCATENATE(287894,",",ROW(BCTCR_06608!E62),"|",COLUMN(BCTCR_06608!E62),",0",",0")</f>
        <v>287894,62|5,0,0</v>
      </c>
    </row>
    <row r="63" spans="1:5" x14ac:dyDescent="0.25">
      <c r="A63" t="str">
        <f>CONCATENATE(287703,",",ROW(BCTCR_06608!A63),"|",COLUMN(BCTCR_06608!A63),",0",",0")</f>
        <v>287703,63|1,0,0</v>
      </c>
      <c r="B63" t="str">
        <f>CONCATENATE(287739,",",ROW(BCTCR_06608!B63),"|",COLUMN(BCTCR_06608!B63),",0",",0")</f>
        <v>287739,63|2,0,0</v>
      </c>
      <c r="C63" t="str">
        <f>CONCATENATE(288133,",",ROW(BCTCR_06608!C63),"|",COLUMN(BCTCR_06608!C63),",0",",0")</f>
        <v>288133,63|3,0,0</v>
      </c>
      <c r="D63" t="str">
        <f>CONCATENATE(288048,",",ROW(BCTCR_06608!D63),"|",COLUMN(BCTCR_06608!D63),",0",",0")</f>
        <v>288048,63|4,0,0</v>
      </c>
      <c r="E63" t="str">
        <f>CONCATENATE(287864,",",ROW(BCTCR_06608!E63),"|",COLUMN(BCTCR_06608!E63),",0",",0")</f>
        <v>287864,63|5,0,0</v>
      </c>
    </row>
    <row r="64" spans="1:5" x14ac:dyDescent="0.25">
      <c r="A64" t="str">
        <f>CONCATENATE(287931,",",ROW(BCTCR_06608!A64),"|",COLUMN(BCTCR_06608!A64),",0",",0")</f>
        <v>287931,64|1,0,0</v>
      </c>
      <c r="B64" t="str">
        <f>CONCATENATE(288197,",",ROW(BCTCR_06608!B64),"|",COLUMN(BCTCR_06608!B64),",0",",0")</f>
        <v>288197,64|2,0,0</v>
      </c>
      <c r="C64" t="str">
        <f>CONCATENATE(287980,",",ROW(BCTCR_06608!C64),"|",COLUMN(BCTCR_06608!C64),",0",",0")</f>
        <v>287980,64|3,0,0</v>
      </c>
      <c r="D64" t="str">
        <f>CONCATENATE(287630,",",ROW(BCTCR_06608!D64),"|",COLUMN(BCTCR_06608!D64),",0",",0")</f>
        <v>287630,64|4,0,0</v>
      </c>
      <c r="E64" t="str">
        <f>CONCATENATE(287825,",",ROW(BCTCR_06608!E64),"|",COLUMN(BCTCR_06608!E64),",0",",0")</f>
        <v>287825,64|5,0,0</v>
      </c>
    </row>
    <row r="65" spans="1:5" x14ac:dyDescent="0.25">
      <c r="A65" t="str">
        <f>CONCATENATE(287704,",",ROW(BCTCR_06608!A65),"|",COLUMN(BCTCR_06608!A65),",0",",0")</f>
        <v>287704,65|1,0,0</v>
      </c>
      <c r="B65" t="str">
        <f>CONCATENATE(287667,",",ROW(BCTCR_06608!B65),"|",COLUMN(BCTCR_06608!B65),",0",",0")</f>
        <v>287667,65|2,0,0</v>
      </c>
      <c r="C65" t="str">
        <f>CONCATENATE(288134,",",ROW(BCTCR_06608!C65),"|",COLUMN(BCTCR_06608!C65),",0",",0")</f>
        <v>288134,65|3,0,0</v>
      </c>
      <c r="D65" t="str">
        <f>CONCATENATE(288049,",",ROW(BCTCR_06608!D65),"|",COLUMN(BCTCR_06608!D65),",0",",0")</f>
        <v>288049,65|4,0,0</v>
      </c>
      <c r="E65" t="str">
        <f>CONCATENATE(287865,",",ROW(BCTCR_06608!E65),"|",COLUMN(BCTCR_06608!E65),",0",",0")</f>
        <v>287865,65|5,0,0</v>
      </c>
    </row>
    <row r="66" spans="1:5" x14ac:dyDescent="0.25">
      <c r="A66" t="str">
        <f>CONCATENATE(287932,",",ROW(BCTCR_06608!A66),"|",COLUMN(BCTCR_06608!A66),",0",",0")</f>
        <v>287932,66|1,0,0</v>
      </c>
      <c r="B66" t="str">
        <f>CONCATENATE(287776,",",ROW(BCTCR_06608!B66),"|",COLUMN(BCTCR_06608!B66),",0",",0")</f>
        <v>287776,66|2,0,0</v>
      </c>
      <c r="C66" t="str">
        <f>CONCATENATE(287981,",",ROW(BCTCR_06608!C66),"|",COLUMN(BCTCR_06608!C66),",0",",0")</f>
        <v>287981,66|3,0,0</v>
      </c>
      <c r="D66" t="str">
        <f>CONCATENATE(287631,",",ROW(BCTCR_06608!D66),"|",COLUMN(BCTCR_06608!D66),",0",",0")</f>
        <v>287631,66|4,0,0</v>
      </c>
      <c r="E66" t="str">
        <f>CONCATENATE(287826,",",ROW(BCTCR_06608!E66),"|",COLUMN(BCTCR_06608!E66),",0",",0")</f>
        <v>287826,66|5,0,0</v>
      </c>
    </row>
    <row r="67" spans="1:5" x14ac:dyDescent="0.25">
      <c r="A67" t="str">
        <f>CONCATENATE(287910,",",ROW(BCTCR_06608!A67),"|",COLUMN(BCTCR_06608!A67),",0",",0")</f>
        <v>287910,67|1,0,0</v>
      </c>
      <c r="B67" t="str">
        <f>CONCATENATE(287740,",",ROW(BCTCR_06608!B67),"|",COLUMN(BCTCR_06608!B67),",0",",0")</f>
        <v>287740,67|2,0,0</v>
      </c>
      <c r="C67" t="str">
        <f>CONCATENATE(287999,",",ROW(BCTCR_06608!C67),"|",COLUMN(BCTCR_06608!C67),",0",",0")</f>
        <v>287999,67|3,0,0</v>
      </c>
      <c r="D67" t="str">
        <f>CONCATENATE(288078,",",ROW(BCTCR_06608!D67),"|",COLUMN(BCTCR_06608!D67),",0",",0")</f>
        <v>288078,67|4,0,0</v>
      </c>
      <c r="E67" t="str">
        <f>CONCATENATE(287895,",",ROW(BCTCR_06608!E67),"|",COLUMN(BCTCR_06608!E67),",0",",0")</f>
        <v>287895,67|5,0,0</v>
      </c>
    </row>
    <row r="68" spans="1:5" x14ac:dyDescent="0.25">
      <c r="A68" t="str">
        <f>CONCATENATE(287685,",",ROW(BCTCR_06608!A68),"|",COLUMN(BCTCR_06608!A68),",0",",0")</f>
        <v>287685,68|1,0,0</v>
      </c>
      <c r="B68" t="str">
        <f>CONCATENATE(287777,",",ROW(BCTCR_06608!B68),"|",COLUMN(BCTCR_06608!B68),",0",",0")</f>
        <v>287777,68|2,0,0</v>
      </c>
      <c r="C68" t="str">
        <f>CONCATENATE(288000,",",ROW(BCTCR_06608!C68),"|",COLUMN(BCTCR_06608!C68),",0",",0")</f>
        <v>288000,68|3,0,0</v>
      </c>
      <c r="D68" t="str">
        <f>CONCATENATE(288079,",",ROW(BCTCR_06608!D68),"|",COLUMN(BCTCR_06608!D68),",0",",0")</f>
        <v>288079,68|4,0,0</v>
      </c>
      <c r="E68" t="str">
        <f>CONCATENATE(287896,",",ROW(BCTCR_06608!E68),"|",COLUMN(BCTCR_06608!E68),",0",",0")</f>
        <v>287896,68|5,0,0</v>
      </c>
    </row>
    <row r="69" spans="1:5" x14ac:dyDescent="0.25">
      <c r="A69" t="str">
        <f>CONCATENATE(287911,",",ROW(BCTCR_06608!A69),"|",COLUMN(BCTCR_06608!A69),",0",",0")</f>
        <v>287911,69|1,0,0</v>
      </c>
      <c r="B69" t="str">
        <f>CONCATENATE(287778,",",ROW(BCTCR_06608!B69),"|",COLUMN(BCTCR_06608!B69),",0",",0")</f>
        <v>287778,69|2,0,0</v>
      </c>
      <c r="C69" t="str">
        <f>CONCATENATE(288001,",",ROW(BCTCR_06608!C69),"|",COLUMN(BCTCR_06608!C69),",0",",0")</f>
        <v>288001,69|3,0,0</v>
      </c>
      <c r="D69" t="str">
        <f>CONCATENATE(288080,",",ROW(BCTCR_06608!D69),"|",COLUMN(BCTCR_06608!D69),",0",",0")</f>
        <v>288080,69|4,0,0</v>
      </c>
      <c r="E69" t="str">
        <f>CONCATENATE(287897,",",ROW(BCTCR_06608!E69),"|",COLUMN(BCTCR_06608!E69),",0",",0")</f>
        <v>287897,69|5,0,0</v>
      </c>
    </row>
    <row r="70" spans="1:5" x14ac:dyDescent="0.25">
      <c r="A70" t="str">
        <f>CONCATENATE(287676,",",ROW(BCTCR_06608!A70),"|",COLUMN(BCTCR_06608!A70),",0",",0")</f>
        <v>287676,70|1,0,0</v>
      </c>
      <c r="B70" t="str">
        <f>CONCATENATE(287668,",",ROW(BCTCR_06608!B70),"|",COLUMN(BCTCR_06608!B70),",0",",0")</f>
        <v>287668,70|2,0,0</v>
      </c>
      <c r="C70" t="str">
        <f>CONCATENATE(288002,",",ROW(BCTCR_06608!C70),"|",COLUMN(BCTCR_06608!C70),",0",",0")</f>
        <v>288002,70|3,0,0</v>
      </c>
      <c r="D70" t="str">
        <f>CONCATENATE(288081,",",ROW(BCTCR_06608!D70),"|",COLUMN(BCTCR_06608!D70),",0",",0")</f>
        <v>288081,70|4,0,0</v>
      </c>
      <c r="E70" t="str">
        <f>CONCATENATE(287898,",",ROW(BCTCR_06608!E70),"|",COLUMN(BCTCR_06608!E70),",0",",0")</f>
        <v>287898,70|5,0,0</v>
      </c>
    </row>
    <row r="71" spans="1:5" x14ac:dyDescent="0.25">
      <c r="A71" t="str">
        <f>CONCATENATE(287705,",",ROW(BCTCR_06608!A71),"|",COLUMN(BCTCR_06608!A71),",0",",0")</f>
        <v>287705,71|1,0,0</v>
      </c>
      <c r="B71" t="str">
        <f>CONCATENATE(287779,",",ROW(BCTCR_06608!B71),"|",COLUMN(BCTCR_06608!B71),",0",",0")</f>
        <v>287779,71|2,0,0</v>
      </c>
      <c r="C71" t="str">
        <f>CONCATENATE(288135,",",ROW(BCTCR_06608!C71),"|",COLUMN(BCTCR_06608!C71),",0",",0")</f>
        <v>288135,71|3,0,0</v>
      </c>
      <c r="D71" t="str">
        <f>CONCATENATE(288050,",",ROW(BCTCR_06608!D71),"|",COLUMN(BCTCR_06608!D71),",0",",0")</f>
        <v>288050,71|4,0,0</v>
      </c>
      <c r="E71" t="str">
        <f>CONCATENATE(287866,",",ROW(BCTCR_06608!E71),"|",COLUMN(BCTCR_06608!E71),",0",",0")</f>
        <v>287866,71|5,0,0</v>
      </c>
    </row>
    <row r="72" spans="1:5" x14ac:dyDescent="0.25">
      <c r="A72" t="str">
        <f>CONCATENATE(287938,",",ROW(BCTCR_06608!A72),"|",COLUMN(BCTCR_06608!A72),",0",",0")</f>
        <v>287938,72|1,0,0</v>
      </c>
      <c r="B72" t="s">
        <v>5</v>
      </c>
      <c r="C72" t="str">
        <f>CONCATENATE(288272,",",ROW(BCTCR_06608!C72),"|",COLUMN(BCTCR_06608!C72),",0",",0")</f>
        <v>288272,72|3,0,0</v>
      </c>
      <c r="D72" t="str">
        <f>CONCATENATE(288271,",",ROW(BCTCR_06608!D72),"|",COLUMN(BCTCR_06608!D72),",0",",0")</f>
        <v>288271,72|4,0,0</v>
      </c>
      <c r="E72" t="str">
        <f>CONCATENATE(288269,",",ROW(BCTCR_06608!E72),"|",COLUMN(BCTCR_06608!E72),",0",",0")</f>
        <v>288269,72|5,0,0</v>
      </c>
    </row>
    <row r="73" spans="1:5" x14ac:dyDescent="0.25">
      <c r="A73" t="str">
        <f>CONCATENATE(287912,",",ROW(BCTCR_06608!A73),"|",COLUMN(BCTCR_06608!A73),",0",",0")</f>
        <v>287912,73|1,0,0</v>
      </c>
      <c r="B73" t="str">
        <f>CONCATENATE(287741,",",ROW(BCTCR_06608!B73),"|",COLUMN(BCTCR_06608!B73),",0",",0")</f>
        <v>287741,73|2,0,0</v>
      </c>
      <c r="C73" t="str">
        <f>CONCATENATE(288003,",",ROW(BCTCR_06608!C73),"|",COLUMN(BCTCR_06608!C73),",0",",0")</f>
        <v>288003,73|3,0,0</v>
      </c>
      <c r="D73" t="str">
        <f>CONCATENATE(288082,",",ROW(BCTCR_06608!D73),"|",COLUMN(BCTCR_06608!D73),",0",",0")</f>
        <v>288082,73|4,0,0</v>
      </c>
      <c r="E73" t="str">
        <f>CONCATENATE(288239,",",ROW(BCTCR_06608!E73),"|",COLUMN(BCTCR_06608!E73),",0",",0")</f>
        <v>288239,73|5,0,0</v>
      </c>
    </row>
    <row r="74" spans="1:5" x14ac:dyDescent="0.25">
      <c r="A74" t="str">
        <f>CONCATENATE(287913,",",ROW(BCTCR_06608!A74),"|",COLUMN(BCTCR_06608!A74),",0",",0")</f>
        <v>287913,74|1,0,0</v>
      </c>
      <c r="B74" t="str">
        <f>CONCATENATE(287742,",",ROW(BCTCR_06608!B74),"|",COLUMN(BCTCR_06608!B74),",0",",0")</f>
        <v>287742,74|2,0,0</v>
      </c>
      <c r="C74" t="str">
        <f>CONCATENATE(288004,",",ROW(BCTCR_06608!C74),"|",COLUMN(BCTCR_06608!C74),",0",",0")</f>
        <v>288004,74|3,0,0</v>
      </c>
      <c r="D74" t="str">
        <f>CONCATENATE(288083,",",ROW(BCTCR_06608!D74),"|",COLUMN(BCTCR_06608!D74),",0",",0")</f>
        <v>288083,74|4,0,0</v>
      </c>
      <c r="E74" t="str">
        <f>CONCATENATE(288240,",",ROW(BCTCR_06608!E74),"|",COLUMN(BCTCR_06608!E74),",0",",0")</f>
        <v>288240,74|5,0,0</v>
      </c>
    </row>
    <row r="75" spans="1:5" x14ac:dyDescent="0.25">
      <c r="A75" t="str">
        <f>CONCATENATE(287686,",",ROW(BCTCR_06608!A75),"|",COLUMN(BCTCR_06608!A75),",0",",0")</f>
        <v>287686,75|1,0,0</v>
      </c>
      <c r="B75" t="str">
        <f>CONCATENATE(287780,",",ROW(BCTCR_06608!B75),"|",COLUMN(BCTCR_06608!B75),",0",",0")</f>
        <v>287780,75|2,0,0</v>
      </c>
      <c r="C75" t="str">
        <f>CONCATENATE(288005,",",ROW(BCTCR_06608!C75),"|",COLUMN(BCTCR_06608!C75),",0",",0")</f>
        <v>288005,75|3,0,0</v>
      </c>
      <c r="D75" t="str">
        <f>CONCATENATE(287941,",",ROW(BCTCR_06608!D75),"|",COLUMN(BCTCR_06608!D75),",0",",0")</f>
        <v>287941,75|4,0,0</v>
      </c>
      <c r="E75" t="str">
        <f>CONCATENATE(288241,",",ROW(BCTCR_06608!E75),"|",COLUMN(BCTCR_06608!E75),",0",",0")</f>
        <v>288241,75|5,0,0</v>
      </c>
    </row>
    <row r="76" spans="1:5" x14ac:dyDescent="0.25">
      <c r="A76" t="str">
        <f>CONCATENATE(287706,",",ROW(BCTCR_06608!A76),"|",COLUMN(BCTCR_06608!A76),",0",",0")</f>
        <v>287706,76|1,0,0</v>
      </c>
      <c r="B76" t="str">
        <f>CONCATENATE(287743,",",ROW(BCTCR_06608!B76),"|",COLUMN(BCTCR_06608!B76),",0",",0")</f>
        <v>287743,76|2,0,0</v>
      </c>
      <c r="C76" t="str">
        <f>CONCATENATE(288136,",",ROW(BCTCR_06608!C76),"|",COLUMN(BCTCR_06608!C76),",0",",0")</f>
        <v>288136,76|3,0,0</v>
      </c>
      <c r="D76" t="str">
        <f>CONCATENATE(288051,",",ROW(BCTCR_06608!D76),"|",COLUMN(BCTCR_06608!D76),",0",",0")</f>
        <v>288051,76|4,0,0</v>
      </c>
      <c r="E76" t="str">
        <f>CONCATENATE(287867,",",ROW(BCTCR_06608!E76),"|",COLUMN(BCTCR_06608!E76),",0",",0")</f>
        <v>287867,76|5,0,0</v>
      </c>
    </row>
    <row r="77" spans="1:5" x14ac:dyDescent="0.25">
      <c r="A77" t="str">
        <f>CONCATENATE(287687,",",ROW(BCTCR_06608!A77),"|",COLUMN(BCTCR_06608!A77),",0",",0")</f>
        <v>287687,77|1,0,0</v>
      </c>
      <c r="B77" t="str">
        <f>CONCATENATE(287781,",",ROW(BCTCR_06608!B77),"|",COLUMN(BCTCR_06608!B77),",0",",0")</f>
        <v>287781,77|2,0,0</v>
      </c>
      <c r="C77" t="str">
        <f>CONCATENATE(288006,",",ROW(BCTCR_06608!C77),"|",COLUMN(BCTCR_06608!C77),",0",",0")</f>
        <v>288006,77|3,0,0</v>
      </c>
      <c r="D77" t="str">
        <f>CONCATENATE(287942,",",ROW(BCTCR_06608!D77),"|",COLUMN(BCTCR_06608!D77),",0",",0")</f>
        <v>287942,77|4,0,0</v>
      </c>
      <c r="E77" t="str">
        <f>CONCATENATE(288242,",",ROW(BCTCR_06608!E77),"|",COLUMN(BCTCR_06608!E77),",0",",0")</f>
        <v>288242,77|5,0,0</v>
      </c>
    </row>
    <row r="78" spans="1:5" x14ac:dyDescent="0.25">
      <c r="A78" t="str">
        <f>CONCATENATE(287680,",",ROW(BCTCR_06608!A78),"|",COLUMN(BCTCR_06608!A78),",0",",0")</f>
        <v>287680,78|1,0,0</v>
      </c>
      <c r="B78" t="str">
        <f>CONCATENATE(287744,",",ROW(BCTCR_06608!B78),"|",COLUMN(BCTCR_06608!B78),",0",",0")</f>
        <v>287744,78|2,0,0</v>
      </c>
      <c r="C78" t="str">
        <f>CONCATENATE(288007,",",ROW(BCTCR_06608!C78),"|",COLUMN(BCTCR_06608!C78),",0",",0")</f>
        <v>288007,78|3,0,0</v>
      </c>
      <c r="D78" t="str">
        <f>CONCATENATE(287943,",",ROW(BCTCR_06608!D78),"|",COLUMN(BCTCR_06608!D78),",0",",0")</f>
        <v>287943,78|4,0,0</v>
      </c>
      <c r="E78" t="str">
        <f>CONCATENATE(288243,",",ROW(BCTCR_06608!E78),"|",COLUMN(BCTCR_06608!E78),",0",",0")</f>
        <v>288243,78|5,0,0</v>
      </c>
    </row>
    <row r="79" spans="1:5" x14ac:dyDescent="0.25">
      <c r="A79" t="str">
        <f>CONCATENATE(287848,",",ROW(BCTCR_06608!A79),"|",COLUMN(BCTCR_06608!A79),",0",",0")</f>
        <v>287848,79|1,0,0</v>
      </c>
      <c r="B79" t="str">
        <f>CONCATENATE(287745,",",ROW(BCTCR_06608!B79),"|",COLUMN(BCTCR_06608!B79),",0",",0")</f>
        <v>287745,79|2,0,0</v>
      </c>
      <c r="C79" t="str">
        <f>CONCATENATE(288008,",",ROW(BCTCR_06608!C79),"|",COLUMN(BCTCR_06608!C79),",0",",0")</f>
        <v>288008,79|3,0,0</v>
      </c>
      <c r="D79" t="str">
        <f>CONCATENATE(287944,",",ROW(BCTCR_06608!D79),"|",COLUMN(BCTCR_06608!D79),",0",",0")</f>
        <v>287944,79|4,0,0</v>
      </c>
      <c r="E79" t="str">
        <f>CONCATENATE(288244,",",ROW(BCTCR_06608!E79),"|",COLUMN(BCTCR_06608!E79),",0",",0")</f>
        <v>288244,79|5,0,0</v>
      </c>
    </row>
    <row r="80" spans="1:5" x14ac:dyDescent="0.25">
      <c r="A80" t="str">
        <f>CONCATENATE(287787,",",ROW(BCTCR_06608!A80),"|",COLUMN(BCTCR_06608!A80),",0",",0")</f>
        <v>287787,80|1,0,0</v>
      </c>
      <c r="B80" t="str">
        <f>CONCATENATE(287670,",",ROW(BCTCR_06608!B80),"|",COLUMN(BCTCR_06608!B80),",0",",0")</f>
        <v>287670,80|2,0,0</v>
      </c>
      <c r="C80" t="str">
        <f>CONCATENATE(288123,",",ROW(BCTCR_06608!C80),"|",COLUMN(BCTCR_06608!C80),",0",",0")</f>
        <v>288123,80|3,0,0</v>
      </c>
      <c r="D80" t="str">
        <f>CONCATENATE(288039,",",ROW(BCTCR_06608!D80),"|",COLUMN(BCTCR_06608!D80),",0",",0")</f>
        <v>288039,80|4,0,0</v>
      </c>
      <c r="E80" t="str">
        <f>CONCATENATE(287855,",",ROW(BCTCR_06608!E80),"|",COLUMN(BCTCR_06608!E80),",0",",0")</f>
        <v>287855,80|5,0,0</v>
      </c>
    </row>
    <row r="81" spans="1:5" x14ac:dyDescent="0.25">
      <c r="A81" t="str">
        <f>CONCATENATE(287788,",",ROW(BCTCR_06608!A81),"|",COLUMN(BCTCR_06608!A81),",0",",0")</f>
        <v>287788,81|1,0,0</v>
      </c>
      <c r="B81" t="str">
        <f>CONCATENATE(287746,",",ROW(BCTCR_06608!B81),"|",COLUMN(BCTCR_06608!B81),",0",",0")</f>
        <v>287746,81|2,0,0</v>
      </c>
      <c r="C81" t="str">
        <f>CONCATENATE(288124,",",ROW(BCTCR_06608!C81),"|",COLUMN(BCTCR_06608!C81),",0",",0")</f>
        <v>288124,81|3,0,0</v>
      </c>
      <c r="D81" t="str">
        <f>CONCATENATE(288040,",",ROW(BCTCR_06608!D81),"|",COLUMN(BCTCR_06608!D81),",0",",0")</f>
        <v>288040,81|4,0,0</v>
      </c>
      <c r="E81" t="str">
        <f>CONCATENATE(287856,",",ROW(BCTCR_06608!E81),"|",COLUMN(BCTCR_06608!E81),",0",",0")</f>
        <v>287856,81|5,0,0</v>
      </c>
    </row>
    <row r="82" spans="1:5" x14ac:dyDescent="0.25">
      <c r="A82" t="str">
        <f>CONCATENATE(287789,",",ROW(BCTCR_06608!A82),"|",COLUMN(BCTCR_06608!A82),",0",",0")</f>
        <v>287789,82|1,0,0</v>
      </c>
      <c r="B82" t="str">
        <f>CONCATENATE(287671,",",ROW(BCTCR_06608!B82),"|",COLUMN(BCTCR_06608!B82),",0",",0")</f>
        <v>287671,82|2,0,0</v>
      </c>
      <c r="C82" t="str">
        <f>CONCATENATE(288125,",",ROW(BCTCR_06608!C82),"|",COLUMN(BCTCR_06608!C82),",0",",0")</f>
        <v>288125,82|3,0,0</v>
      </c>
      <c r="D82" t="str">
        <f>CONCATENATE(288041,",",ROW(BCTCR_06608!D82),"|",COLUMN(BCTCR_06608!D82),",0",",0")</f>
        <v>288041,82|4,0,0</v>
      </c>
      <c r="E82" t="str">
        <f>CONCATENATE(287857,",",ROW(BCTCR_06608!E82),"|",COLUMN(BCTCR_06608!E82),",0",",0")</f>
        <v>287857,82|5,0,0</v>
      </c>
    </row>
    <row r="83" spans="1:5" x14ac:dyDescent="0.25">
      <c r="A83" t="str">
        <f>CONCATENATE(287790,",",ROW(BCTCR_06608!A83),"|",COLUMN(BCTCR_06608!A83),",0",",0")</f>
        <v>287790,83|1,0,0</v>
      </c>
      <c r="B83" t="str">
        <f>CONCATENATE(287782,",",ROW(BCTCR_06608!B83),"|",COLUMN(BCTCR_06608!B83),",0",",0")</f>
        <v>287782,83|2,0,0</v>
      </c>
      <c r="C83" t="str">
        <f>CONCATENATE(288009,",",ROW(BCTCR_06608!C83),"|",COLUMN(BCTCR_06608!C83),",0",",0")</f>
        <v>288009,83|3,0,0</v>
      </c>
      <c r="D83" t="str">
        <f>CONCATENATE(287945,",",ROW(BCTCR_06608!D83),"|",COLUMN(BCTCR_06608!D83),",0",",0")</f>
        <v>287945,83|4,0,0</v>
      </c>
      <c r="E83" t="str">
        <f>CONCATENATE(288245,",",ROW(BCTCR_06608!E83),"|",COLUMN(BCTCR_06608!E83),",0",",0")</f>
        <v>288245,83|5,0,0</v>
      </c>
    </row>
    <row r="84" spans="1:5" x14ac:dyDescent="0.25">
      <c r="A84" t="str">
        <f>CONCATENATE(288163,",",ROW(BCTCR_06608!A84),"|",COLUMN(BCTCR_06608!A84),",0",",0")</f>
        <v>288163,84|1,0,0</v>
      </c>
      <c r="B84" t="str">
        <f>CONCATENATE(287783,",",ROW(BCTCR_06608!B84),"|",COLUMN(BCTCR_06608!B84),",0",",0")</f>
        <v>287783,84|2,0,0</v>
      </c>
      <c r="C84" t="str">
        <f>CONCATENATE(288010,",",ROW(BCTCR_06608!C84),"|",COLUMN(BCTCR_06608!C84),",0",",0")</f>
        <v>288010,84|3,0,0</v>
      </c>
      <c r="D84" t="str">
        <f>CONCATENATE(287946,",",ROW(BCTCR_06608!D84),"|",COLUMN(BCTCR_06608!D84),",0",",0")</f>
        <v>287946,84|4,0,0</v>
      </c>
      <c r="E84" t="str">
        <f>CONCATENATE(288246,",",ROW(BCTCR_06608!E84),"|",COLUMN(BCTCR_06608!E84),",0",",0")</f>
        <v>288246,84|5,0,0</v>
      </c>
    </row>
    <row r="85" spans="1:5" x14ac:dyDescent="0.25">
      <c r="A85" t="str">
        <f>CONCATENATE(288164,",",ROW(BCTCR_06608!A85),"|",COLUMN(BCTCR_06608!A85),",0",",0")</f>
        <v>288164,85|1,0,0</v>
      </c>
      <c r="B85" t="str">
        <f>CONCATENATE(287784,",",ROW(BCTCR_06608!B85),"|",COLUMN(BCTCR_06608!B85),",0",",0")</f>
        <v>287784,85|2,0,0</v>
      </c>
      <c r="C85" t="str">
        <f>CONCATENATE(288011,",",ROW(BCTCR_06608!C85),"|",COLUMN(BCTCR_06608!C85),",0",",0")</f>
        <v>288011,85|3,0,0</v>
      </c>
      <c r="D85" t="str">
        <f>CONCATENATE(287947,",",ROW(BCTCR_06608!D85),"|",COLUMN(BCTCR_06608!D85),",0",",0")</f>
        <v>287947,85|4,0,0</v>
      </c>
      <c r="E85" t="str">
        <f>CONCATENATE(288247,",",ROW(BCTCR_06608!E85),"|",COLUMN(BCTCR_06608!E85),",0",",0")</f>
        <v>288247,85|5,0,0</v>
      </c>
    </row>
    <row r="86" spans="1:5" x14ac:dyDescent="0.25">
      <c r="A86" t="str">
        <f>CONCATENATE(288165,",",ROW(BCTCR_06608!A86),"|",COLUMN(BCTCR_06608!A86),",0",",0")</f>
        <v>288165,86|1,0,0</v>
      </c>
      <c r="B86" t="str">
        <f>CONCATENATE(287747,",",ROW(BCTCR_06608!B86),"|",COLUMN(BCTCR_06608!B86),",0",",0")</f>
        <v>287747,86|2,0,0</v>
      </c>
      <c r="C86" t="str">
        <f>CONCATENATE(288012,",",ROW(BCTCR_06608!C86),"|",COLUMN(BCTCR_06608!C86),",0",",0")</f>
        <v>288012,86|3,0,0</v>
      </c>
      <c r="D86" t="str">
        <f>CONCATENATE(287948,",",ROW(BCTCR_06608!D86),"|",COLUMN(BCTCR_06608!D86),",0",",0")</f>
        <v>287948,86|4,0,0</v>
      </c>
      <c r="E86" t="str">
        <f>CONCATENATE(288248,",",ROW(BCTCR_06608!E86),"|",COLUMN(BCTCR_06608!E86),",0",",0")</f>
        <v>288248,86|5,0,0</v>
      </c>
    </row>
    <row r="87" spans="1:5" x14ac:dyDescent="0.25">
      <c r="A87" t="str">
        <f>CONCATENATE(288166,",",ROW(BCTCR_06608!A87),"|",COLUMN(BCTCR_06608!A87),",0",",0")</f>
        <v>288166,87|1,0,0</v>
      </c>
      <c r="B87" t="str">
        <f>CONCATENATE(287785,",",ROW(BCTCR_06608!B87),"|",COLUMN(BCTCR_06608!B87),",0",",0")</f>
        <v>287785,87|2,0,0</v>
      </c>
      <c r="C87" t="str">
        <f>CONCATENATE(288013,",",ROW(BCTCR_06608!C87),"|",COLUMN(BCTCR_06608!C87),",0",",0")</f>
        <v>288013,87|3,0,0</v>
      </c>
      <c r="D87" t="str">
        <f>CONCATENATE(287949,",",ROW(BCTCR_06608!D87),"|",COLUMN(BCTCR_06608!D87),",0",",0")</f>
        <v>287949,87|4,0,0</v>
      </c>
      <c r="E87" t="str">
        <f>CONCATENATE(288249,",",ROW(BCTCR_06608!E87),"|",COLUMN(BCTCR_06608!E87),",0",",0")</f>
        <v>288249,87|5,0,0</v>
      </c>
    </row>
    <row r="88" spans="1:5" x14ac:dyDescent="0.25">
      <c r="A88" t="str">
        <f>CONCATENATE(288167,",",ROW(BCTCR_06608!A88),"|",COLUMN(BCTCR_06608!A88),",0",",0")</f>
        <v>288167,88|1,0,0</v>
      </c>
      <c r="B88" t="str">
        <f>CONCATENATE(287786,",",ROW(BCTCR_06608!B88),"|",COLUMN(BCTCR_06608!B88),",0",",0")</f>
        <v>287786,88|2,0,0</v>
      </c>
      <c r="C88" t="str">
        <f>CONCATENATE(288014,",",ROW(BCTCR_06608!C88),"|",COLUMN(BCTCR_06608!C88),",0",",0")</f>
        <v>288014,88|3,0,0</v>
      </c>
      <c r="D88" t="str">
        <f>CONCATENATE(287950,",",ROW(BCTCR_06608!D88),"|",COLUMN(BCTCR_06608!D88),",0",",0")</f>
        <v>287950,88|4,0,0</v>
      </c>
      <c r="E88" t="str">
        <f>CONCATENATE(288250,",",ROW(BCTCR_06608!E88),"|",COLUMN(BCTCR_06608!E88),",0",",0")</f>
        <v>288250,88|5,0,0</v>
      </c>
    </row>
    <row r="89" spans="1:5" x14ac:dyDescent="0.25">
      <c r="A89" t="str">
        <f>CONCATENATE(288168,",",ROW(BCTCR_06608!A89),"|",COLUMN(BCTCR_06608!A89),",0",",0")</f>
        <v>288168,89|1,0,0</v>
      </c>
      <c r="B89" t="str">
        <f>CONCATENATE(287791,",",ROW(BCTCR_06608!B89),"|",COLUMN(BCTCR_06608!B89),",0",",0")</f>
        <v>287791,89|2,0,0</v>
      </c>
      <c r="C89" t="str">
        <f>CONCATENATE(287684,",",ROW(BCTCR_06608!C89),"|",COLUMN(BCTCR_06608!C89),",0",",0")</f>
        <v>287684,89|3,0,0</v>
      </c>
      <c r="D89" t="str">
        <f>CONCATENATE(287951,",",ROW(BCTCR_06608!D89),"|",COLUMN(BCTCR_06608!D89),",0",",0")</f>
        <v>287951,89|4,0,0</v>
      </c>
      <c r="E89" t="str">
        <f>CONCATENATE(288251,",",ROW(BCTCR_06608!E89),"|",COLUMN(BCTCR_06608!E89),",0",",0")</f>
        <v>288251,89|5,0,0</v>
      </c>
    </row>
    <row r="90" spans="1:5" x14ac:dyDescent="0.25">
      <c r="A90" t="str">
        <f>CONCATENATE(288169,",",ROW(BCTCR_06608!A90),"|",COLUMN(BCTCR_06608!A90),",0",",0")</f>
        <v>288169,90|1,0,0</v>
      </c>
      <c r="B90" t="str">
        <f>CONCATENATE(287792,",",ROW(BCTCR_06608!B90),"|",COLUMN(BCTCR_06608!B90),",0",",0")</f>
        <v>287792,90|2,0,0</v>
      </c>
      <c r="C90" t="str">
        <f>CONCATENATE(287834,",",ROW(BCTCR_06608!C90),"|",COLUMN(BCTCR_06608!C90),",0",",0")</f>
        <v>287834,90|3,0,0</v>
      </c>
      <c r="D90" t="str">
        <f>CONCATENATE(287952,",",ROW(BCTCR_06608!D90),"|",COLUMN(BCTCR_06608!D90),",0",",0")</f>
        <v>287952,90|4,0,0</v>
      </c>
      <c r="E90" t="str">
        <f>CONCATENATE(288253,",",ROW(BCTCR_06608!E90),"|",COLUMN(BCTCR_06608!E90),",0",",0")</f>
        <v>288253,90|5,0,0</v>
      </c>
    </row>
    <row r="91" spans="1:5" x14ac:dyDescent="0.25">
      <c r="A91" t="str">
        <f>CONCATENATE(288170,",",ROW(BCTCR_06608!A91),"|",COLUMN(BCTCR_06608!A91),",0",",0")</f>
        <v>288170,91|1,0,0</v>
      </c>
      <c r="B91" t="str">
        <f>CONCATENATE(287748,",",ROW(BCTCR_06608!B91),"|",COLUMN(BCTCR_06608!B91),",0",",0")</f>
        <v>287748,91|2,0,0</v>
      </c>
      <c r="C91" t="str">
        <f>CONCATENATE(287835,",",ROW(BCTCR_06608!C91),"|",COLUMN(BCTCR_06608!C91),",0",",0")</f>
        <v>287835,91|3,0,0</v>
      </c>
      <c r="D91" t="str">
        <f>CONCATENATE(287953,",",ROW(BCTCR_06608!D91),"|",COLUMN(BCTCR_06608!D91),",0",",0")</f>
        <v>287953,91|4,0,0</v>
      </c>
      <c r="E91" t="str">
        <f>CONCATENATE(288254,",",ROW(BCTCR_06608!E91),"|",COLUMN(BCTCR_06608!E91),",0",",0")</f>
        <v>288254,91|5,0,0</v>
      </c>
    </row>
    <row r="92" spans="1:5" x14ac:dyDescent="0.25">
      <c r="A92" t="str">
        <f>CONCATENATE(287933,",",ROW(BCTCR_06608!A92),"|",COLUMN(BCTCR_06608!A92),",0",",0")</f>
        <v>287933,92|1,0,0</v>
      </c>
      <c r="B92" t="str">
        <f>CONCATENATE(287793,",",ROW(BCTCR_06608!B92),"|",COLUMN(BCTCR_06608!B92),",0",",0")</f>
        <v>287793,92|2,0,0</v>
      </c>
      <c r="C92" t="str">
        <f>CONCATENATE(287982,",",ROW(BCTCR_06608!C92),"|",COLUMN(BCTCR_06608!C92),",0",",0")</f>
        <v>287982,92|3,0,0</v>
      </c>
      <c r="D92" t="str">
        <f>CONCATENATE(287632,",",ROW(BCTCR_06608!D92),"|",COLUMN(BCTCR_06608!D92),",0",",0")</f>
        <v>287632,92|4,0,0</v>
      </c>
      <c r="E92" t="str">
        <f>CONCATENATE(287827,",",ROW(BCTCR_06608!E92),"|",COLUMN(BCTCR_06608!E92),",0",",0")</f>
        <v>287827,92|5,0,0</v>
      </c>
    </row>
    <row r="93" spans="1:5" x14ac:dyDescent="0.25">
      <c r="A93" t="str">
        <f>CONCATENATE(287934,",",ROW(BCTCR_06608!A93),"|",COLUMN(BCTCR_06608!A93),",0",",0")</f>
        <v>287934,93|1,0,0</v>
      </c>
      <c r="B93" t="str">
        <f>CONCATENATE(288198,",",ROW(BCTCR_06608!B93),"|",COLUMN(BCTCR_06608!B93),",0",",0")</f>
        <v>288198,93|2,0,0</v>
      </c>
      <c r="C93" t="str">
        <f>CONCATENATE(287983,",",ROW(BCTCR_06608!C93),"|",COLUMN(BCTCR_06608!C93),",0",",0")</f>
        <v>287983,93|3,0,0</v>
      </c>
      <c r="D93" t="str">
        <f>CONCATENATE(287633,",",ROW(BCTCR_06608!D93),"|",COLUMN(BCTCR_06608!D93),",0",",0")</f>
        <v>287633,93|4,0,0</v>
      </c>
      <c r="E93" t="str">
        <f>CONCATENATE(287828,",",ROW(BCTCR_06608!E93),"|",COLUMN(BCTCR_06608!E93),",0",",0")</f>
        <v>287828,93|5,0,0</v>
      </c>
    </row>
    <row r="94" spans="1:5" x14ac:dyDescent="0.25">
      <c r="A94" t="str">
        <f>CONCATENATE(287688,",",ROW(BCTCR_06608!A94),"|",COLUMN(BCTCR_06608!A94),",0",",0")</f>
        <v>287688,94|1,0,0</v>
      </c>
      <c r="B94" t="str">
        <f>CONCATENATE(287794,",",ROW(BCTCR_06608!B94),"|",COLUMN(BCTCR_06608!B94),",0",",0")</f>
        <v>287794,94|2,0,0</v>
      </c>
      <c r="C94" t="str">
        <f>CONCATENATE(287836,",",ROW(BCTCR_06608!C94),"|",COLUMN(BCTCR_06608!C94),",0",",0")</f>
        <v>287836,94|3,0,0</v>
      </c>
      <c r="D94" t="str">
        <f>CONCATENATE(287954,",",ROW(BCTCR_06608!D94),"|",COLUMN(BCTCR_06608!D94),",0",",0")</f>
        <v>287954,94|4,0,0</v>
      </c>
      <c r="E94" t="str">
        <f>CONCATENATE(288255,",",ROW(BCTCR_06608!E94),"|",COLUMN(BCTCR_06608!E94),",0",",0")</f>
        <v>288255,94|5,0,0</v>
      </c>
    </row>
    <row r="95" spans="1:5" x14ac:dyDescent="0.25">
      <c r="A95" t="str">
        <f>CONCATENATE(288171,",",ROW(BCTCR_06608!A95),"|",COLUMN(BCTCR_06608!A95),",0",",0")</f>
        <v>288171,95|1,0,0</v>
      </c>
      <c r="B95" t="str">
        <f>CONCATENATE(288199,",",ROW(BCTCR_06608!B95),"|",COLUMN(BCTCR_06608!B95),",0",",0")</f>
        <v>288199,95|2,0,0</v>
      </c>
      <c r="C95" t="str">
        <f>CONCATENATE(288098,",",ROW(BCTCR_06608!C95),"|",COLUMN(BCTCR_06608!C95),",0",",0")</f>
        <v>288098,95|3,0,0</v>
      </c>
      <c r="D95" t="str">
        <f>CONCATENATE(287649,",",ROW(BCTCR_06608!D95),"|",COLUMN(BCTCR_06608!D95),",0",",0")</f>
        <v>287649,95|4,0,0</v>
      </c>
      <c r="E95" t="str">
        <f>CONCATENATE(288217,",",ROW(BCTCR_06608!E95),"|",COLUMN(BCTCR_06608!E95),",0",",0")</f>
        <v>288217,95|5,0,0</v>
      </c>
    </row>
    <row r="96" spans="1:5" x14ac:dyDescent="0.25">
      <c r="A96" t="str">
        <f>CONCATENATE(287935,",",ROW(BCTCR_06608!A96),"|",COLUMN(BCTCR_06608!A96),",0",",0")</f>
        <v>287935,96|1,0,0</v>
      </c>
      <c r="B96" t="str">
        <f>CONCATENATE(287749,",",ROW(BCTCR_06608!B96),"|",COLUMN(BCTCR_06608!B96),",0",",0")</f>
        <v>287749,96|2,0,0</v>
      </c>
      <c r="C96" t="str">
        <f>CONCATENATE(288015,",",ROW(BCTCR_06608!C96),"|",COLUMN(BCTCR_06608!C96),",0",",0")</f>
        <v>288015,96|3,0,0</v>
      </c>
      <c r="D96" t="str">
        <f>CONCATENATE(287634,",",ROW(BCTCR_06608!D96),"|",COLUMN(BCTCR_06608!D96),",0",",0")</f>
        <v>287634,96|4,0,0</v>
      </c>
      <c r="E96" t="str">
        <f>CONCATENATE(287829,",",ROW(BCTCR_06608!E96),"|",COLUMN(BCTCR_06608!E96),",0",",0")</f>
        <v>287829,96|5,0,0</v>
      </c>
    </row>
    <row r="97" spans="1:5" x14ac:dyDescent="0.25">
      <c r="A97" t="str">
        <f>CONCATENATE(288172,",",ROW(BCTCR_06608!A97),"|",COLUMN(BCTCR_06608!A97),",0",",0")</f>
        <v>288172,97|1,0,0</v>
      </c>
      <c r="B97" t="str">
        <f>CONCATENATE(288200,",",ROW(BCTCR_06608!B97),"|",COLUMN(BCTCR_06608!B97),",0",",0")</f>
        <v>288200,97|2,0,0</v>
      </c>
      <c r="C97" t="str">
        <f>CONCATENATE(288099,",",ROW(BCTCR_06608!C97),"|",COLUMN(BCTCR_06608!C97),",0",",0")</f>
        <v>288099,97|3,0,0</v>
      </c>
      <c r="D97" t="str">
        <f>CONCATENATE(287650,",",ROW(BCTCR_06608!D97),"|",COLUMN(BCTCR_06608!D97),",0",",0")</f>
        <v>287650,97|4,0,0</v>
      </c>
      <c r="E97" t="str">
        <f>CONCATENATE(288218,",",ROW(BCTCR_06608!E97),"|",COLUMN(BCTCR_06608!E97),",0",",0")</f>
        <v>288218,97|5,0,0</v>
      </c>
    </row>
    <row r="98" spans="1:5" x14ac:dyDescent="0.25">
      <c r="A98" t="str">
        <f>CONCATENATE(287715,",",ROW(BCTCR_06608!A98),"|",COLUMN(BCTCR_06608!A98),",0",",0")</f>
        <v>287715,98|1,0,0</v>
      </c>
      <c r="B98" t="str">
        <f>CONCATENATE(287750,",",ROW(BCTCR_06608!B98),"|",COLUMN(BCTCR_06608!B98),",0",",0")</f>
        <v>287750,98|2,0,0</v>
      </c>
      <c r="C98" t="str">
        <f>CONCATENATE(287837,",",ROW(BCTCR_06608!C98),"|",COLUMN(BCTCR_06608!C98),",0",",0")</f>
        <v>287837,98|3,0,0</v>
      </c>
      <c r="D98" t="str">
        <f>CONCATENATE(287955,",",ROW(BCTCR_06608!D98),"|",COLUMN(BCTCR_06608!D98),",0",",0")</f>
        <v>287955,98|4,0,0</v>
      </c>
      <c r="E98" t="str">
        <f>CONCATENATE(288256,",",ROW(BCTCR_06608!E98),"|",COLUMN(BCTCR_06608!E98),",0",",0")</f>
        <v>288256,98|5,0,0</v>
      </c>
    </row>
    <row r="99" spans="1:5" x14ac:dyDescent="0.25">
      <c r="A99" t="str">
        <f>CONCATENATE(287716,",",ROW(BCTCR_06608!A99),"|",COLUMN(BCTCR_06608!A99),",0",",0")</f>
        <v>287716,99|1,0,0</v>
      </c>
      <c r="B99" t="str">
        <f>CONCATENATE(287672,",",ROW(BCTCR_06608!B99),"|",COLUMN(BCTCR_06608!B99),",0",",0")</f>
        <v>287672,99|2,0,0</v>
      </c>
      <c r="C99" t="str">
        <f>CONCATENATE(287838,",",ROW(BCTCR_06608!C99),"|",COLUMN(BCTCR_06608!C99),",0",",0")</f>
        <v>287838,99|3,0,0</v>
      </c>
      <c r="D99" t="str">
        <f>CONCATENATE(287956,",",ROW(BCTCR_06608!D99),"|",COLUMN(BCTCR_06608!D99),",0",",0")</f>
        <v>287956,99|4,0,0</v>
      </c>
      <c r="E99" t="str">
        <f>CONCATENATE(288257,",",ROW(BCTCR_06608!E99),"|",COLUMN(BCTCR_06608!E99),",0",",0")</f>
        <v>288257,99|5,0,0</v>
      </c>
    </row>
    <row r="100" spans="1:5" x14ac:dyDescent="0.25">
      <c r="A100" t="str">
        <f>CONCATENATE(287689,",",ROW(BCTCR_06608!A100),"|",COLUMN(BCTCR_06608!A100),",0",",0")</f>
        <v>287689,100|1,0,0</v>
      </c>
      <c r="B100" t="str">
        <f>CONCATENATE(287795,",",ROW(BCTCR_06608!B100),"|",COLUMN(BCTCR_06608!B100),",0",",0")</f>
        <v>287795,100|2,0,0</v>
      </c>
      <c r="C100" t="str">
        <f>CONCATENATE(287839,",",ROW(BCTCR_06608!C100),"|",COLUMN(BCTCR_06608!C100),",0",",0")</f>
        <v>287839,100|3,0,0</v>
      </c>
      <c r="D100" t="str">
        <f>CONCATENATE(287957,",",ROW(BCTCR_06608!D100),"|",COLUMN(BCTCR_06608!D100),",0",",0")</f>
        <v>287957,100|4,0,0</v>
      </c>
      <c r="E100" t="str">
        <f>CONCATENATE(288258,",",ROW(BCTCR_06608!E100),"|",COLUMN(BCTCR_06608!E100),",0",",0")</f>
        <v>288258,100|5,0,0</v>
      </c>
    </row>
    <row r="101" spans="1:5" x14ac:dyDescent="0.25">
      <c r="A101" t="str">
        <f>CONCATENATE(288173,",",ROW(BCTCR_06608!A101),"|",COLUMN(BCTCR_06608!A101),",0",",0")</f>
        <v>288173,101|1,0,0</v>
      </c>
      <c r="B101" t="str">
        <f>CONCATENATE(287797,",",ROW(BCTCR_06608!B101),"|",COLUMN(BCTCR_06608!B101),",0",",0")</f>
        <v>287797,101|2,0,0</v>
      </c>
      <c r="C101" t="str">
        <f>CONCATENATE(287713,",",ROW(BCTCR_06608!C101),"|",COLUMN(BCTCR_06608!C101),",0",",0")</f>
        <v>287713,101|3,0,0</v>
      </c>
      <c r="D101" t="str">
        <f>CONCATENATE(287962,",",ROW(BCTCR_06608!D101),"|",COLUMN(BCTCR_06608!D101),",0",",0")</f>
        <v>287962,101|4,0,0</v>
      </c>
      <c r="E101" t="str">
        <f>CONCATENATE(288274,",",ROW(BCTCR_06608!E101),"|",COLUMN(BCTCR_06608!E101),",0",",0")</f>
        <v>288274,101|5,0,0</v>
      </c>
    </row>
    <row r="102" spans="1:5" x14ac:dyDescent="0.25">
      <c r="A102" t="str">
        <f>CONCATENATE(288174,",",ROW(BCTCR_06608!A102),"|",COLUMN(BCTCR_06608!A102),",0",",0")</f>
        <v>288174,102|1,0,0</v>
      </c>
      <c r="B102" t="str">
        <f>CONCATENATE(288201,",",ROW(BCTCR_06608!B102),"|",COLUMN(BCTCR_06608!B102),",0",",0")</f>
        <v>288201,102|2,0,0</v>
      </c>
      <c r="C102" t="str">
        <f>CONCATENATE(288100,",",ROW(BCTCR_06608!C102),"|",COLUMN(BCTCR_06608!C102),",0",",0")</f>
        <v>288100,102|3,0,0</v>
      </c>
      <c r="D102" t="str">
        <f>CONCATENATE(288016,",",ROW(BCTCR_06608!D102),"|",COLUMN(BCTCR_06608!D102),",0",",0")</f>
        <v>288016,102|4,0,0</v>
      </c>
      <c r="E102" t="str">
        <f>CONCATENATE(288219,",",ROW(BCTCR_06608!E102),"|",COLUMN(BCTCR_06608!E102),",0",",0")</f>
        <v>288219,102|5,0,0</v>
      </c>
    </row>
    <row r="103" spans="1:5" x14ac:dyDescent="0.25">
      <c r="A103" t="str">
        <f>CONCATENATE(287936,",",ROW(BCTCR_06608!A103),"|",COLUMN(BCTCR_06608!A103),",0",",0")</f>
        <v>287936,103|1,0,0</v>
      </c>
      <c r="B103" t="str">
        <f>CONCATENATE(287751,",",ROW(BCTCR_06608!B103),"|",COLUMN(BCTCR_06608!B103),",0",",0")</f>
        <v>287751,103|2,0,0</v>
      </c>
      <c r="C103" t="str">
        <f>CONCATENATE(288084,",",ROW(BCTCR_06608!C103),"|",COLUMN(BCTCR_06608!C103),",0",",0")</f>
        <v>288084,103|3,0,0</v>
      </c>
      <c r="D103" t="str">
        <f>CONCATENATE(287635,",",ROW(BCTCR_06608!D103),"|",COLUMN(BCTCR_06608!D103),",0",",0")</f>
        <v>287635,103|4,0,0</v>
      </c>
      <c r="E103" t="str">
        <f>CONCATENATE(287830,",",ROW(BCTCR_06608!E103),"|",COLUMN(BCTCR_06608!E103),",0",",0")</f>
        <v>287830,103|5,0,0</v>
      </c>
    </row>
    <row r="104" spans="1:5" x14ac:dyDescent="0.25">
      <c r="A104" t="str">
        <f>CONCATENATE(287717,",",ROW(BCTCR_06608!A104),"|",COLUMN(BCTCR_06608!A104),",0",",0")</f>
        <v>287717,104|1,0,0</v>
      </c>
      <c r="B104" t="str">
        <f>CONCATENATE(287798,",",ROW(BCTCR_06608!B104),"|",COLUMN(BCTCR_06608!B104),",0",",0")</f>
        <v>287798,104|2,0,0</v>
      </c>
      <c r="C104" t="str">
        <f>CONCATENATE(287840,",",ROW(BCTCR_06608!C104),"|",COLUMN(BCTCR_06608!C104),",0",",0")</f>
        <v>287840,104|3,0,0</v>
      </c>
      <c r="D104" t="str">
        <f>CONCATENATE(287958,",",ROW(BCTCR_06608!D104),"|",COLUMN(BCTCR_06608!D104),",0",",0")</f>
        <v>287958,104|4,0,0</v>
      </c>
      <c r="E104" t="str">
        <f>CONCATENATE(288259,",",ROW(BCTCR_06608!E104),"|",COLUMN(BCTCR_06608!E104),",0",",0")</f>
        <v>288259,104|5,0,0</v>
      </c>
    </row>
    <row r="105" spans="1:5" x14ac:dyDescent="0.25">
      <c r="A105" t="str">
        <f>CONCATENATE(287718,",",ROW(BCTCR_06608!A105),"|",COLUMN(BCTCR_06608!A105),",0",",0")</f>
        <v>287718,105|1,0,0</v>
      </c>
      <c r="B105" t="str">
        <f>CONCATENATE(287752,",",ROW(BCTCR_06608!B105),"|",COLUMN(BCTCR_06608!B105),",0",",0")</f>
        <v>287752,105|2,0,0</v>
      </c>
      <c r="C105" t="str">
        <f>CONCATENATE(287841,",",ROW(BCTCR_06608!C105),"|",COLUMN(BCTCR_06608!C105),",0",",0")</f>
        <v>287841,105|3,0,0</v>
      </c>
      <c r="D105" t="str">
        <f>CONCATENATE(287959,",",ROW(BCTCR_06608!D105),"|",COLUMN(BCTCR_06608!D105),",0",",0")</f>
        <v>287959,105|4,0,0</v>
      </c>
      <c r="E105" t="str">
        <f>CONCATENATE(288260,",",ROW(BCTCR_06608!E105),"|",COLUMN(BCTCR_06608!E105),",0",",0")</f>
        <v>288260,105|5,0,0</v>
      </c>
    </row>
    <row r="106" spans="1:5" x14ac:dyDescent="0.25">
      <c r="A106" t="str">
        <f>CONCATENATE(287690,",",ROW(BCTCR_06608!A106),"|",COLUMN(BCTCR_06608!A106),",0",",0")</f>
        <v>287690,106|1,0,0</v>
      </c>
      <c r="B106" t="str">
        <f>CONCATENATE(287799,",",ROW(BCTCR_06608!B106),"|",COLUMN(BCTCR_06608!B106),",0",",0")</f>
        <v>287799,106|2,0,0</v>
      </c>
      <c r="C106" t="str">
        <f>CONCATENATE(287712,",",ROW(BCTCR_06608!C106),"|",COLUMN(BCTCR_06608!C106),",0",",0")</f>
        <v>287712,106|3,0,0</v>
      </c>
      <c r="D106" t="str">
        <f>CONCATENATE(287961,",",ROW(BCTCR_06608!D106),"|",COLUMN(BCTCR_06608!D106),",0",",0")</f>
        <v>287961,106|4,0,0</v>
      </c>
      <c r="E106" t="str">
        <f>CONCATENATE(288262,",",ROW(BCTCR_06608!E106),"|",COLUMN(BCTCR_06608!E106),",0",",0")</f>
        <v>288262,106|5,0,0</v>
      </c>
    </row>
    <row r="107" spans="1:5" x14ac:dyDescent="0.25">
      <c r="A107" t="str">
        <f>CONCATENATE(287914,",",ROW(BCTCR_06608!A107),"|",COLUMN(BCTCR_06608!A107),",0",",0")</f>
        <v>287914,107|1,0,0</v>
      </c>
      <c r="B107" t="str">
        <f>CONCATENATE(287753,",",ROW(BCTCR_06608!B107),"|",COLUMN(BCTCR_06608!B107),",0",",0")</f>
        <v>287753,107|2,0,0</v>
      </c>
      <c r="C107" t="str">
        <f>CONCATENATE(287762,",",ROW(BCTCR_06608!C107),"|",COLUMN(BCTCR_06608!C107),",0",",0")</f>
        <v>287762,107|3,0,0</v>
      </c>
      <c r="D107" t="str">
        <f>CONCATENATE(287960,",",ROW(BCTCR_06608!D107),"|",COLUMN(BCTCR_06608!D107),",0",",0")</f>
        <v>287960,107|4,0,0</v>
      </c>
      <c r="E107" t="str">
        <f>CONCATENATE(288261,",",ROW(BCTCR_06608!E107),"|",COLUMN(BCTCR_06608!E107),",0",",0")</f>
        <v>288261,107|5,0,0</v>
      </c>
    </row>
    <row r="108" spans="1:5" x14ac:dyDescent="0.25">
      <c r="A108" t="str">
        <f>CONCATENATE(287651,",",ROW(BCTCR_06608!A108),"|",COLUMN(BCTCR_06608!A108),",0",",0")</f>
        <v>287651,108|1,0,0</v>
      </c>
      <c r="B108" t="str">
        <f>CONCATENATE(287754,",",ROW(BCTCR_06608!B108),"|",COLUMN(BCTCR_06608!B108),",0",",0")</f>
        <v>287754,108|2,0,0</v>
      </c>
      <c r="C108" t="str">
        <f>CONCATENATE(288085,",",ROW(BCTCR_06608!C108),"|",COLUMN(BCTCR_06608!C108),",0",",0")</f>
        <v>288085,108|3,0,0</v>
      </c>
      <c r="D108" t="str">
        <f>CONCATENATE(287636,",",ROW(BCTCR_06608!D108),"|",COLUMN(BCTCR_06608!D108),",0",",0")</f>
        <v>287636,108|4,0,0</v>
      </c>
      <c r="E108" t="str">
        <f>CONCATENATE(287831,",",ROW(BCTCR_06608!E108),"|",COLUMN(BCTCR_06608!E108),",0",",0")</f>
        <v>287831,108|5,0,0</v>
      </c>
    </row>
    <row r="109" spans="1:5" x14ac:dyDescent="0.25">
      <c r="A109" t="str">
        <f>CONCATENATE(287719,",",ROW(BCTCR_06608!A109),"|",COLUMN(BCTCR_06608!A109),",0",",0")</f>
        <v>287719,109|1,0,0</v>
      </c>
      <c r="B109" t="str">
        <f>CONCATENATE(287800,",",ROW(BCTCR_06608!B109),"|",COLUMN(BCTCR_06608!B109),",0",",0")</f>
        <v>287800,109|2,0,0</v>
      </c>
      <c r="C109" t="str">
        <f>CONCATENATE(288103,",",ROW(BCTCR_06608!C109),"|",COLUMN(BCTCR_06608!C109),",0",",0")</f>
        <v>288103,109|3,0,0</v>
      </c>
      <c r="D109" t="str">
        <f>CONCATENATE(288019,",",ROW(BCTCR_06608!D109),"|",COLUMN(BCTCR_06608!D109),",0",",0")</f>
        <v>288019,109|4,0,0</v>
      </c>
      <c r="E109" t="str">
        <f>CONCATENATE(288222,",",ROW(BCTCR_06608!E109),"|",COLUMN(BCTCR_06608!E109),",0",",0")</f>
        <v>288222,109|5,0,0</v>
      </c>
    </row>
    <row r="110" spans="1:5" x14ac:dyDescent="0.25">
      <c r="A110" t="str">
        <f>CONCATENATE(287720,",",ROW(BCTCR_06608!A110),"|",COLUMN(BCTCR_06608!A110),",0",",0")</f>
        <v>287720,110|1,0,0</v>
      </c>
      <c r="B110" t="str">
        <f>CONCATENATE(287755,",",ROW(BCTCR_06608!B110),"|",COLUMN(BCTCR_06608!B110),",0",",0")</f>
        <v>287755,110|2,0,0</v>
      </c>
      <c r="C110" t="str">
        <f>CONCATENATE(288104,",",ROW(BCTCR_06608!C110),"|",COLUMN(BCTCR_06608!C110),",0",",0")</f>
        <v>288104,110|3,0,0</v>
      </c>
      <c r="D110" t="str">
        <f>CONCATENATE(288020,",",ROW(BCTCR_06608!D110),"|",COLUMN(BCTCR_06608!D110),",0",",0")</f>
        <v>288020,110|4,0,0</v>
      </c>
      <c r="E110" t="str">
        <f>CONCATENATE(288223,",",ROW(BCTCR_06608!E110),"|",COLUMN(BCTCR_06608!E110),",0",",0")</f>
        <v>288223,110|5,0,0</v>
      </c>
    </row>
    <row r="111" spans="1:5" x14ac:dyDescent="0.25">
      <c r="A111" t="str">
        <f>CONCATENATE(287691,",",ROW(BCTCR_06608!A111),"|",COLUMN(BCTCR_06608!A111),",0",",0")</f>
        <v>287691,111|1,0,0</v>
      </c>
      <c r="B111" t="str">
        <f>CONCATENATE(287756,",",ROW(BCTCR_06608!B111),"|",COLUMN(BCTCR_06608!B111),",0",",0")</f>
        <v>287756,111|2,0,0</v>
      </c>
      <c r="C111" t="str">
        <f>CONCATENATE(288105,",",ROW(BCTCR_06608!C111),"|",COLUMN(BCTCR_06608!C111),",0",",0")</f>
        <v>288105,111|3,0,0</v>
      </c>
      <c r="D111" t="str">
        <f>CONCATENATE(288021,",",ROW(BCTCR_06608!D111),"|",COLUMN(BCTCR_06608!D111),",0",",0")</f>
        <v>288021,111|4,0,0</v>
      </c>
      <c r="E111" t="str">
        <f>CONCATENATE(288224,",",ROW(BCTCR_06608!E111),"|",COLUMN(BCTCR_06608!E111),",0",",0")</f>
        <v>288224,111|5,0,0</v>
      </c>
    </row>
    <row r="112" spans="1:5" x14ac:dyDescent="0.25">
      <c r="A112" t="str">
        <f>CONCATENATE(287654,",",ROW(BCTCR_06608!A112),"|",COLUMN(BCTCR_06608!A112),",0",",0")</f>
        <v>287654,112|1,0,0</v>
      </c>
      <c r="B112" t="str">
        <f>CONCATENATE(287801,",",ROW(BCTCR_06608!B112),"|",COLUMN(BCTCR_06608!B112),",0",",0")</f>
        <v>287801,112|2,0,0</v>
      </c>
      <c r="C112" t="str">
        <f>CONCATENATE(288106,",",ROW(BCTCR_06608!C112),"|",COLUMN(BCTCR_06608!C112),",0",",0")</f>
        <v>288106,112|3,0,0</v>
      </c>
      <c r="D112" t="str">
        <f>CONCATENATE(288022,",",ROW(BCTCR_06608!D112),"|",COLUMN(BCTCR_06608!D112),",0",",0")</f>
        <v>288022,112|4,0,0</v>
      </c>
      <c r="E112" t="str">
        <f>CONCATENATE(288225,",",ROW(BCTCR_06608!E112),"|",COLUMN(BCTCR_06608!E112),",0",",0")</f>
        <v>288225,112|5,0,0</v>
      </c>
    </row>
    <row r="113" spans="1:5" x14ac:dyDescent="0.25">
      <c r="A113" t="str">
        <f>CONCATENATE(287796,",",ROW(BCTCR_06608!A113),"|",COLUMN(BCTCR_06608!A113),",0",",0")</f>
        <v>287796,113|1,0,0</v>
      </c>
      <c r="B113" t="str">
        <f>CONCATENATE(287757,",",ROW(BCTCR_06608!B113),"|",COLUMN(BCTCR_06608!B113),",0",",0")</f>
        <v>287757,113|2,0,0</v>
      </c>
      <c r="C113" t="str">
        <f>CONCATENATE(288107,",",ROW(BCTCR_06608!C113),"|",COLUMN(BCTCR_06608!C113),",0",",0")</f>
        <v>288107,113|3,0,0</v>
      </c>
      <c r="D113" t="str">
        <f>CONCATENATE(288023,",",ROW(BCTCR_06608!D113),"|",COLUMN(BCTCR_06608!D113),",0",",0")</f>
        <v>288023,113|4,0,0</v>
      </c>
      <c r="E113" t="str">
        <f>CONCATENATE(288226,",",ROW(BCTCR_06608!E113),"|",COLUMN(BCTCR_06608!E113),",0",",0")</f>
        <v>288226,113|5,0,0</v>
      </c>
    </row>
    <row r="114" spans="1:5" x14ac:dyDescent="0.25">
      <c r="A114" t="str">
        <f>CONCATENATE(287652,",",ROW(BCTCR_06608!A114),"|",COLUMN(BCTCR_06608!A114),",0",",0")</f>
        <v>287652,114|1,0,0</v>
      </c>
      <c r="B114" t="str">
        <f>CONCATENATE(287802,",",ROW(BCTCR_06608!B114),"|",COLUMN(BCTCR_06608!B114),",0",",0")</f>
        <v>287802,114|2,0,0</v>
      </c>
      <c r="C114" t="str">
        <f>CONCATENATE(288086,",",ROW(BCTCR_06608!C114),"|",COLUMN(BCTCR_06608!C114),",0",",0")</f>
        <v>288086,114|3,0,0</v>
      </c>
      <c r="D114" t="str">
        <f>CONCATENATE(287637,",",ROW(BCTCR_06608!D114),"|",COLUMN(BCTCR_06608!D114),",0",",0")</f>
        <v>287637,114|4,0,0</v>
      </c>
      <c r="E114" t="str">
        <f>CONCATENATE(287832,",",ROW(BCTCR_06608!E114),"|",COLUMN(BCTCR_06608!E114),",0",",0")</f>
        <v>287832,114|5,0,0</v>
      </c>
    </row>
    <row r="115" spans="1:5" x14ac:dyDescent="0.25">
      <c r="A115" t="str">
        <f>CONCATENATE(287721,",",ROW(BCTCR_06608!A115),"|",COLUMN(BCTCR_06608!A115),",0",",0")</f>
        <v>287721,115|1,0,0</v>
      </c>
      <c r="B115" t="str">
        <f>CONCATENATE(287673,",",ROW(BCTCR_06608!B115),"|",COLUMN(BCTCR_06608!B115),",0",",0")</f>
        <v>287673,115|2,0,0</v>
      </c>
      <c r="C115" t="str">
        <f>CONCATENATE(288108,",",ROW(BCTCR_06608!C115),"|",COLUMN(BCTCR_06608!C115),",0",",0")</f>
        <v>288108,115|3,0,0</v>
      </c>
      <c r="D115" t="str">
        <f>CONCATENATE(288024,",",ROW(BCTCR_06608!D115),"|",COLUMN(BCTCR_06608!D115),",0",",0")</f>
        <v>288024,115|4,0,0</v>
      </c>
      <c r="E115" t="str">
        <f>CONCATENATE(288227,",",ROW(BCTCR_06608!E115),"|",COLUMN(BCTCR_06608!E115),",0",",0")</f>
        <v>288227,115|5,0,0</v>
      </c>
    </row>
    <row r="116" spans="1:5" x14ac:dyDescent="0.25">
      <c r="A116" t="str">
        <f>CONCATENATE(287939,",",ROW(BCTCR_06608!A116),"|",COLUMN(BCTCR_06608!A116),",0",",0")</f>
        <v>287939,116|1,0,0</v>
      </c>
      <c r="B116" t="s">
        <v>5</v>
      </c>
      <c r="C116" t="str">
        <f>CONCATENATE(288270,",",ROW(BCTCR_06608!C116),"|",COLUMN(BCTCR_06608!C116),",0",",0")</f>
        <v>288270,116|3,0,0</v>
      </c>
      <c r="D116" t="str">
        <f>CONCATENATE(287618,",",ROW(BCTCR_06608!D116),"|",COLUMN(BCTCR_06608!D116),",0",",0")</f>
        <v>287618,116|4,0,0</v>
      </c>
      <c r="E116" t="str">
        <f>CONCATENATE(288273,",",ROW(BCTCR_06608!E116),"|",COLUMN(BCTCR_06608!E116),",0",",0")</f>
        <v>288273,116|5,0,0</v>
      </c>
    </row>
    <row r="117" spans="1:5" x14ac:dyDescent="0.25">
      <c r="A117" t="str">
        <f>CONCATENATE(288175,",",ROW(BCTCR_06608!A117),"|",COLUMN(BCTCR_06608!A117),",0",",0")</f>
        <v>288175,117|1,0,0</v>
      </c>
      <c r="B117" t="str">
        <f>CONCATENATE(287758,",",ROW(BCTCR_06608!B117),"|",COLUMN(BCTCR_06608!B117),",0",",0")</f>
        <v>287758,117|2,0,0</v>
      </c>
      <c r="C117" t="str">
        <f>CONCATENATE(288109,",",ROW(BCTCR_06608!C117),"|",COLUMN(BCTCR_06608!C117),",0",",0")</f>
        <v>288109,117|3,0,0</v>
      </c>
      <c r="D117" t="str">
        <f>CONCATENATE(288025,",",ROW(BCTCR_06608!D117),"|",COLUMN(BCTCR_06608!D117),",0",",0")</f>
        <v>288025,117|4,0,0</v>
      </c>
      <c r="E117" t="str">
        <f>CONCATENATE(288228,",",ROW(BCTCR_06608!E117),"|",COLUMN(BCTCR_06608!E117),",0",",0")</f>
        <v>288228,117|5,0,0</v>
      </c>
    </row>
    <row r="118" spans="1:5" x14ac:dyDescent="0.25">
      <c r="A118" t="str">
        <f>CONCATENATE(288176,",",ROW(BCTCR_06608!A118),"|",COLUMN(BCTCR_06608!A118),",0",",0")</f>
        <v>288176,118|1,0,0</v>
      </c>
      <c r="B118" t="str">
        <f>CONCATENATE(287803,",",ROW(BCTCR_06608!B118),"|",COLUMN(BCTCR_06608!B118),",0",",0")</f>
        <v>287803,118|2,0,0</v>
      </c>
      <c r="C118" t="str">
        <f>CONCATENATE(288110,",",ROW(BCTCR_06608!C118),"|",COLUMN(BCTCR_06608!C118),",0",",0")</f>
        <v>288110,118|3,0,0</v>
      </c>
      <c r="D118" t="str">
        <f>CONCATENATE(288026,",",ROW(BCTCR_06608!D118),"|",COLUMN(BCTCR_06608!D118),",0",",0")</f>
        <v>288026,118|4,0,0</v>
      </c>
      <c r="E118" t="str">
        <f>CONCATENATE(288230,",",ROW(BCTCR_06608!E118),"|",COLUMN(BCTCR_06608!E118),",0",",0")</f>
        <v>288230,118|5,0,0</v>
      </c>
    </row>
    <row r="119" spans="1:5" x14ac:dyDescent="0.25">
      <c r="A119" t="str">
        <f>CONCATENATE(287653,",",ROW(BCTCR_06608!A119),"|",COLUMN(BCTCR_06608!A119),",0",",0")</f>
        <v>287653,119|1,0,0</v>
      </c>
      <c r="B119" t="str">
        <f>CONCATENATE(287804,",",ROW(BCTCR_06608!B119),"|",COLUMN(BCTCR_06608!B119),",0",",0")</f>
        <v>287804,119|2,0,0</v>
      </c>
      <c r="C119" t="str">
        <f>CONCATENATE(288087,",",ROW(BCTCR_06608!C119),"|",COLUMN(BCTCR_06608!C119),",0",",0")</f>
        <v>288087,119|3,0,0</v>
      </c>
      <c r="D119" t="str">
        <f>CONCATENATE(287638,",",ROW(BCTCR_06608!D119),"|",COLUMN(BCTCR_06608!D119),",0",",0")</f>
        <v>287638,119|4,0,0</v>
      </c>
      <c r="E119" t="str">
        <f>CONCATENATE(287833,",",ROW(BCTCR_06608!E119),"|",COLUMN(BCTCR_06608!E119),",0",",0")</f>
        <v>287833,119|5,0,0</v>
      </c>
    </row>
    <row r="120" spans="1:5" x14ac:dyDescent="0.25">
      <c r="A120" t="str">
        <f>CONCATENATE(287722,",",ROW(BCTCR_06608!A120),"|",COLUMN(BCTCR_06608!A120),",0",",0")</f>
        <v>287722,120|1,0,0</v>
      </c>
      <c r="B120" t="str">
        <f>CONCATENATE(288202,",",ROW(BCTCR_06608!B120),"|",COLUMN(BCTCR_06608!B120),",0",",0")</f>
        <v>288202,120|2,0,0</v>
      </c>
      <c r="C120" t="str">
        <f>CONCATENATE(288101,",",ROW(BCTCR_06608!C120),"|",COLUMN(BCTCR_06608!C120),",0",",0")</f>
        <v>288101,120|3,0,0</v>
      </c>
      <c r="D120" t="str">
        <f>CONCATENATE(288017,",",ROW(BCTCR_06608!D120),"|",COLUMN(BCTCR_06608!D120),",0",",0")</f>
        <v>288017,120|4,0,0</v>
      </c>
      <c r="E120" t="str">
        <f>CONCATENATE(288220,",",ROW(BCTCR_06608!E120),"|",COLUMN(BCTCR_06608!E120),",0",",0")</f>
        <v>288220,120|5,0,0</v>
      </c>
    </row>
    <row r="121" spans="1:5" x14ac:dyDescent="0.25">
      <c r="A121" t="str">
        <f>CONCATENATE(288185,",",ROW(BCTCR_06608!A121),"|",COLUMN(BCTCR_06608!A121),",0",",0")</f>
        <v>288185,121|1,0,0</v>
      </c>
      <c r="B121" t="str">
        <f>CONCATENATE(287805,",",ROW(BCTCR_06608!B121),"|",COLUMN(BCTCR_06608!B121),",0",",0")</f>
        <v>287805,121|2,0,0</v>
      </c>
      <c r="C121" t="str">
        <f>CONCATENATE(288088,",",ROW(BCTCR_06608!C121),"|",COLUMN(BCTCR_06608!C121),",0",",0")</f>
        <v>288088,121|3,0,0</v>
      </c>
      <c r="D121" t="str">
        <f>CONCATENATE(287639,",",ROW(BCTCR_06608!D121),"|",COLUMN(BCTCR_06608!D121),",0",",0")</f>
        <v>287639,121|4,0,0</v>
      </c>
      <c r="E121" t="str">
        <f>CONCATENATE(288207,",",ROW(BCTCR_06608!E121),"|",COLUMN(BCTCR_06608!E121),",0",",0")</f>
        <v>288207,121|5,0,0</v>
      </c>
    </row>
    <row r="122" spans="1:5" x14ac:dyDescent="0.25">
      <c r="A122" t="str">
        <f>CONCATENATE(287655,",",ROW(BCTCR_06608!A122),"|",COLUMN(BCTCR_06608!A122),",0",",0")</f>
        <v>287655,122|1,0,0</v>
      </c>
      <c r="B122" t="str">
        <f>CONCATENATE(288203,",",ROW(BCTCR_06608!B122),"|",COLUMN(BCTCR_06608!B122),",0",",0")</f>
        <v>288203,122|2,0,0</v>
      </c>
      <c r="C122" t="str">
        <f>CONCATENATE(288102,",",ROW(BCTCR_06608!C122),"|",COLUMN(BCTCR_06608!C122),",0",",0")</f>
        <v>288102,122|3,0,0</v>
      </c>
      <c r="D122" t="str">
        <f>CONCATENATE(288018,",",ROW(BCTCR_06608!D122),"|",COLUMN(BCTCR_06608!D122),",0",",0")</f>
        <v>288018,122|4,0,0</v>
      </c>
      <c r="E122" t="str">
        <f>CONCATENATE(288221,",",ROW(BCTCR_06608!E122),"|",COLUMN(BCTCR_06608!E122),",0",",0")</f>
        <v>288221,122|5,0,0</v>
      </c>
    </row>
    <row r="123" spans="1:5" x14ac:dyDescent="0.25">
      <c r="A123" t="str">
        <f>CONCATENATE(288177,",",ROW(BCTCR_06608!A123),"|",COLUMN(BCTCR_06608!A123),",0",",0")</f>
        <v>288177,123|1,0,0</v>
      </c>
      <c r="B123" t="str">
        <f>CONCATENATE(287759,",",ROW(BCTCR_06608!B123),"|",COLUMN(BCTCR_06608!B123),",0",",0")</f>
        <v>287759,123|2,0,0</v>
      </c>
      <c r="C123" t="str">
        <f>CONCATENATE(288111,",",ROW(BCTCR_06608!C123),"|",COLUMN(BCTCR_06608!C123),",0",",0")</f>
        <v>288111,123|3,0,0</v>
      </c>
      <c r="D123" t="str">
        <f>CONCATENATE(288027,",",ROW(BCTCR_06608!D123),"|",COLUMN(BCTCR_06608!D123),",0",",0")</f>
        <v>288027,123|4,0,0</v>
      </c>
      <c r="E123" t="str">
        <f>CONCATENATE(288231,",",ROW(BCTCR_06608!E123),"|",COLUMN(BCTCR_06608!E123),",0",",0")</f>
        <v>288231,123|5,0,0</v>
      </c>
    </row>
    <row r="124" spans="1:5" x14ac:dyDescent="0.25">
      <c r="A124" t="str">
        <f>CONCATENATE(287723,",",ROW(BCTCR_06608!A124),"|",COLUMN(BCTCR_06608!A124),",0",",0")</f>
        <v>287723,124|1,0,0</v>
      </c>
      <c r="B124" t="str">
        <f>CONCATENATE(287806,",",ROW(BCTCR_06608!B124),"|",COLUMN(BCTCR_06608!B124),",0",",0")</f>
        <v>287806,124|2,0,0</v>
      </c>
      <c r="C124" t="str">
        <f>CONCATENATE(288112,",",ROW(BCTCR_06608!C124),"|",COLUMN(BCTCR_06608!C124),",0",",0")</f>
        <v>288112,124|3,0,0</v>
      </c>
      <c r="D124" t="str">
        <f>CONCATENATE(288028,",",ROW(BCTCR_06608!D124),"|",COLUMN(BCTCR_06608!D124),",0",",0")</f>
        <v>288028,124|4,0,0</v>
      </c>
      <c r="E124" t="str">
        <f>CONCATENATE(288232,",",ROW(BCTCR_06608!E124),"|",COLUMN(BCTCR_06608!E124),",0",",0")</f>
        <v>288232,124|5,0,0</v>
      </c>
    </row>
    <row r="125" spans="1:5" x14ac:dyDescent="0.25">
      <c r="A125" t="str">
        <f>CONCATENATE(288186,",",ROW(BCTCR_06608!A125),"|",COLUMN(BCTCR_06608!A125),",0",",0")</f>
        <v>288186,125|1,0,0</v>
      </c>
      <c r="B125" t="str">
        <f>CONCATENATE(287698,",",ROW(BCTCR_06608!B125),"|",COLUMN(BCTCR_06608!B125),",0",",0")</f>
        <v>287698,125|2,0,0</v>
      </c>
      <c r="C125" t="str">
        <f>CONCATENATE(288089,",",ROW(BCTCR_06608!C125),"|",COLUMN(BCTCR_06608!C125),",0",",0")</f>
        <v>288089,125|3,0,0</v>
      </c>
      <c r="D125" t="str">
        <f>CONCATENATE(287640,",",ROW(BCTCR_06608!D125),"|",COLUMN(BCTCR_06608!D125),",0",",0")</f>
        <v>287640,125|4,0,0</v>
      </c>
      <c r="E125" t="str">
        <f>CONCATENATE(288208,",",ROW(BCTCR_06608!E125),"|",COLUMN(BCTCR_06608!E125),",0",",0")</f>
        <v>288208,125|5,0,0</v>
      </c>
    </row>
    <row r="126" spans="1:5" x14ac:dyDescent="0.25">
      <c r="A126" t="str">
        <f>CONCATENATE(287724,",",ROW(BCTCR_06608!A126),"|",COLUMN(BCTCR_06608!A126),",0",",0")</f>
        <v>287724,126|1,0,0</v>
      </c>
      <c r="B126" t="str">
        <f>CONCATENATE(287760,",",ROW(BCTCR_06608!B126),"|",COLUMN(BCTCR_06608!B126),",0",",0")</f>
        <v>287760,126|2,0,0</v>
      </c>
      <c r="C126" t="str">
        <f>CONCATENATE(288113,",",ROW(BCTCR_06608!C126),"|",COLUMN(BCTCR_06608!C126),",0",",0")</f>
        <v>288113,126|3,0,0</v>
      </c>
      <c r="D126" t="str">
        <f>CONCATENATE(288029,",",ROW(BCTCR_06608!D126),"|",COLUMN(BCTCR_06608!D126),",0",",0")</f>
        <v>288029,126|4,0,0</v>
      </c>
      <c r="E126" t="str">
        <f>CONCATENATE(288233,",",ROW(BCTCR_06608!E126),"|",COLUMN(BCTCR_06608!E126),",0",",0")</f>
        <v>288233,126|5,0,0</v>
      </c>
    </row>
    <row r="127" spans="1:5" x14ac:dyDescent="0.25">
      <c r="A127" t="str">
        <f>CONCATENATE(288178,",",ROW(BCTCR_06608!A127),"|",COLUMN(BCTCR_06608!A127),",0",",0")</f>
        <v>288178,127|1,0,0</v>
      </c>
      <c r="B127" t="str">
        <f>CONCATENATE(287761,",",ROW(BCTCR_06608!B127),"|",COLUMN(BCTCR_06608!B127),",0",",0")</f>
        <v>287761,127|2,0,0</v>
      </c>
      <c r="C127" t="str">
        <f>CONCATENATE(288114,",",ROW(BCTCR_06608!C127),"|",COLUMN(BCTCR_06608!C127),",0",",0")</f>
        <v>288114,127|3,0,0</v>
      </c>
      <c r="D127" t="str">
        <f>CONCATENATE(288030,",",ROW(BCTCR_06608!D127),"|",COLUMN(BCTCR_06608!D127),",0",",0")</f>
        <v>288030,127|4,0,0</v>
      </c>
      <c r="E127" t="str">
        <f>CONCATENATE(288234,",",ROW(BCTCR_06608!E127),"|",COLUMN(BCTCR_06608!E127),",0",",0")</f>
        <v>288234,127|5,0,0</v>
      </c>
    </row>
    <row r="128" spans="1:5" x14ac:dyDescent="0.25">
      <c r="A128" t="str">
        <f>CONCATENATE(287657,",",ROW(BCTCR_06608!A128),"|",COLUMN(BCTCR_06608!A128),",0",",0")</f>
        <v>287657,128|1,0,0</v>
      </c>
      <c r="B128" t="str">
        <f>CONCATENATE(287849,",",ROW(BCTCR_06608!B128),"|",COLUMN(BCTCR_06608!B128),",0",",0")</f>
        <v>287849,128|2,0,0</v>
      </c>
      <c r="C128" t="str">
        <f>CONCATENATE(288115,",",ROW(BCTCR_06608!C128),"|",COLUMN(BCTCR_06608!C128),",0",",0")</f>
        <v>288115,128|3,0,0</v>
      </c>
      <c r="D128" t="str">
        <f>CONCATENATE(288031,",",ROW(BCTCR_06608!D128),"|",COLUMN(BCTCR_06608!D128),",0",",0")</f>
        <v>288031,128|4,0,0</v>
      </c>
      <c r="E128" t="str">
        <f>CONCATENATE(288235,",",ROW(BCTCR_06608!E128),"|",COLUMN(BCTCR_06608!E128),",0",",0")</f>
        <v>288235,128|5,0,0</v>
      </c>
    </row>
    <row r="129" spans="1:5" x14ac:dyDescent="0.25">
      <c r="A129" t="str">
        <f>CONCATENATE(287725,",",ROW(BCTCR_06608!A129),"|",COLUMN(BCTCR_06608!A129),",0",",0")</f>
        <v>287725,129|1,0,0</v>
      </c>
      <c r="B129" t="str">
        <f>CONCATENATE(287677,",",ROW(BCTCR_06608!B129),"|",COLUMN(BCTCR_06608!B129),",0",",0")</f>
        <v>287677,129|2,0,0</v>
      </c>
      <c r="C129" t="str">
        <f>CONCATENATE(288116,",",ROW(BCTCR_06608!C129),"|",COLUMN(BCTCR_06608!C129),",0",",0")</f>
        <v>288116,129|3,0,0</v>
      </c>
      <c r="D129" t="str">
        <f>CONCATENATE(288032,",",ROW(BCTCR_06608!D129),"|",COLUMN(BCTCR_06608!D129),",0",",0")</f>
        <v>288032,129|4,0,0</v>
      </c>
      <c r="E129" t="str">
        <f>CONCATENATE(288236,",",ROW(BCTCR_06608!E129),"|",COLUMN(BCTCR_06608!E129),",0",",0")</f>
        <v>288236,129|5,0,0</v>
      </c>
    </row>
    <row r="130" spans="1:5" x14ac:dyDescent="0.25">
      <c r="A130" t="str">
        <f>CONCATENATE(288187,",",ROW(BCTCR_06608!A130),"|",COLUMN(BCTCR_06608!A130),",0",",0")</f>
        <v>288187,130|1,0,0</v>
      </c>
      <c r="B130" t="str">
        <f>CONCATENATE(287850,",",ROW(BCTCR_06608!B130),"|",COLUMN(BCTCR_06608!B130),",0",",0")</f>
        <v>287850,130|2,0,0</v>
      </c>
      <c r="C130" t="str">
        <f>CONCATENATE(288090,",",ROW(BCTCR_06608!C130),"|",COLUMN(BCTCR_06608!C130),",0",",0")</f>
        <v>288090,130|3,0,0</v>
      </c>
      <c r="D130" t="str">
        <f>CONCATENATE(287641,",",ROW(BCTCR_06608!D130),"|",COLUMN(BCTCR_06608!D130),",0",",0")</f>
        <v>287641,130|4,0,0</v>
      </c>
      <c r="E130" t="str">
        <f>CONCATENATE(288209,",",ROW(BCTCR_06608!E130),"|",COLUMN(BCTCR_06608!E130),",0",",0")</f>
        <v>288209,130|5,0,0</v>
      </c>
    </row>
    <row r="131" spans="1:5" x14ac:dyDescent="0.25">
      <c r="A131" t="str">
        <f>CONCATENATE(288179,",",ROW(BCTCR_06608!A131),"|",COLUMN(BCTCR_06608!A131),",0",",0")</f>
        <v>288179,131|1,0,0</v>
      </c>
      <c r="B131" t="str">
        <f>CONCATENATE(287678,",",ROW(BCTCR_06608!B131),"|",COLUMN(BCTCR_06608!B131),",0",",0")</f>
        <v>287678,131|2,0,0</v>
      </c>
      <c r="C131" t="str">
        <f>CONCATENATE(288117,",",ROW(BCTCR_06608!C131),"|",COLUMN(BCTCR_06608!C131),",0",",0")</f>
        <v>288117,131|3,0,0</v>
      </c>
      <c r="D131" t="str">
        <f>CONCATENATE(288033,",",ROW(BCTCR_06608!D131),"|",COLUMN(BCTCR_06608!D131),",0",",0")</f>
        <v>288033,131|4,0,0</v>
      </c>
      <c r="E131" t="str">
        <f>CONCATENATE(288237,",",ROW(BCTCR_06608!E131),"|",COLUMN(BCTCR_06608!E131),",0",",0")</f>
        <v>288237,131|5,0,0</v>
      </c>
    </row>
    <row r="132" spans="1:5" x14ac:dyDescent="0.25">
      <c r="A132" t="str">
        <f>CONCATENATE(287726,",",ROW(BCTCR_06608!A132),"|",COLUMN(BCTCR_06608!A132),",0",",0")</f>
        <v>287726,132|1,0,0</v>
      </c>
      <c r="B132" t="str">
        <f>CONCATENATE(287681,",",ROW(BCTCR_06608!B132),"|",COLUMN(BCTCR_06608!B132),",0",",0")</f>
        <v>287681,132|2,0,0</v>
      </c>
      <c r="C132" t="str">
        <f>CONCATENATE(288118,",",ROW(BCTCR_06608!C132),"|",COLUMN(BCTCR_06608!C132),",0",",0")</f>
        <v>288118,132|3,0,0</v>
      </c>
      <c r="D132" t="str">
        <f>CONCATENATE(288034,",",ROW(BCTCR_06608!D132),"|",COLUMN(BCTCR_06608!D132),",0",",0")</f>
        <v>288034,132|4,0,0</v>
      </c>
      <c r="E132" t="str">
        <f>CONCATENATE(288252,",",ROW(BCTCR_06608!E132),"|",COLUMN(BCTCR_06608!E132),",0",",0")</f>
        <v>288252,132|5,0,0</v>
      </c>
    </row>
    <row r="133" spans="1:5" x14ac:dyDescent="0.25">
      <c r="A133" t="str">
        <f>CONCATENATE(287658,",",ROW(BCTCR_06608!A133),"|",COLUMN(BCTCR_06608!A133),",0",",0")</f>
        <v>287658,133|1,0,0</v>
      </c>
      <c r="B133" t="str">
        <f>CONCATENATE(287679,",",ROW(BCTCR_06608!B133),"|",COLUMN(BCTCR_06608!B133),",0",",0")</f>
        <v>287679,133|2,0,0</v>
      </c>
      <c r="C133" t="str">
        <f>CONCATENATE(288119,",",ROW(BCTCR_06608!C133),"|",COLUMN(BCTCR_06608!C133),",0",",0")</f>
        <v>288119,133|3,0,0</v>
      </c>
      <c r="D133" t="str">
        <f>CONCATENATE(288035,",",ROW(BCTCR_06608!D133),"|",COLUMN(BCTCR_06608!D133),",0",",0")</f>
        <v>288035,133|4,0,0</v>
      </c>
      <c r="E133" t="str">
        <f>CONCATENATE(287851,",",ROW(BCTCR_06608!E133),"|",COLUMN(BCTCR_06608!E133),",0",",0")</f>
        <v>287851,133|5,0,0</v>
      </c>
    </row>
    <row r="134" spans="1:5" x14ac:dyDescent="0.25">
      <c r="A134" t="str">
        <f>CONCATENATE(287727,",",ROW(BCTCR_06608!A134),"|",COLUMN(BCTCR_06608!A134),",0",",0")</f>
        <v>287727,134|1,0,0</v>
      </c>
      <c r="B134" t="str">
        <f>CONCATENATE(287682,",",ROW(BCTCR_06608!B134),"|",COLUMN(BCTCR_06608!B134),",0",",0")</f>
        <v>287682,134|2,0,0</v>
      </c>
      <c r="C134" t="str">
        <f>CONCATENATE(288120,",",ROW(BCTCR_06608!C134),"|",COLUMN(BCTCR_06608!C134),",0",",0")</f>
        <v>288120,134|3,0,0</v>
      </c>
      <c r="D134" t="str">
        <f>CONCATENATE(288036,",",ROW(BCTCR_06608!D134),"|",COLUMN(BCTCR_06608!D134),",0",",0")</f>
        <v>288036,134|4,0,0</v>
      </c>
      <c r="E134" t="str">
        <f>CONCATENATE(287852,",",ROW(BCTCR_06608!E134),"|",COLUMN(BCTCR_06608!E134),",0",",0")</f>
        <v>287852,134|5,0,0</v>
      </c>
    </row>
    <row r="135" spans="1:5" x14ac:dyDescent="0.25">
      <c r="A135" t="str">
        <f>CONCATENATE(288180,",",ROW(BCTCR_06608!A135),"|",COLUMN(BCTCR_06608!A135),",0",",0")</f>
        <v>288180,135|1,0,0</v>
      </c>
      <c r="B135" t="str">
        <f>CONCATENATE(287669,",",ROW(BCTCR_06608!B135),"|",COLUMN(BCTCR_06608!B135),",0",",0")</f>
        <v>287669,135|2,0,0</v>
      </c>
      <c r="C135" t="str">
        <f>CONCATENATE(288121,",",ROW(BCTCR_06608!C135),"|",COLUMN(BCTCR_06608!C135),",0",",0")</f>
        <v>288121,135|3,0,0</v>
      </c>
      <c r="D135" t="str">
        <f>CONCATENATE(288037,",",ROW(BCTCR_06608!D135),"|",COLUMN(BCTCR_06608!D135),",0",",0")</f>
        <v>288037,135|4,0,0</v>
      </c>
      <c r="E135" t="str">
        <f>CONCATENATE(287853,",",ROW(BCTCR_06608!E135),"|",COLUMN(BCTCR_06608!E135),",0",",0")</f>
        <v>287853,135|5,0,0</v>
      </c>
    </row>
    <row r="136" spans="1:5" x14ac:dyDescent="0.25">
      <c r="A136" t="str">
        <f>CONCATENATE(287692,",",ROW(BCTCR_06608!A136),"|",COLUMN(BCTCR_06608!A136),",0",",0")</f>
        <v>287692,136|1,0,0</v>
      </c>
      <c r="B136" t="str">
        <f>CONCATENATE(287842,",",ROW(BCTCR_06608!B136),"|",COLUMN(BCTCR_06608!B136),",0",",0")</f>
        <v>287842,136|2,0,0</v>
      </c>
      <c r="C136" t="str">
        <f>CONCATENATE(288122,",",ROW(BCTCR_06608!C136),"|",COLUMN(BCTCR_06608!C136),",0",",0")</f>
        <v>288122,136|3,0,0</v>
      </c>
      <c r="D136" t="str">
        <f>CONCATENATE(288038,",",ROW(BCTCR_06608!D136),"|",COLUMN(BCTCR_06608!D136),",0",",0")</f>
        <v>288038,136|4,0,0</v>
      </c>
      <c r="E136" t="str">
        <f>CONCATENATE(287854,",",ROW(BCTCR_06608!E136),"|",COLUMN(BCTCR_06608!E136),",0",",0")</f>
        <v>287854,136|5,0,0</v>
      </c>
    </row>
    <row r="137" spans="1:5" x14ac:dyDescent="0.25">
      <c r="A137" t="str">
        <f>CONCATENATE(287617,",",ROW(BCTCR_06608!A137),"|",COLUMN(BCTCR_06608!A137),",0",",0")</f>
        <v>287617,137|1,0,0</v>
      </c>
      <c r="B137" t="str">
        <f>CONCATENATE(287614,",",ROW(BCTCR_06608!B137),"|",COLUMN(BCTCR_06608!B137),",0",",0")</f>
        <v>287614,137|2,0,0</v>
      </c>
      <c r="C137" t="str">
        <f>CONCATENATE(287616,",",ROW(BCTCR_06608!C137),"|",COLUMN(BCTCR_06608!C137),",0",",0")</f>
        <v>287616,137|3,0,0</v>
      </c>
      <c r="D137" t="str">
        <f>CONCATENATE(287615,",",ROW(BCTCR_06608!D137),"|",COLUMN(BCTCR_06608!D137),",0",",0")</f>
        <v>287615,137|4,0,0</v>
      </c>
      <c r="E137" t="str">
        <f>CONCATENATE(287613,",",ROW(BCTCR_06608!E137),"|",COLUMN(BCTCR_06608!E137),",0",",0")</f>
        <v>287613,137|5,0,0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1"/>
  <sheetViews>
    <sheetView zoomScale="70" zoomScaleNormal="70" workbookViewId="0">
      <selection sqref="A1:E1"/>
    </sheetView>
  </sheetViews>
  <sheetFormatPr defaultRowHeight="15" x14ac:dyDescent="0.25"/>
  <cols>
    <col min="1" max="1" width="31.28515625" bestFit="1" customWidth="1"/>
    <col min="2" max="3" width="19.7109375" bestFit="1" customWidth="1"/>
    <col min="4" max="5" width="26.42578125" bestFit="1" customWidth="1"/>
  </cols>
  <sheetData>
    <row r="1" spans="1:5" ht="20.25" x14ac:dyDescent="0.3">
      <c r="A1" s="1993" t="s">
        <v>11</v>
      </c>
      <c r="B1" s="1993" t="s">
        <v>5</v>
      </c>
      <c r="C1" s="1993" t="s">
        <v>5</v>
      </c>
      <c r="D1" s="1993" t="s">
        <v>5</v>
      </c>
      <c r="E1" s="1993" t="s">
        <v>5</v>
      </c>
    </row>
    <row r="2" spans="1:5" ht="18.75" x14ac:dyDescent="0.25">
      <c r="A2" s="437" t="s">
        <v>38</v>
      </c>
      <c r="B2" s="437" t="s">
        <v>39</v>
      </c>
      <c r="C2" s="437" t="s">
        <v>40</v>
      </c>
      <c r="D2" s="437" t="s">
        <v>41</v>
      </c>
      <c r="E2" s="437" t="s">
        <v>42</v>
      </c>
    </row>
    <row r="3" spans="1:5" ht="16.5" x14ac:dyDescent="0.25">
      <c r="A3" s="558" t="s">
        <v>388</v>
      </c>
      <c r="B3" s="528" t="s">
        <v>144</v>
      </c>
      <c r="C3" s="449" t="s">
        <v>116</v>
      </c>
      <c r="D3" s="454" t="s">
        <v>286</v>
      </c>
      <c r="E3" s="455" t="s">
        <v>319</v>
      </c>
    </row>
    <row r="4" spans="1:5" ht="66" x14ac:dyDescent="0.25">
      <c r="A4" s="559" t="s">
        <v>389</v>
      </c>
      <c r="B4" s="436" t="s">
        <v>5</v>
      </c>
      <c r="C4" s="569"/>
      <c r="D4" s="1783"/>
      <c r="E4" s="1783"/>
    </row>
    <row r="5" spans="1:5" ht="33" x14ac:dyDescent="0.25">
      <c r="A5" s="536" t="s">
        <v>366</v>
      </c>
      <c r="B5" s="515" t="s">
        <v>286</v>
      </c>
      <c r="C5" s="484"/>
      <c r="D5" s="1784"/>
      <c r="E5" s="1784"/>
    </row>
    <row r="6" spans="1:5" ht="49.5" x14ac:dyDescent="0.25">
      <c r="A6" s="460" t="s">
        <v>324</v>
      </c>
      <c r="B6" s="530" t="s">
        <v>117</v>
      </c>
      <c r="C6" s="504"/>
      <c r="D6" s="1785"/>
      <c r="E6" s="1785"/>
    </row>
    <row r="7" spans="1:5" ht="33" x14ac:dyDescent="0.25">
      <c r="A7" s="529" t="s">
        <v>360</v>
      </c>
      <c r="B7" s="516" t="s">
        <v>348</v>
      </c>
      <c r="C7" s="485"/>
      <c r="D7" s="1786"/>
      <c r="E7" s="1786"/>
    </row>
    <row r="8" spans="1:5" ht="33" x14ac:dyDescent="0.25">
      <c r="A8" s="461" t="s">
        <v>325</v>
      </c>
      <c r="B8" s="517" t="s">
        <v>349</v>
      </c>
      <c r="C8" s="486"/>
      <c r="D8" s="1787">
        <v>390400000</v>
      </c>
      <c r="E8" s="1787">
        <v>390400000</v>
      </c>
    </row>
    <row r="9" spans="1:5" ht="33" x14ac:dyDescent="0.25">
      <c r="A9" s="462" t="s">
        <v>326</v>
      </c>
      <c r="B9" s="442" t="s">
        <v>308</v>
      </c>
      <c r="C9" s="492"/>
      <c r="D9" s="1788" t="s">
        <v>779</v>
      </c>
      <c r="E9" s="1788" t="s">
        <v>779</v>
      </c>
    </row>
    <row r="10" spans="1:5" ht="33" x14ac:dyDescent="0.25">
      <c r="A10" s="560" t="s">
        <v>390</v>
      </c>
      <c r="B10" s="519" t="s">
        <v>351</v>
      </c>
      <c r="C10" s="570"/>
      <c r="D10" s="1789">
        <v>72200145</v>
      </c>
      <c r="E10" s="1789">
        <v>72200145</v>
      </c>
    </row>
    <row r="11" spans="1:5" ht="33" x14ac:dyDescent="0.25">
      <c r="A11" s="452" t="s">
        <v>317</v>
      </c>
      <c r="B11" s="520" t="s">
        <v>352</v>
      </c>
      <c r="C11" s="493"/>
      <c r="D11" s="1790">
        <v>33792</v>
      </c>
      <c r="E11" s="1790">
        <v>33792</v>
      </c>
    </row>
    <row r="12" spans="1:5" ht="49.5" x14ac:dyDescent="0.25">
      <c r="A12" s="546" t="s">
        <v>376</v>
      </c>
      <c r="B12" s="443" t="s">
        <v>309</v>
      </c>
      <c r="C12" s="494"/>
      <c r="D12" s="1791">
        <v>335799650000</v>
      </c>
      <c r="E12" s="1791">
        <v>251061040000</v>
      </c>
    </row>
    <row r="13" spans="1:5" ht="49.5" x14ac:dyDescent="0.25">
      <c r="A13" s="456" t="s">
        <v>320</v>
      </c>
      <c r="B13" s="541" t="s">
        <v>371</v>
      </c>
      <c r="C13" s="495"/>
      <c r="D13" s="1792" t="s">
        <v>779</v>
      </c>
      <c r="E13" s="1792">
        <v>214580000</v>
      </c>
    </row>
    <row r="14" spans="1:5" ht="33" x14ac:dyDescent="0.25">
      <c r="A14" s="463" t="s">
        <v>327</v>
      </c>
      <c r="B14" s="537" t="s">
        <v>367</v>
      </c>
      <c r="C14" s="487"/>
      <c r="D14" s="1793">
        <v>2372000000</v>
      </c>
      <c r="E14" s="1793">
        <v>300000000</v>
      </c>
    </row>
    <row r="15" spans="1:5" ht="33" x14ac:dyDescent="0.25">
      <c r="A15" s="561" t="s">
        <v>391</v>
      </c>
      <c r="B15" s="521" t="s">
        <v>353</v>
      </c>
      <c r="C15" s="571"/>
      <c r="D15" s="1794" t="s">
        <v>779</v>
      </c>
      <c r="E15" s="1794" t="s">
        <v>779</v>
      </c>
    </row>
    <row r="16" spans="1:5" ht="33" x14ac:dyDescent="0.25">
      <c r="A16" s="547" t="s">
        <v>377</v>
      </c>
      <c r="B16" s="444" t="s">
        <v>310</v>
      </c>
      <c r="C16" s="496"/>
      <c r="D16" s="1795">
        <v>443548208700</v>
      </c>
      <c r="E16" s="1795">
        <v>491849222900</v>
      </c>
    </row>
    <row r="17" spans="1:5" ht="33" x14ac:dyDescent="0.25">
      <c r="A17" s="457" t="s">
        <v>321</v>
      </c>
      <c r="B17" s="445" t="s">
        <v>311</v>
      </c>
      <c r="C17" s="497"/>
      <c r="D17" s="1796" t="s">
        <v>779</v>
      </c>
      <c r="E17" s="1796" t="s">
        <v>779</v>
      </c>
    </row>
    <row r="18" spans="1:5" ht="66" x14ac:dyDescent="0.25">
      <c r="A18" s="562" t="s">
        <v>392</v>
      </c>
      <c r="B18" s="436" t="s">
        <v>5</v>
      </c>
      <c r="C18" s="572"/>
      <c r="D18" s="1797"/>
      <c r="E18" s="1797"/>
    </row>
    <row r="19" spans="1:5" ht="66" x14ac:dyDescent="0.25">
      <c r="A19" s="538" t="s">
        <v>368</v>
      </c>
      <c r="B19" s="518" t="s">
        <v>350</v>
      </c>
      <c r="C19" s="488"/>
      <c r="D19" s="1798">
        <v>30431498850400</v>
      </c>
      <c r="E19" s="1798">
        <v>30822487644000</v>
      </c>
    </row>
    <row r="20" spans="1:5" ht="49.5" x14ac:dyDescent="0.25">
      <c r="A20" s="470" t="s">
        <v>334</v>
      </c>
      <c r="B20" s="542" t="s">
        <v>372</v>
      </c>
      <c r="C20" s="498"/>
      <c r="D20" s="1799">
        <v>27066728541400</v>
      </c>
      <c r="E20" s="1799">
        <v>27240925454000</v>
      </c>
    </row>
    <row r="21" spans="1:5" ht="49.5" x14ac:dyDescent="0.25">
      <c r="A21" s="464" t="s">
        <v>328</v>
      </c>
      <c r="B21" s="438" t="s">
        <v>306</v>
      </c>
      <c r="C21" s="489"/>
      <c r="D21" s="1800">
        <v>310470610000</v>
      </c>
      <c r="E21" s="1800">
        <v>247273460000</v>
      </c>
    </row>
    <row r="22" spans="1:5" ht="49.5" x14ac:dyDescent="0.25">
      <c r="A22" s="471" t="s">
        <v>335</v>
      </c>
      <c r="B22" s="549" t="s">
        <v>379</v>
      </c>
      <c r="C22" s="490"/>
      <c r="D22" s="1801">
        <v>2465631810000</v>
      </c>
      <c r="E22" s="1801">
        <v>2951023610000</v>
      </c>
    </row>
    <row r="23" spans="1:5" ht="49.5" x14ac:dyDescent="0.25">
      <c r="A23" s="453" t="s">
        <v>318</v>
      </c>
      <c r="B23" s="446" t="s">
        <v>312</v>
      </c>
      <c r="C23" s="499"/>
      <c r="D23" s="1802">
        <v>488737520000</v>
      </c>
      <c r="E23" s="1802">
        <v>111507010000</v>
      </c>
    </row>
    <row r="24" spans="1:5" ht="49.5" x14ac:dyDescent="0.25">
      <c r="A24" s="450" t="s">
        <v>315</v>
      </c>
      <c r="B24" s="550" t="s">
        <v>380</v>
      </c>
      <c r="C24" s="491"/>
      <c r="D24" s="1803">
        <v>99930369000</v>
      </c>
      <c r="E24" s="1803">
        <v>271758110000</v>
      </c>
    </row>
    <row r="25" spans="1:5" ht="49.5" x14ac:dyDescent="0.25">
      <c r="A25" s="472" t="s">
        <v>336</v>
      </c>
      <c r="B25" s="551" t="s">
        <v>381</v>
      </c>
      <c r="C25" s="563"/>
      <c r="D25" s="1804"/>
      <c r="E25" s="1804"/>
    </row>
    <row r="26" spans="1:5" ht="66" x14ac:dyDescent="0.25">
      <c r="A26" s="458" t="s">
        <v>322</v>
      </c>
      <c r="B26" s="543" t="s">
        <v>373</v>
      </c>
      <c r="C26" s="500"/>
      <c r="D26" s="1805">
        <v>63852230000</v>
      </c>
      <c r="E26" s="1805">
        <v>155046150000</v>
      </c>
    </row>
    <row r="27" spans="1:5" ht="66" x14ac:dyDescent="0.25">
      <c r="A27" s="459" t="s">
        <v>323</v>
      </c>
      <c r="B27" s="544" t="s">
        <v>374</v>
      </c>
      <c r="C27" s="501"/>
      <c r="D27" s="1806">
        <v>45579630000</v>
      </c>
      <c r="E27" s="1806">
        <v>36783150000</v>
      </c>
    </row>
    <row r="28" spans="1:5" ht="66" x14ac:dyDescent="0.25">
      <c r="A28" s="539" t="s">
        <v>369</v>
      </c>
      <c r="B28" s="552" t="s">
        <v>382</v>
      </c>
      <c r="C28" s="564"/>
      <c r="D28" s="1807">
        <v>18272600000</v>
      </c>
      <c r="E28" s="1807">
        <v>118263000000</v>
      </c>
    </row>
    <row r="29" spans="1:5" ht="66" x14ac:dyDescent="0.25">
      <c r="A29" s="465" t="s">
        <v>329</v>
      </c>
      <c r="B29" s="522" t="s">
        <v>354</v>
      </c>
      <c r="C29" s="502"/>
      <c r="D29" s="1808"/>
      <c r="E29" s="1808"/>
    </row>
    <row r="30" spans="1:5" ht="66" x14ac:dyDescent="0.25">
      <c r="A30" s="466" t="s">
        <v>330</v>
      </c>
      <c r="B30" s="523" t="s">
        <v>355</v>
      </c>
      <c r="C30" s="503"/>
      <c r="D30" s="1809"/>
      <c r="E30" s="1809"/>
    </row>
    <row r="31" spans="1:5" ht="49.5" x14ac:dyDescent="0.25">
      <c r="A31" s="467" t="s">
        <v>331</v>
      </c>
      <c r="B31" s="553" t="s">
        <v>383</v>
      </c>
      <c r="C31" s="565"/>
      <c r="D31" s="1810">
        <v>262658181000</v>
      </c>
      <c r="E31" s="1810">
        <v>255117898000</v>
      </c>
    </row>
    <row r="32" spans="1:5" ht="49.5" x14ac:dyDescent="0.25">
      <c r="A32" s="468" t="s">
        <v>332</v>
      </c>
      <c r="B32" s="545" t="s">
        <v>375</v>
      </c>
      <c r="C32" s="505"/>
      <c r="D32" s="1811" t="s">
        <v>779</v>
      </c>
      <c r="E32" s="1811" t="s">
        <v>779</v>
      </c>
    </row>
    <row r="33" spans="1:5" ht="49.5" x14ac:dyDescent="0.25">
      <c r="A33" s="469" t="s">
        <v>333</v>
      </c>
      <c r="B33" s="554" t="s">
        <v>384</v>
      </c>
      <c r="C33" s="439"/>
      <c r="D33" s="1812">
        <v>461322300000</v>
      </c>
      <c r="E33" s="1812">
        <v>661322300000</v>
      </c>
    </row>
    <row r="34" spans="1:5" ht="49.5" x14ac:dyDescent="0.25">
      <c r="A34" s="568" t="s">
        <v>393</v>
      </c>
      <c r="B34" s="531" t="s">
        <v>361</v>
      </c>
      <c r="C34" s="506"/>
      <c r="D34" s="1960"/>
      <c r="E34" s="1960"/>
    </row>
    <row r="35" spans="1:5" ht="33" x14ac:dyDescent="0.25">
      <c r="A35" s="473" t="s">
        <v>337</v>
      </c>
      <c r="B35" s="555" t="s">
        <v>385</v>
      </c>
      <c r="C35" s="440"/>
      <c r="D35" s="1961">
        <v>1344995456540</v>
      </c>
      <c r="E35" s="1961">
        <v>938847666218</v>
      </c>
    </row>
    <row r="36" spans="1:5" ht="82.5" x14ac:dyDescent="0.25">
      <c r="A36" s="474" t="s">
        <v>338</v>
      </c>
      <c r="B36" s="532" t="s">
        <v>362</v>
      </c>
      <c r="C36" s="507"/>
      <c r="D36" s="1962">
        <v>552781949486</v>
      </c>
      <c r="E36" s="1962">
        <v>530836444058</v>
      </c>
    </row>
    <row r="37" spans="1:5" ht="66" x14ac:dyDescent="0.25">
      <c r="A37" s="475" t="s">
        <v>339</v>
      </c>
      <c r="B37" s="533" t="s">
        <v>363</v>
      </c>
      <c r="C37" s="573"/>
      <c r="D37" s="1963">
        <v>732124689414</v>
      </c>
      <c r="E37" s="1963">
        <v>395900015767</v>
      </c>
    </row>
    <row r="38" spans="1:5" ht="49.5" x14ac:dyDescent="0.25">
      <c r="A38" s="508" t="s">
        <v>341</v>
      </c>
      <c r="B38" s="548" t="s">
        <v>378</v>
      </c>
      <c r="C38" s="477"/>
      <c r="D38" s="1964">
        <v>16711308842</v>
      </c>
      <c r="E38" s="1964"/>
    </row>
    <row r="39" spans="1:5" ht="66" x14ac:dyDescent="0.25">
      <c r="A39" s="441" t="s">
        <v>307</v>
      </c>
      <c r="B39" s="451" t="s">
        <v>316</v>
      </c>
      <c r="C39" s="574"/>
      <c r="D39" s="1965">
        <v>16696068370</v>
      </c>
      <c r="E39" s="1965"/>
    </row>
    <row r="40" spans="1:5" ht="66" x14ac:dyDescent="0.25">
      <c r="A40" s="509" t="s">
        <v>342</v>
      </c>
      <c r="B40" s="524" t="s">
        <v>356</v>
      </c>
      <c r="C40" s="478"/>
      <c r="D40" s="1966">
        <v>15240472</v>
      </c>
      <c r="E40" s="1966"/>
    </row>
    <row r="41" spans="1:5" ht="49.5" x14ac:dyDescent="0.25">
      <c r="A41" s="510" t="s">
        <v>343</v>
      </c>
      <c r="B41" s="526" t="s">
        <v>358</v>
      </c>
      <c r="C41" s="479"/>
      <c r="D41" s="1967">
        <v>43377508798</v>
      </c>
      <c r="E41" s="1967">
        <v>12111206393</v>
      </c>
    </row>
    <row r="42" spans="1:5" ht="82.5" x14ac:dyDescent="0.25">
      <c r="A42" s="540" t="s">
        <v>370</v>
      </c>
      <c r="B42" s="556" t="s">
        <v>386</v>
      </c>
      <c r="C42" s="566"/>
      <c r="D42" s="1968">
        <v>1301647367012</v>
      </c>
      <c r="E42" s="1968">
        <v>926765480460</v>
      </c>
    </row>
    <row r="43" spans="1:5" ht="66" x14ac:dyDescent="0.25">
      <c r="A43" s="511" t="s">
        <v>344</v>
      </c>
      <c r="B43" s="527" t="s">
        <v>359</v>
      </c>
      <c r="C43" s="480"/>
      <c r="D43" s="1969">
        <v>1291121558644</v>
      </c>
      <c r="E43" s="1969">
        <v>906421210233</v>
      </c>
    </row>
    <row r="44" spans="1:5" ht="82.5" x14ac:dyDescent="0.25">
      <c r="A44" s="512" t="s">
        <v>345</v>
      </c>
      <c r="B44" s="534" t="s">
        <v>364</v>
      </c>
      <c r="C44" s="481"/>
      <c r="D44" s="1970">
        <v>10525808368</v>
      </c>
      <c r="E44" s="1970">
        <v>20344270227</v>
      </c>
    </row>
    <row r="45" spans="1:5" ht="49.5" x14ac:dyDescent="0.25">
      <c r="A45" s="476" t="s">
        <v>340</v>
      </c>
      <c r="B45" s="535" t="s">
        <v>365</v>
      </c>
      <c r="C45" s="575"/>
      <c r="D45" s="1971">
        <v>33161043639</v>
      </c>
      <c r="E45" s="1971">
        <v>2034576639</v>
      </c>
    </row>
    <row r="46" spans="1:5" ht="66" x14ac:dyDescent="0.25">
      <c r="A46" s="513" t="s">
        <v>346</v>
      </c>
      <c r="B46" s="447" t="s">
        <v>313</v>
      </c>
      <c r="C46" s="482"/>
      <c r="D46" s="1972"/>
      <c r="E46" s="1972"/>
    </row>
    <row r="47" spans="1:5" ht="66" x14ac:dyDescent="0.25">
      <c r="A47" s="525" t="s">
        <v>357</v>
      </c>
      <c r="B47" s="557" t="s">
        <v>387</v>
      </c>
      <c r="C47" s="567"/>
      <c r="D47" s="1973"/>
      <c r="E47" s="1973"/>
    </row>
    <row r="48" spans="1:5" ht="49.5" x14ac:dyDescent="0.25">
      <c r="A48" s="514" t="s">
        <v>347</v>
      </c>
      <c r="B48" s="448" t="s">
        <v>314</v>
      </c>
      <c r="C48" s="483"/>
      <c r="D48" s="1973">
        <v>10187045889</v>
      </c>
      <c r="E48" s="1973">
        <v>10047609119</v>
      </c>
    </row>
    <row r="51" spans="4:4" x14ac:dyDescent="0.25">
      <c r="D51" s="1940"/>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E48"/>
  <sheetViews>
    <sheetView workbookViewId="0"/>
  </sheetViews>
  <sheetFormatPr defaultRowHeight="15" x14ac:dyDescent="0.25"/>
  <cols>
    <col min="1" max="1" width="1" style="40" bestFit="1" customWidth="1"/>
    <col min="2" max="5" width="1" bestFit="1" customWidth="1"/>
  </cols>
  <sheetData>
    <row r="3" spans="1:5" x14ac:dyDescent="0.25">
      <c r="A3" t="str">
        <f>CONCATENATE(286602,",",ROW(CCTTCR_06609!A3),"|",COLUMN(CCTTCR_06609!A3),",0",",0")</f>
        <v>286602,3|1,0,0</v>
      </c>
      <c r="B3" t="str">
        <f>CONCATENATE(286572,",",ROW(CCTTCR_06609!B3),"|",COLUMN(CCTTCR_06609!B3),",0",",0")</f>
        <v>286572,3|2,0,0</v>
      </c>
      <c r="C3" t="str">
        <f>CONCATENATE(286673,",",ROW(CCTTCR_06609!C3),"|",COLUMN(CCTTCR_06609!C3),",0",",0")</f>
        <v>286673,3|3,0,0</v>
      </c>
      <c r="D3" t="str">
        <f>CONCATENATE(286678,",",ROW(CCTTCR_06609!D3),"|",COLUMN(CCTTCR_06609!D3),",0",",0")</f>
        <v>286678,3|4,0,0</v>
      </c>
      <c r="E3" t="str">
        <f>CONCATENATE(286679,",",ROW(CCTTCR_06609!E3),"|",COLUMN(CCTTCR_06609!E3),",0",",0")</f>
        <v>286679,3|5,0,0</v>
      </c>
    </row>
    <row r="4" spans="1:5" x14ac:dyDescent="0.25">
      <c r="A4" t="str">
        <f>CONCATENATE(286603,",",ROW(CCTTCR_06609!A4),"|",COLUMN(CCTTCR_06609!A4),",0",",0")</f>
        <v>286603,4|1,0,0</v>
      </c>
      <c r="B4" t="s">
        <v>5</v>
      </c>
      <c r="C4" t="str">
        <f>CONCATENATE(286751,",",ROW(CCTTCR_06609!C4),"|",COLUMN(CCTTCR_06609!C4),",0",",0")</f>
        <v>286751,4|3,0,0</v>
      </c>
      <c r="D4" t="str">
        <f>CONCATENATE(286630,",",ROW(CCTTCR_06609!D4),"|",COLUMN(CCTTCR_06609!D4),",0",",0")</f>
        <v>286630,4|4,0,0</v>
      </c>
      <c r="E4" t="str">
        <f>CONCATENATE(286699,",",ROW(CCTTCR_06609!E4),"|",COLUMN(CCTTCR_06609!E4),",0",",0")</f>
        <v>286699,4|5,0,0</v>
      </c>
    </row>
    <row r="5" spans="1:5" x14ac:dyDescent="0.25">
      <c r="A5" t="str">
        <f>CONCATENATE(286580,",",ROW(CCTTCR_06609!A5),"|",COLUMN(CCTTCR_06609!A5),",0",",0")</f>
        <v>286580,5|1,0,0</v>
      </c>
      <c r="B5" t="str">
        <f>CONCATENATE(286559,",",ROW(CCTTCR_06609!B5),"|",COLUMN(CCTTCR_06609!B5),",0",",0")</f>
        <v>286559,5|2,0,0</v>
      </c>
      <c r="C5" t="str">
        <f>CONCATENATE(286737,",",ROW(CCTTCR_06609!C5),"|",COLUMN(CCTTCR_06609!C5),",0",",0")</f>
        <v>286737,5|3,0,0</v>
      </c>
      <c r="D5" t="str">
        <f>CONCATENATE(286614,",",ROW(CCTTCR_06609!D5),"|",COLUMN(CCTTCR_06609!D5),",0",",0")</f>
        <v>286614,5|4,0,0</v>
      </c>
      <c r="E5" t="str">
        <f>CONCATENATE(286640,",",ROW(CCTTCR_06609!E5),"|",COLUMN(CCTTCR_06609!E5),",0",",0")</f>
        <v>286640,5|5,0,0</v>
      </c>
    </row>
    <row r="6" spans="1:5" x14ac:dyDescent="0.25">
      <c r="A6" t="str">
        <f>CONCATENATE(286685,",",ROW(CCTTCR_06609!A6),"|",COLUMN(CCTTCR_06609!A6),",0",",0")</f>
        <v>286685,6|1,0,0</v>
      </c>
      <c r="B6" t="str">
        <f>CONCATENATE(286574,",",ROW(CCTTCR_06609!B6),"|",COLUMN(CCTTCR_06609!B6),",0",",0")</f>
        <v>286574,6|2,0,0</v>
      </c>
      <c r="C6" t="str">
        <f>CONCATENATE(286542,",",ROW(CCTTCR_06609!C6),"|",COLUMN(CCTTCR_06609!C6),",0",",0")</f>
        <v>286542,6|3,0,0</v>
      </c>
      <c r="D6" t="str">
        <f>CONCATENATE(286646,",",ROW(CCTTCR_06609!D6),"|",COLUMN(CCTTCR_06609!D6),",0",",0")</f>
        <v>286646,6|4,0,0</v>
      </c>
      <c r="E6" t="str">
        <f>CONCATENATE(286703,",",ROW(CCTTCR_06609!E6),"|",COLUMN(CCTTCR_06609!E6),",0",",0")</f>
        <v>286703,6|5,0,0</v>
      </c>
    </row>
    <row r="7" spans="1:5" x14ac:dyDescent="0.25">
      <c r="A7" t="str">
        <f>CONCATENATE(286573,",",ROW(CCTTCR_06609!A7),"|",COLUMN(CCTTCR_06609!A7),",0",",0")</f>
        <v>286573,7|1,0,0</v>
      </c>
      <c r="B7" t="str">
        <f>CONCATENATE(286560,",",ROW(CCTTCR_06609!B7),"|",COLUMN(CCTTCR_06609!B7),",0",",0")</f>
        <v>286560,7|2,0,0</v>
      </c>
      <c r="C7" t="str">
        <f>CONCATENATE(286738,",",ROW(CCTTCR_06609!C7),"|",COLUMN(CCTTCR_06609!C7),",0",",0")</f>
        <v>286738,7|3,0,0</v>
      </c>
      <c r="D7" t="str">
        <f>CONCATENATE(286615,",",ROW(CCTTCR_06609!D7),"|",COLUMN(CCTTCR_06609!D7),",0",",0")</f>
        <v>286615,7|4,0,0</v>
      </c>
      <c r="E7" t="str">
        <f>CONCATENATE(286641,",",ROW(CCTTCR_06609!E7),"|",COLUMN(CCTTCR_06609!E7),",0",",0")</f>
        <v>286641,7|5,0,0</v>
      </c>
    </row>
    <row r="8" spans="1:5" x14ac:dyDescent="0.25">
      <c r="A8" t="str">
        <f>CONCATENATE(286686,",",ROW(CCTTCR_06609!A8),"|",COLUMN(CCTTCR_06609!A8),",0",",0")</f>
        <v>286686,8|1,0,0</v>
      </c>
      <c r="B8" t="str">
        <f>CONCATENATE(286561,",",ROW(CCTTCR_06609!B8),"|",COLUMN(CCTTCR_06609!B8),",0",",0")</f>
        <v>286561,8|2,0,0</v>
      </c>
      <c r="C8" t="str">
        <f>CONCATENATE(286739,",",ROW(CCTTCR_06609!C8),"|",COLUMN(CCTTCR_06609!C8),",0",",0")</f>
        <v>286739,8|3,0,0</v>
      </c>
      <c r="D8" t="str">
        <f>CONCATENATE(286616,",",ROW(CCTTCR_06609!D8),"|",COLUMN(CCTTCR_06609!D8),",0",",0")</f>
        <v>286616,8|4,0,0</v>
      </c>
      <c r="E8" t="str">
        <f>CONCATENATE(286642,",",ROW(CCTTCR_06609!E8),"|",COLUMN(CCTTCR_06609!E8),",0",",0")</f>
        <v>286642,8|5,0,0</v>
      </c>
    </row>
    <row r="9" spans="1:5" x14ac:dyDescent="0.25">
      <c r="A9" t="str">
        <f>CONCATENATE(286715,",",ROW(CCTTCR_06609!A9),"|",COLUMN(CCTTCR_06609!A9),",0",",0")</f>
        <v>286715,9|1,0,0</v>
      </c>
      <c r="B9" t="str">
        <f>CONCATENATE(286666,",",ROW(CCTTCR_06609!B9),"|",COLUMN(CCTTCR_06609!B9),",0",",0")</f>
        <v>286666,9|2,0,0</v>
      </c>
      <c r="C9" t="str">
        <f>CONCATENATE(286530,",",ROW(CCTTCR_06609!C9),"|",COLUMN(CCTTCR_06609!C9),",0",",0")</f>
        <v>286530,9|3,0,0</v>
      </c>
      <c r="D9" t="str">
        <f>CONCATENATE(286647,",",ROW(CCTTCR_06609!D9),"|",COLUMN(CCTTCR_06609!D9),",0",",0")</f>
        <v>286647,9|4,0,0</v>
      </c>
      <c r="E9" t="str">
        <f>CONCATENATE(286704,",",ROW(CCTTCR_06609!E9),"|",COLUMN(CCTTCR_06609!E9),",0",",0")</f>
        <v>286704,9|5,0,0</v>
      </c>
    </row>
    <row r="10" spans="1:5" x14ac:dyDescent="0.25">
      <c r="A10" t="str">
        <f>CONCATENATE(286604,",",ROW(CCTTCR_06609!A10),"|",COLUMN(CCTTCR_06609!A10),",0",",0")</f>
        <v>286604,10|1,0,0</v>
      </c>
      <c r="B10" t="str">
        <f>CONCATENATE(286563,",",ROW(CCTTCR_06609!B10),"|",COLUMN(CCTTCR_06609!B10),",0",",0")</f>
        <v>286563,10|2,0,0</v>
      </c>
      <c r="C10" t="str">
        <f>CONCATENATE(286752,",",ROW(CCTTCR_06609!C10),"|",COLUMN(CCTTCR_06609!C10),",0",",0")</f>
        <v>286752,10|3,0,0</v>
      </c>
      <c r="D10" t="str">
        <f>CONCATENATE(286643,",",ROW(CCTTCR_06609!D10),"|",COLUMN(CCTTCR_06609!D10),",0",",0")</f>
        <v>286643,10|4,0,0</v>
      </c>
      <c r="E10" t="str">
        <f>CONCATENATE(286700,",",ROW(CCTTCR_06609!E10),"|",COLUMN(CCTTCR_06609!E10),",0",",0")</f>
        <v>286700,10|5,0,0</v>
      </c>
    </row>
    <row r="11" spans="1:5" x14ac:dyDescent="0.25">
      <c r="A11" t="str">
        <f>CONCATENATE(286676,",",ROW(CCTTCR_06609!A11),"|",COLUMN(CCTTCR_06609!A11),",0",",0")</f>
        <v>286676,11|1,0,0</v>
      </c>
      <c r="B11" t="str">
        <f>CONCATENATE(286564,",",ROW(CCTTCR_06609!B11),"|",COLUMN(CCTTCR_06609!B11),",0",",0")</f>
        <v>286564,11|2,0,0</v>
      </c>
      <c r="C11" t="str">
        <f>CONCATENATE(286531,",",ROW(CCTTCR_06609!C11),"|",COLUMN(CCTTCR_06609!C11),",0",",0")</f>
        <v>286531,11|3,0,0</v>
      </c>
      <c r="D11" t="str">
        <f>CONCATENATE(286648,",",ROW(CCTTCR_06609!D11),"|",COLUMN(CCTTCR_06609!D11),",0",",0")</f>
        <v>286648,11|4,0,0</v>
      </c>
      <c r="E11" t="str">
        <f>CONCATENATE(286665,",",ROW(CCTTCR_06609!E11),"|",COLUMN(CCTTCR_06609!E11),",0",",0")</f>
        <v>286665,11|5,0,0</v>
      </c>
    </row>
    <row r="12" spans="1:5" x14ac:dyDescent="0.25">
      <c r="A12" t="str">
        <f>CONCATENATE(286590,",",ROW(CCTTCR_06609!A12),"|",COLUMN(CCTTCR_06609!A12),",0",",0")</f>
        <v>286590,12|1,0,0</v>
      </c>
      <c r="B12" t="str">
        <f>CONCATENATE(286667,",",ROW(CCTTCR_06609!B12),"|",COLUMN(CCTTCR_06609!B12),",0",",0")</f>
        <v>286667,12|2,0,0</v>
      </c>
      <c r="C12" t="str">
        <f>CONCATENATE(286532,",",ROW(CCTTCR_06609!C12),"|",COLUMN(CCTTCR_06609!C12),",0",",0")</f>
        <v>286532,12|3,0,0</v>
      </c>
      <c r="D12" t="str">
        <f>CONCATENATE(286649,",",ROW(CCTTCR_06609!D12),"|",COLUMN(CCTTCR_06609!D12),",0",",0")</f>
        <v>286649,12|4,0,0</v>
      </c>
      <c r="E12" t="str">
        <f>CONCATENATE(286705,",",ROW(CCTTCR_06609!E12),"|",COLUMN(CCTTCR_06609!E12),",0",",0")</f>
        <v>286705,12|5,0,0</v>
      </c>
    </row>
    <row r="13" spans="1:5" x14ac:dyDescent="0.25">
      <c r="A13" t="str">
        <f>CONCATENATE(286680,",",ROW(CCTTCR_06609!A13),"|",COLUMN(CCTTCR_06609!A13),",0",",0")</f>
        <v>286680,13|1,0,0</v>
      </c>
      <c r="B13" t="str">
        <f>CONCATENATE(286585,",",ROW(CCTTCR_06609!B13),"|",COLUMN(CCTTCR_06609!B13),",0",",0")</f>
        <v>286585,13|2,0,0</v>
      </c>
      <c r="C13" t="str">
        <f>CONCATENATE(286533,",",ROW(CCTTCR_06609!C13),"|",COLUMN(CCTTCR_06609!C13),",0",",0")</f>
        <v>286533,13|3,0,0</v>
      </c>
      <c r="D13" t="str">
        <f>CONCATENATE(286650,",",ROW(CCTTCR_06609!D13),"|",COLUMN(CCTTCR_06609!D13),",0",",0")</f>
        <v>286650,13|4,0,0</v>
      </c>
      <c r="E13" t="str">
        <f>CONCATENATE(286706,",",ROW(CCTTCR_06609!E13),"|",COLUMN(CCTTCR_06609!E13),",0",",0")</f>
        <v>286706,13|5,0,0</v>
      </c>
    </row>
    <row r="14" spans="1:5" x14ac:dyDescent="0.25">
      <c r="A14" t="str">
        <f>CONCATENATE(286716,",",ROW(CCTTCR_06609!A14),"|",COLUMN(CCTTCR_06609!A14),",0",",0")</f>
        <v>286716,14|1,0,0</v>
      </c>
      <c r="B14" t="str">
        <f>CONCATENATE(286581,",",ROW(CCTTCR_06609!B14),"|",COLUMN(CCTTCR_06609!B14),",0",",0")</f>
        <v>286581,14|2,0,0</v>
      </c>
      <c r="C14" t="str">
        <f>CONCATENATE(286740,",",ROW(CCTTCR_06609!C14),"|",COLUMN(CCTTCR_06609!C14),",0",",0")</f>
        <v>286740,14|3,0,0</v>
      </c>
      <c r="D14" t="str">
        <f>CONCATENATE(286617,",",ROW(CCTTCR_06609!D14),"|",COLUMN(CCTTCR_06609!D14),",0",",0")</f>
        <v>286617,14|4,0,0</v>
      </c>
      <c r="E14" t="str">
        <f>CONCATENATE(286687,",",ROW(CCTTCR_06609!E14),"|",COLUMN(CCTTCR_06609!E14),",0",",0")</f>
        <v>286687,14|5,0,0</v>
      </c>
    </row>
    <row r="15" spans="1:5" x14ac:dyDescent="0.25">
      <c r="A15" t="str">
        <f>CONCATENATE(286605,",",ROW(CCTTCR_06609!A15),"|",COLUMN(CCTTCR_06609!A15),",0",",0")</f>
        <v>286605,15|1,0,0</v>
      </c>
      <c r="B15" t="str">
        <f>CONCATENATE(286565,",",ROW(CCTTCR_06609!B15),"|",COLUMN(CCTTCR_06609!B15),",0",",0")</f>
        <v>286565,15|2,0,0</v>
      </c>
      <c r="C15" t="str">
        <f>CONCATENATE(286753,",",ROW(CCTTCR_06609!C15),"|",COLUMN(CCTTCR_06609!C15),",0",",0")</f>
        <v>286753,15|3,0,0</v>
      </c>
      <c r="D15" t="str">
        <f>CONCATENATE(286644,",",ROW(CCTTCR_06609!D15),"|",COLUMN(CCTTCR_06609!D15),",0",",0")</f>
        <v>286644,15|4,0,0</v>
      </c>
      <c r="E15" t="str">
        <f>CONCATENATE(286701,",",ROW(CCTTCR_06609!E15),"|",COLUMN(CCTTCR_06609!E15),",0",",0")</f>
        <v>286701,15|5,0,0</v>
      </c>
    </row>
    <row r="16" spans="1:5" x14ac:dyDescent="0.25">
      <c r="A16" t="str">
        <f>CONCATENATE(286591,",",ROW(CCTTCR_06609!A16),"|",COLUMN(CCTTCR_06609!A16),",0",",0")</f>
        <v>286591,16|1,0,0</v>
      </c>
      <c r="B16" t="str">
        <f>CONCATENATE(286668,",",ROW(CCTTCR_06609!B16),"|",COLUMN(CCTTCR_06609!B16),",0",",0")</f>
        <v>286668,16|2,0,0</v>
      </c>
      <c r="C16" t="str">
        <f>CONCATENATE(286534,",",ROW(CCTTCR_06609!C16),"|",COLUMN(CCTTCR_06609!C16),",0",",0")</f>
        <v>286534,16|3,0,0</v>
      </c>
      <c r="D16" t="str">
        <f>CONCATENATE(286651,",",ROW(CCTTCR_06609!D16),"|",COLUMN(CCTTCR_06609!D16),",0",",0")</f>
        <v>286651,16|4,0,0</v>
      </c>
      <c r="E16" t="str">
        <f>CONCATENATE(286707,",",ROW(CCTTCR_06609!E16),"|",COLUMN(CCTTCR_06609!E16),",0",",0")</f>
        <v>286707,16|5,0,0</v>
      </c>
    </row>
    <row r="17" spans="1:5" x14ac:dyDescent="0.25">
      <c r="A17" t="str">
        <f>CONCATENATE(286681,",",ROW(CCTTCR_06609!A17),"|",COLUMN(CCTTCR_06609!A17),",0",",0")</f>
        <v>286681,17|1,0,0</v>
      </c>
      <c r="B17" t="str">
        <f>CONCATENATE(286669,",",ROW(CCTTCR_06609!B17),"|",COLUMN(CCTTCR_06609!B17),",0",",0")</f>
        <v>286669,17|2,0,0</v>
      </c>
      <c r="C17" t="str">
        <f>CONCATENATE(286535,",",ROW(CCTTCR_06609!C17),"|",COLUMN(CCTTCR_06609!C17),",0",",0")</f>
        <v>286535,17|3,0,0</v>
      </c>
      <c r="D17" t="str">
        <f>CONCATENATE(286652,",",ROW(CCTTCR_06609!D17),"|",COLUMN(CCTTCR_06609!D17),",0",",0")</f>
        <v>286652,17|4,0,0</v>
      </c>
      <c r="E17" t="str">
        <f>CONCATENATE(286708,",",ROW(CCTTCR_06609!E17),"|",COLUMN(CCTTCR_06609!E17),",0",",0")</f>
        <v>286708,17|5,0,0</v>
      </c>
    </row>
    <row r="18" spans="1:5" x14ac:dyDescent="0.25">
      <c r="A18" t="str">
        <f>CONCATENATE(286606,",",ROW(CCTTCR_06609!A18),"|",COLUMN(CCTTCR_06609!A18),",0",",0")</f>
        <v>286606,18|1,0,0</v>
      </c>
      <c r="B18" t="s">
        <v>5</v>
      </c>
      <c r="C18" t="str">
        <f>CONCATENATE(286754,",",ROW(CCTTCR_06609!C18),"|",COLUMN(CCTTCR_06609!C18),",0",",0")</f>
        <v>286754,18|3,0,0</v>
      </c>
      <c r="D18" t="str">
        <f>CONCATENATE(286645,",",ROW(CCTTCR_06609!D18),"|",COLUMN(CCTTCR_06609!D18),",0",",0")</f>
        <v>286645,18|4,0,0</v>
      </c>
      <c r="E18" t="str">
        <f>CONCATENATE(286702,",",ROW(CCTTCR_06609!E18),"|",COLUMN(CCTTCR_06609!E18),",0",",0")</f>
        <v>286702,18|5,0,0</v>
      </c>
    </row>
    <row r="19" spans="1:5" x14ac:dyDescent="0.25">
      <c r="A19" t="str">
        <f>CONCATENATE(286582,",",ROW(CCTTCR_06609!A19),"|",COLUMN(CCTTCR_06609!A19),",0",",0")</f>
        <v>286582,19|1,0,0</v>
      </c>
      <c r="B19" t="str">
        <f>CONCATENATE(286562,",",ROW(CCTTCR_06609!B19),"|",COLUMN(CCTTCR_06609!B19),",0",",0")</f>
        <v>286562,19|2,0,0</v>
      </c>
      <c r="C19" t="str">
        <f>CONCATENATE(286741,",",ROW(CCTTCR_06609!C19),"|",COLUMN(CCTTCR_06609!C19),",0",",0")</f>
        <v>286741,19|3,0,0</v>
      </c>
      <c r="D19" t="str">
        <f>CONCATENATE(286618,",",ROW(CCTTCR_06609!D19),"|",COLUMN(CCTTCR_06609!D19),",0",",0")</f>
        <v>286618,19|4,0,0</v>
      </c>
      <c r="E19" t="str">
        <f>CONCATENATE(286688,",",ROW(CCTTCR_06609!E19),"|",COLUMN(CCTTCR_06609!E19),",0",",0")</f>
        <v>286688,19|5,0,0</v>
      </c>
    </row>
    <row r="20" spans="1:5" x14ac:dyDescent="0.25">
      <c r="A20" t="str">
        <f>CONCATENATE(286723,",",ROW(CCTTCR_06609!A20),"|",COLUMN(CCTTCR_06609!A20),",0",",0")</f>
        <v>286723,20|1,0,0</v>
      </c>
      <c r="B20" t="str">
        <f>CONCATENATE(286586,",",ROW(CCTTCR_06609!B20),"|",COLUMN(CCTTCR_06609!B20),",0",",0")</f>
        <v>286586,20|2,0,0</v>
      </c>
      <c r="C20" t="str">
        <f>CONCATENATE(286536,",",ROW(CCTTCR_06609!C20),"|",COLUMN(CCTTCR_06609!C20),",0",",0")</f>
        <v>286536,20|3,0,0</v>
      </c>
      <c r="D20" t="str">
        <f>CONCATENATE(286653,",",ROW(CCTTCR_06609!D20),"|",COLUMN(CCTTCR_06609!D20),",0",",0")</f>
        <v>286653,20|4,0,0</v>
      </c>
      <c r="E20" t="str">
        <f>CONCATENATE(286709,",",ROW(CCTTCR_06609!E20),"|",COLUMN(CCTTCR_06609!E20),",0",",0")</f>
        <v>286709,20|5,0,0</v>
      </c>
    </row>
    <row r="21" spans="1:5" x14ac:dyDescent="0.25">
      <c r="A21" t="str">
        <f>CONCATENATE(286717,",",ROW(CCTTCR_06609!A21),"|",COLUMN(CCTTCR_06609!A21),",0",",0")</f>
        <v>286717,21|1,0,0</v>
      </c>
      <c r="B21" t="str">
        <f>CONCATENATE(286629,",",ROW(CCTTCR_06609!B21),"|",COLUMN(CCTTCR_06609!B21),",0",",0")</f>
        <v>286629,21|2,0,0</v>
      </c>
      <c r="C21" t="str">
        <f>CONCATENATE(286742,",",ROW(CCTTCR_06609!C21),"|",COLUMN(CCTTCR_06609!C21),",0",",0")</f>
        <v>286742,21|3,0,0</v>
      </c>
      <c r="D21" t="str">
        <f>CONCATENATE(286619,",",ROW(CCTTCR_06609!D21),"|",COLUMN(CCTTCR_06609!D21),",0",",0")</f>
        <v>286619,21|4,0,0</v>
      </c>
      <c r="E21" t="str">
        <f>CONCATENATE(286689,",",ROW(CCTTCR_06609!E21),"|",COLUMN(CCTTCR_06609!E21),",0",",0")</f>
        <v>286689,21|5,0,0</v>
      </c>
    </row>
    <row r="22" spans="1:5" x14ac:dyDescent="0.25">
      <c r="A22" t="str">
        <f>CONCATENATE(286724,",",ROW(CCTTCR_06609!A22),"|",COLUMN(CCTTCR_06609!A22),",0",",0")</f>
        <v>286724,22|1,0,0</v>
      </c>
      <c r="B22" t="str">
        <f>CONCATENATE(286593,",",ROW(CCTTCR_06609!B22),"|",COLUMN(CCTTCR_06609!B22),",0",",0")</f>
        <v>286593,22|2,0,0</v>
      </c>
      <c r="C22" t="str">
        <f>CONCATENATE(286743,",",ROW(CCTTCR_06609!C22),"|",COLUMN(CCTTCR_06609!C22),",0",",0")</f>
        <v>286743,22|3,0,0</v>
      </c>
      <c r="D22" t="str">
        <f>CONCATENATE(286620,",",ROW(CCTTCR_06609!D22),"|",COLUMN(CCTTCR_06609!D22),",0",",0")</f>
        <v>286620,22|4,0,0</v>
      </c>
      <c r="E22" t="str">
        <f>CONCATENATE(286690,",",ROW(CCTTCR_06609!E22),"|",COLUMN(CCTTCR_06609!E22),",0",",0")</f>
        <v>286690,22|5,0,0</v>
      </c>
    </row>
    <row r="23" spans="1:5" x14ac:dyDescent="0.25">
      <c r="A23" t="str">
        <f>CONCATENATE(286677,",",ROW(CCTTCR_06609!A23),"|",COLUMN(CCTTCR_06609!A23),",0",",0")</f>
        <v>286677,23|1,0,0</v>
      </c>
      <c r="B23" t="str">
        <f>CONCATENATE(286670,",",ROW(CCTTCR_06609!B23),"|",COLUMN(CCTTCR_06609!B23),",0",",0")</f>
        <v>286670,23|2,0,0</v>
      </c>
      <c r="C23" t="str">
        <f>CONCATENATE(286537,",",ROW(CCTTCR_06609!C23),"|",COLUMN(CCTTCR_06609!C23),",0",",0")</f>
        <v>286537,23|3,0,0</v>
      </c>
      <c r="D23" t="str">
        <f>CONCATENATE(286654,",",ROW(CCTTCR_06609!D23),"|",COLUMN(CCTTCR_06609!D23),",0",",0")</f>
        <v>286654,23|4,0,0</v>
      </c>
      <c r="E23" t="str">
        <f>CONCATENATE(286710,",",ROW(CCTTCR_06609!E23),"|",COLUMN(CCTTCR_06609!E23),",0",",0")</f>
        <v>286710,23|5,0,0</v>
      </c>
    </row>
    <row r="24" spans="1:5" x14ac:dyDescent="0.25">
      <c r="A24" t="str">
        <f>CONCATENATE(286674,",",ROW(CCTTCR_06609!A24),"|",COLUMN(CCTTCR_06609!A24),",0",",0")</f>
        <v>286674,24|1,0,0</v>
      </c>
      <c r="B24" t="str">
        <f>CONCATENATE(286594,",",ROW(CCTTCR_06609!B24),"|",COLUMN(CCTTCR_06609!B24),",0",",0")</f>
        <v>286594,24|2,0,0</v>
      </c>
      <c r="C24" t="str">
        <f>CONCATENATE(286744,",",ROW(CCTTCR_06609!C24),"|",COLUMN(CCTTCR_06609!C24),",0",",0")</f>
        <v>286744,24|3,0,0</v>
      </c>
      <c r="D24" t="str">
        <f>CONCATENATE(286621,",",ROW(CCTTCR_06609!D24),"|",COLUMN(CCTTCR_06609!D24),",0",",0")</f>
        <v>286621,24|4,0,0</v>
      </c>
      <c r="E24" t="str">
        <f>CONCATENATE(286691,",",ROW(CCTTCR_06609!E24),"|",COLUMN(CCTTCR_06609!E24),",0",",0")</f>
        <v>286691,24|5,0,0</v>
      </c>
    </row>
    <row r="25" spans="1:5" x14ac:dyDescent="0.25">
      <c r="A25" t="str">
        <f>CONCATENATE(286725,",",ROW(CCTTCR_06609!A25),"|",COLUMN(CCTTCR_06609!A25),",0",",0")</f>
        <v>286725,25|1,0,0</v>
      </c>
      <c r="B25" t="str">
        <f>CONCATENATE(286595,",",ROW(CCTTCR_06609!B25),"|",COLUMN(CCTTCR_06609!B25),",0",",0")</f>
        <v>286595,25|2,0,0</v>
      </c>
      <c r="C25" t="str">
        <f>CONCATENATE(286745,",",ROW(CCTTCR_06609!C25),"|",COLUMN(CCTTCR_06609!C25),",0",",0")</f>
        <v>286745,25|3,0,0</v>
      </c>
      <c r="D25" t="str">
        <f>CONCATENATE(286622,",",ROW(CCTTCR_06609!D25),"|",COLUMN(CCTTCR_06609!D25),",0",",0")</f>
        <v>286622,25|4,0,0</v>
      </c>
      <c r="E25" t="str">
        <f>CONCATENATE(286692,",",ROW(CCTTCR_06609!E25),"|",COLUMN(CCTTCR_06609!E25),",0",",0")</f>
        <v>286692,25|5,0,0</v>
      </c>
    </row>
    <row r="26" spans="1:5" x14ac:dyDescent="0.25">
      <c r="A26" t="str">
        <f>CONCATENATE(286683,",",ROW(CCTTCR_06609!A26),"|",COLUMN(CCTTCR_06609!A26),",0",",0")</f>
        <v>286683,26|1,0,0</v>
      </c>
      <c r="B26" t="str">
        <f>CONCATENATE(286587,",",ROW(CCTTCR_06609!B26),"|",COLUMN(CCTTCR_06609!B26),",0",",0")</f>
        <v>286587,26|2,0,0</v>
      </c>
      <c r="C26" t="str">
        <f>CONCATENATE(286538,",",ROW(CCTTCR_06609!C26),"|",COLUMN(CCTTCR_06609!C26),",0",",0")</f>
        <v>286538,26|3,0,0</v>
      </c>
      <c r="D26" t="str">
        <f>CONCATENATE(286655,",",ROW(CCTTCR_06609!D26),"|",COLUMN(CCTTCR_06609!D26),",0",",0")</f>
        <v>286655,26|4,0,0</v>
      </c>
      <c r="E26" t="str">
        <f>CONCATENATE(286711,",",ROW(CCTTCR_06609!E26),"|",COLUMN(CCTTCR_06609!E26),",0",",0")</f>
        <v>286711,26|5,0,0</v>
      </c>
    </row>
    <row r="27" spans="1:5" x14ac:dyDescent="0.25">
      <c r="A27" t="str">
        <f>CONCATENATE(286684,",",ROW(CCTTCR_06609!A27),"|",COLUMN(CCTTCR_06609!A27),",0",",0")</f>
        <v>286684,27|1,0,0</v>
      </c>
      <c r="B27" t="str">
        <f>CONCATENATE(286588,",",ROW(CCTTCR_06609!B27),"|",COLUMN(CCTTCR_06609!B27),",0",",0")</f>
        <v>286588,27|2,0,0</v>
      </c>
      <c r="C27" t="str">
        <f>CONCATENATE(286539,",",ROW(CCTTCR_06609!C27),"|",COLUMN(CCTTCR_06609!C27),",0",",0")</f>
        <v>286539,27|3,0,0</v>
      </c>
      <c r="D27" t="str">
        <f>CONCATENATE(286656,",",ROW(CCTTCR_06609!D27),"|",COLUMN(CCTTCR_06609!D27),",0",",0")</f>
        <v>286656,27|4,0,0</v>
      </c>
      <c r="E27" t="str">
        <f>CONCATENATE(286712,",",ROW(CCTTCR_06609!E27),"|",COLUMN(CCTTCR_06609!E27),",0",",0")</f>
        <v>286712,27|5,0,0</v>
      </c>
    </row>
    <row r="28" spans="1:5" x14ac:dyDescent="0.25">
      <c r="A28" t="str">
        <f>CONCATENATE(286583,",",ROW(CCTTCR_06609!A28),"|",COLUMN(CCTTCR_06609!A28),",0",",0")</f>
        <v>286583,28|1,0,0</v>
      </c>
      <c r="B28" t="str">
        <f>CONCATENATE(286596,",",ROW(CCTTCR_06609!B28),"|",COLUMN(CCTTCR_06609!B28),",0",",0")</f>
        <v>286596,28|2,0,0</v>
      </c>
      <c r="C28" t="str">
        <f>CONCATENATE(286746,",",ROW(CCTTCR_06609!C28),"|",COLUMN(CCTTCR_06609!C28),",0",",0")</f>
        <v>286746,28|3,0,0</v>
      </c>
      <c r="D28" t="str">
        <f>CONCATENATE(286623,",",ROW(CCTTCR_06609!D28),"|",COLUMN(CCTTCR_06609!D28),",0",",0")</f>
        <v>286623,28|4,0,0</v>
      </c>
      <c r="E28" t="str">
        <f>CONCATENATE(286693,",",ROW(CCTTCR_06609!E28),"|",COLUMN(CCTTCR_06609!E28),",0",",0")</f>
        <v>286693,28|5,0,0</v>
      </c>
    </row>
    <row r="29" spans="1:5" x14ac:dyDescent="0.25">
      <c r="A29" t="str">
        <f>CONCATENATE(286718,",",ROW(CCTTCR_06609!A29),"|",COLUMN(CCTTCR_06609!A29),",0",",0")</f>
        <v>286718,29|1,0,0</v>
      </c>
      <c r="B29" t="str">
        <f>CONCATENATE(286566,",",ROW(CCTTCR_06609!B29),"|",COLUMN(CCTTCR_06609!B29),",0",",0")</f>
        <v>286566,29|2,0,0</v>
      </c>
      <c r="C29" t="str">
        <f>CONCATENATE(286540,",",ROW(CCTTCR_06609!C29),"|",COLUMN(CCTTCR_06609!C29),",0",",0")</f>
        <v>286540,29|3,0,0</v>
      </c>
      <c r="D29" t="str">
        <f>CONCATENATE(286657,",",ROW(CCTTCR_06609!D29),"|",COLUMN(CCTTCR_06609!D29),",0",",0")</f>
        <v>286657,29|4,0,0</v>
      </c>
      <c r="E29" t="str">
        <f>CONCATENATE(286713,",",ROW(CCTTCR_06609!E29),"|",COLUMN(CCTTCR_06609!E29),",0",",0")</f>
        <v>286713,29|5,0,0</v>
      </c>
    </row>
    <row r="30" spans="1:5" x14ac:dyDescent="0.25">
      <c r="A30" t="str">
        <f>CONCATENATE(286719,",",ROW(CCTTCR_06609!A30),"|",COLUMN(CCTTCR_06609!A30),",0",",0")</f>
        <v>286719,30|1,0,0</v>
      </c>
      <c r="B30" t="str">
        <f>CONCATENATE(286567,",",ROW(CCTTCR_06609!B30),"|",COLUMN(CCTTCR_06609!B30),",0",",0")</f>
        <v>286567,30|2,0,0</v>
      </c>
      <c r="C30" t="str">
        <f>CONCATENATE(286541,",",ROW(CCTTCR_06609!C30),"|",COLUMN(CCTTCR_06609!C30),",0",",0")</f>
        <v>286541,30|3,0,0</v>
      </c>
      <c r="D30" t="str">
        <f>CONCATENATE(286658,",",ROW(CCTTCR_06609!D30),"|",COLUMN(CCTTCR_06609!D30),",0",",0")</f>
        <v>286658,30|4,0,0</v>
      </c>
      <c r="E30" t="str">
        <f>CONCATENATE(286714,",",ROW(CCTTCR_06609!E30),"|",COLUMN(CCTTCR_06609!E30),",0",",0")</f>
        <v>286714,30|5,0,0</v>
      </c>
    </row>
    <row r="31" spans="1:5" x14ac:dyDescent="0.25">
      <c r="A31" t="str">
        <f>CONCATENATE(286720,",",ROW(CCTTCR_06609!A31),"|",COLUMN(CCTTCR_06609!A31),",0",",0")</f>
        <v>286720,31|1,0,0</v>
      </c>
      <c r="B31" t="str">
        <f>CONCATENATE(286597,",",ROW(CCTTCR_06609!B31),"|",COLUMN(CCTTCR_06609!B31),",0",",0")</f>
        <v>286597,31|2,0,0</v>
      </c>
      <c r="C31" t="str">
        <f>CONCATENATE(286747,",",ROW(CCTTCR_06609!C31),"|",COLUMN(CCTTCR_06609!C31),",0",",0")</f>
        <v>286747,31|3,0,0</v>
      </c>
      <c r="D31" t="str">
        <f>CONCATENATE(286624,",",ROW(CCTTCR_06609!D31),"|",COLUMN(CCTTCR_06609!D31),",0",",0")</f>
        <v>286624,31|4,0,0</v>
      </c>
      <c r="E31" t="str">
        <f>CONCATENATE(286694,",",ROW(CCTTCR_06609!E31),"|",COLUMN(CCTTCR_06609!E31),",0",",0")</f>
        <v>286694,31|5,0,0</v>
      </c>
    </row>
    <row r="32" spans="1:5" x14ac:dyDescent="0.25">
      <c r="A32" t="str">
        <f>CONCATENATE(286721,",",ROW(CCTTCR_06609!A32),"|",COLUMN(CCTTCR_06609!A32),",0",",0")</f>
        <v>286721,32|1,0,0</v>
      </c>
      <c r="B32" t="str">
        <f>CONCATENATE(286589,",",ROW(CCTTCR_06609!B32),"|",COLUMN(CCTTCR_06609!B32),",0",",0")</f>
        <v>286589,32|2,0,0</v>
      </c>
      <c r="C32" t="str">
        <f>CONCATENATE(286543,",",ROW(CCTTCR_06609!C32),"|",COLUMN(CCTTCR_06609!C32),",0",",0")</f>
        <v>286543,32|3,0,0</v>
      </c>
      <c r="D32" t="str">
        <f>CONCATENATE(286659,",",ROW(CCTTCR_06609!D32),"|",COLUMN(CCTTCR_06609!D32),",0",",0")</f>
        <v>286659,32|4,0,0</v>
      </c>
      <c r="E32" t="str">
        <f>CONCATENATE(286546,",",ROW(CCTTCR_06609!E32),"|",COLUMN(CCTTCR_06609!E32),",0",",0")</f>
        <v>286546,32|5,0,0</v>
      </c>
    </row>
    <row r="33" spans="1:5" x14ac:dyDescent="0.25">
      <c r="A33" t="str">
        <f>CONCATENATE(286722,",",ROW(CCTTCR_06609!A33),"|",COLUMN(CCTTCR_06609!A33),",0",",0")</f>
        <v>286722,33|1,0,0</v>
      </c>
      <c r="B33" t="str">
        <f>CONCATENATE(286598,",",ROW(CCTTCR_06609!B33),"|",COLUMN(CCTTCR_06609!B33),",0",",0")</f>
        <v>286598,33|2,0,0</v>
      </c>
      <c r="C33" t="str">
        <f>CONCATENATE(286631,",",ROW(CCTTCR_06609!C33),"|",COLUMN(CCTTCR_06609!C33),",0",",0")</f>
        <v>286631,33|3,0,0</v>
      </c>
      <c r="D33" t="str">
        <f>CONCATENATE(286625,",",ROW(CCTTCR_06609!D33),"|",COLUMN(CCTTCR_06609!D33),",0",",0")</f>
        <v>286625,33|4,0,0</v>
      </c>
      <c r="E33" t="str">
        <f>CONCATENATE(286695,",",ROW(CCTTCR_06609!E33),"|",COLUMN(CCTTCR_06609!E33),",0",",0")</f>
        <v>286695,33|5,0,0</v>
      </c>
    </row>
    <row r="34" spans="1:5" x14ac:dyDescent="0.25">
      <c r="A34" t="str">
        <f>CONCATENATE(286750,",",ROW(CCTTCR_06609!A34),"|",COLUMN(CCTTCR_06609!A34),",0",",0")</f>
        <v>286750,34|1,0,0</v>
      </c>
      <c r="B34" t="str">
        <f>CONCATENATE(286575,",",ROW(CCTTCR_06609!B34),"|",COLUMN(CCTTCR_06609!B34),",0",",0")</f>
        <v>286575,34|2,0,0</v>
      </c>
      <c r="C34" t="str">
        <f>CONCATENATE(286544,",",ROW(CCTTCR_06609!C34),"|",COLUMN(CCTTCR_06609!C34),",0",",0")</f>
        <v>286544,34|3,0,0</v>
      </c>
      <c r="D34" t="str">
        <f>CONCATENATE(286660,",",ROW(CCTTCR_06609!D34),"|",COLUMN(CCTTCR_06609!D34),",0",",0")</f>
        <v>286660,34|4,0,0</v>
      </c>
      <c r="E34" t="str">
        <f>CONCATENATE(286547,",",ROW(CCTTCR_06609!E34),"|",COLUMN(CCTTCR_06609!E34),",0",",0")</f>
        <v>286547,34|5,0,0</v>
      </c>
    </row>
    <row r="35" spans="1:5" x14ac:dyDescent="0.25">
      <c r="A35" t="str">
        <f>CONCATENATE(286726,",",ROW(CCTTCR_06609!A35),"|",COLUMN(CCTTCR_06609!A35),",0",",0")</f>
        <v>286726,35|1,0,0</v>
      </c>
      <c r="B35" t="str">
        <f>CONCATENATE(286599,",",ROW(CCTTCR_06609!B35),"|",COLUMN(CCTTCR_06609!B35),",0",",0")</f>
        <v>286599,35|2,0,0</v>
      </c>
      <c r="C35" t="str">
        <f>CONCATENATE(286632,",",ROW(CCTTCR_06609!C35),"|",COLUMN(CCTTCR_06609!C35),",0",",0")</f>
        <v>286632,35|3,0,0</v>
      </c>
      <c r="D35" t="str">
        <f>CONCATENATE(286626,",",ROW(CCTTCR_06609!D35),"|",COLUMN(CCTTCR_06609!D35),",0",",0")</f>
        <v>286626,35|4,0,0</v>
      </c>
      <c r="E35" t="str">
        <f>CONCATENATE(286696,",",ROW(CCTTCR_06609!E35),"|",COLUMN(CCTTCR_06609!E35),",0",",0")</f>
        <v>286696,35|5,0,0</v>
      </c>
    </row>
    <row r="36" spans="1:5" x14ac:dyDescent="0.25">
      <c r="A36" t="str">
        <f>CONCATENATE(286727,",",ROW(CCTTCR_06609!A36),"|",COLUMN(CCTTCR_06609!A36),",0",",0")</f>
        <v>286727,36|1,0,0</v>
      </c>
      <c r="B36" t="str">
        <f>CONCATENATE(286576,",",ROW(CCTTCR_06609!B36),"|",COLUMN(CCTTCR_06609!B36),",0",",0")</f>
        <v>286576,36|2,0,0</v>
      </c>
      <c r="C36" t="str">
        <f>CONCATENATE(286545,",",ROW(CCTTCR_06609!C36),"|",COLUMN(CCTTCR_06609!C36),",0",",0")</f>
        <v>286545,36|3,0,0</v>
      </c>
      <c r="D36" t="str">
        <f>CONCATENATE(286682,",",ROW(CCTTCR_06609!D36),"|",COLUMN(CCTTCR_06609!D36),",0",",0")</f>
        <v>286682,36|4,0,0</v>
      </c>
      <c r="E36" t="str">
        <f>CONCATENATE(286548,",",ROW(CCTTCR_06609!E36),"|",COLUMN(CCTTCR_06609!E36),",0",",0")</f>
        <v>286548,36|5,0,0</v>
      </c>
    </row>
    <row r="37" spans="1:5" x14ac:dyDescent="0.25">
      <c r="A37" t="str">
        <f>CONCATENATE(286728,",",ROW(CCTTCR_06609!A37),"|",COLUMN(CCTTCR_06609!A37),",0",",0")</f>
        <v>286728,37|1,0,0</v>
      </c>
      <c r="B37" t="str">
        <f>CONCATENATE(286577,",",ROW(CCTTCR_06609!B37),"|",COLUMN(CCTTCR_06609!B37),",0",",0")</f>
        <v>286577,37|2,0,0</v>
      </c>
      <c r="C37" t="str">
        <f>CONCATENATE(286755,",",ROW(CCTTCR_06609!C37),"|",COLUMN(CCTTCR_06609!C37),",0",",0")</f>
        <v>286755,37|3,0,0</v>
      </c>
      <c r="D37" t="str">
        <f>CONCATENATE(286661,",",ROW(CCTTCR_06609!D37),"|",COLUMN(CCTTCR_06609!D37),",0",",0")</f>
        <v>286661,37|4,0,0</v>
      </c>
      <c r="E37" t="str">
        <f>CONCATENATE(286549,",",ROW(CCTTCR_06609!E37),"|",COLUMN(CCTTCR_06609!E37),",0",",0")</f>
        <v>286549,37|5,0,0</v>
      </c>
    </row>
    <row r="38" spans="1:5" x14ac:dyDescent="0.25">
      <c r="A38" t="str">
        <f>CONCATENATE(286552,",",ROW(CCTTCR_06609!A38),"|",COLUMN(CCTTCR_06609!A38),",0",",0")</f>
        <v>286552,38|1,0,0</v>
      </c>
      <c r="B38" t="str">
        <f>CONCATENATE(286592,",",ROW(CCTTCR_06609!B38),"|",COLUMN(CCTTCR_06609!B38),",0",",0")</f>
        <v>286592,38|2,0,0</v>
      </c>
      <c r="C38" t="str">
        <f>CONCATENATE(286730,",",ROW(CCTTCR_06609!C38),"|",COLUMN(CCTTCR_06609!C38),",0",",0")</f>
        <v>286730,38|3,0,0</v>
      </c>
      <c r="D38" t="str">
        <f>CONCATENATE(286607,",",ROW(CCTTCR_06609!D38),"|",COLUMN(CCTTCR_06609!D38),",0",",0")</f>
        <v>286607,38|4,0,0</v>
      </c>
      <c r="E38" t="str">
        <f>CONCATENATE(286633,",",ROW(CCTTCR_06609!E38),"|",COLUMN(CCTTCR_06609!E38),",0",",0")</f>
        <v>286633,38|5,0,0</v>
      </c>
    </row>
    <row r="39" spans="1:5" x14ac:dyDescent="0.25">
      <c r="A39" t="str">
        <f>CONCATENATE(286664,",",ROW(CCTTCR_06609!A39),"|",COLUMN(CCTTCR_06609!A39),",0",",0")</f>
        <v>286664,39|1,0,0</v>
      </c>
      <c r="B39" t="str">
        <f>CONCATENATE(286675,",",ROW(CCTTCR_06609!B39),"|",COLUMN(CCTTCR_06609!B39),",0",",0")</f>
        <v>286675,39|2,0,0</v>
      </c>
      <c r="C39" t="str">
        <f>CONCATENATE(286756,",",ROW(CCTTCR_06609!C39),"|",COLUMN(CCTTCR_06609!C39),",0",",0")</f>
        <v>286756,39|3,0,0</v>
      </c>
      <c r="D39" t="str">
        <f>CONCATENATE(286662,",",ROW(CCTTCR_06609!D39),"|",COLUMN(CCTTCR_06609!D39),",0",",0")</f>
        <v>286662,39|4,0,0</v>
      </c>
      <c r="E39" t="str">
        <f>CONCATENATE(286550,",",ROW(CCTTCR_06609!E39),"|",COLUMN(CCTTCR_06609!E39),",0",",0")</f>
        <v>286550,39|5,0,0</v>
      </c>
    </row>
    <row r="40" spans="1:5" x14ac:dyDescent="0.25">
      <c r="A40" t="str">
        <f>CONCATENATE(286553,",",ROW(CCTTCR_06609!A40),"|",COLUMN(CCTTCR_06609!A40),",0",",0")</f>
        <v>286553,40|1,0,0</v>
      </c>
      <c r="B40" t="str">
        <f>CONCATENATE(286568,",",ROW(CCTTCR_06609!B40),"|",COLUMN(CCTTCR_06609!B40),",0",",0")</f>
        <v>286568,40|2,0,0</v>
      </c>
      <c r="C40" t="str">
        <f>CONCATENATE(286731,",",ROW(CCTTCR_06609!C40),"|",COLUMN(CCTTCR_06609!C40),",0",",0")</f>
        <v>286731,40|3,0,0</v>
      </c>
      <c r="D40" t="str">
        <f>CONCATENATE(286608,",",ROW(CCTTCR_06609!D40),"|",COLUMN(CCTTCR_06609!D40),",0",",0")</f>
        <v>286608,40|4,0,0</v>
      </c>
      <c r="E40" t="str">
        <f>CONCATENATE(286634,",",ROW(CCTTCR_06609!E40),"|",COLUMN(CCTTCR_06609!E40),",0",",0")</f>
        <v>286634,40|5,0,0</v>
      </c>
    </row>
    <row r="41" spans="1:5" x14ac:dyDescent="0.25">
      <c r="A41" t="str">
        <f>CONCATENATE(286554,",",ROW(CCTTCR_06609!A41),"|",COLUMN(CCTTCR_06609!A41),",0",",0")</f>
        <v>286554,41|1,0,0</v>
      </c>
      <c r="B41" t="str">
        <f>CONCATENATE(286570,",",ROW(CCTTCR_06609!B41),"|",COLUMN(CCTTCR_06609!B41),",0",",0")</f>
        <v>286570,41|2,0,0</v>
      </c>
      <c r="C41" t="str">
        <f>CONCATENATE(286732,",",ROW(CCTTCR_06609!C41),"|",COLUMN(CCTTCR_06609!C41),",0",",0")</f>
        <v>286732,41|3,0,0</v>
      </c>
      <c r="D41" t="str">
        <f>CONCATENATE(286609,",",ROW(CCTTCR_06609!D41),"|",COLUMN(CCTTCR_06609!D41),",0",",0")</f>
        <v>286609,41|4,0,0</v>
      </c>
      <c r="E41" t="str">
        <f>CONCATENATE(286635,",",ROW(CCTTCR_06609!E41),"|",COLUMN(CCTTCR_06609!E41),",0",",0")</f>
        <v>286635,41|5,0,0</v>
      </c>
    </row>
    <row r="42" spans="1:5" x14ac:dyDescent="0.25">
      <c r="A42" t="str">
        <f>CONCATENATE(286584,",",ROW(CCTTCR_06609!A42),"|",COLUMN(CCTTCR_06609!A42),",0",",0")</f>
        <v>286584,42|1,0,0</v>
      </c>
      <c r="B42" t="str">
        <f>CONCATENATE(286600,",",ROW(CCTTCR_06609!B42),"|",COLUMN(CCTTCR_06609!B42),",0",",0")</f>
        <v>286600,42|2,0,0</v>
      </c>
      <c r="C42" t="str">
        <f>CONCATENATE(286748,",",ROW(CCTTCR_06609!C42),"|",COLUMN(CCTTCR_06609!C42),",0",",0")</f>
        <v>286748,42|3,0,0</v>
      </c>
      <c r="D42" t="str">
        <f>CONCATENATE(286627,",",ROW(CCTTCR_06609!D42),"|",COLUMN(CCTTCR_06609!D42),",0",",0")</f>
        <v>286627,42|4,0,0</v>
      </c>
      <c r="E42" t="str">
        <f>CONCATENATE(286697,",",ROW(CCTTCR_06609!E42),"|",COLUMN(CCTTCR_06609!E42),",0",",0")</f>
        <v>286697,42|5,0,0</v>
      </c>
    </row>
    <row r="43" spans="1:5" x14ac:dyDescent="0.25">
      <c r="A43" t="str">
        <f>CONCATENATE(286555,",",ROW(CCTTCR_06609!A43),"|",COLUMN(CCTTCR_06609!A43),",0",",0")</f>
        <v>286555,43|1,0,0</v>
      </c>
      <c r="B43" t="str">
        <f>CONCATENATE(286571,",",ROW(CCTTCR_06609!B43),"|",COLUMN(CCTTCR_06609!B43),",0",",0")</f>
        <v>286571,43|2,0,0</v>
      </c>
      <c r="C43" t="str">
        <f>CONCATENATE(286733,",",ROW(CCTTCR_06609!C43),"|",COLUMN(CCTTCR_06609!C43),",0",",0")</f>
        <v>286733,43|3,0,0</v>
      </c>
      <c r="D43" t="str">
        <f>CONCATENATE(286610,",",ROW(CCTTCR_06609!D43),"|",COLUMN(CCTTCR_06609!D43),",0",",0")</f>
        <v>286610,43|4,0,0</v>
      </c>
      <c r="E43" t="str">
        <f>CONCATENATE(286636,",",ROW(CCTTCR_06609!E43),"|",COLUMN(CCTTCR_06609!E43),",0",",0")</f>
        <v>286636,43|5,0,0</v>
      </c>
    </row>
    <row r="44" spans="1:5" x14ac:dyDescent="0.25">
      <c r="A44" t="str">
        <f>CONCATENATE(286556,",",ROW(CCTTCR_06609!A44),"|",COLUMN(CCTTCR_06609!A44),",0",",0")</f>
        <v>286556,44|1,0,0</v>
      </c>
      <c r="B44" t="str">
        <f>CONCATENATE(286578,",",ROW(CCTTCR_06609!B44),"|",COLUMN(CCTTCR_06609!B44),",0",",0")</f>
        <v>286578,44|2,0,0</v>
      </c>
      <c r="C44" t="str">
        <f>CONCATENATE(286734,",",ROW(CCTTCR_06609!C44),"|",COLUMN(CCTTCR_06609!C44),",0",",0")</f>
        <v>286734,44|3,0,0</v>
      </c>
      <c r="D44" t="str">
        <f>CONCATENATE(286611,",",ROW(CCTTCR_06609!D44),"|",COLUMN(CCTTCR_06609!D44),",0",",0")</f>
        <v>286611,44|4,0,0</v>
      </c>
      <c r="E44" t="str">
        <f>CONCATENATE(286637,",",ROW(CCTTCR_06609!E44),"|",COLUMN(CCTTCR_06609!E44),",0",",0")</f>
        <v>286637,44|5,0,0</v>
      </c>
    </row>
    <row r="45" spans="1:5" x14ac:dyDescent="0.25">
      <c r="A45" t="str">
        <f>CONCATENATE(286729,",",ROW(CCTTCR_06609!A45),"|",COLUMN(CCTTCR_06609!A45),",0",",0")</f>
        <v>286729,45|1,0,0</v>
      </c>
      <c r="B45" t="str">
        <f>CONCATENATE(286579,",",ROW(CCTTCR_06609!B45),"|",COLUMN(CCTTCR_06609!B45),",0",",0")</f>
        <v>286579,45|2,0,0</v>
      </c>
      <c r="C45" t="str">
        <f>CONCATENATE(286757,",",ROW(CCTTCR_06609!C45),"|",COLUMN(CCTTCR_06609!C45),",0",",0")</f>
        <v>286757,45|3,0,0</v>
      </c>
      <c r="D45" t="str">
        <f>CONCATENATE(286663,",",ROW(CCTTCR_06609!D45),"|",COLUMN(CCTTCR_06609!D45),",0",",0")</f>
        <v>286663,45|4,0,0</v>
      </c>
      <c r="E45" t="str">
        <f>CONCATENATE(286551,",",ROW(CCTTCR_06609!E45),"|",COLUMN(CCTTCR_06609!E45),",0",",0")</f>
        <v>286551,45|5,0,0</v>
      </c>
    </row>
    <row r="46" spans="1:5" x14ac:dyDescent="0.25">
      <c r="A46" t="str">
        <f>CONCATENATE(286557,",",ROW(CCTTCR_06609!A46),"|",COLUMN(CCTTCR_06609!A46),",0",",0")</f>
        <v>286557,46|1,0,0</v>
      </c>
      <c r="B46" t="str">
        <f>CONCATENATE(286671,",",ROW(CCTTCR_06609!B46),"|",COLUMN(CCTTCR_06609!B46),",0",",0")</f>
        <v>286671,46|2,0,0</v>
      </c>
      <c r="C46" t="str">
        <f>CONCATENATE(286735,",",ROW(CCTTCR_06609!C46),"|",COLUMN(CCTTCR_06609!C46),",0",",0")</f>
        <v>286735,46|3,0,0</v>
      </c>
      <c r="D46" t="str">
        <f>CONCATENATE(286612,",",ROW(CCTTCR_06609!D46),"|",COLUMN(CCTTCR_06609!D46),",0",",0")</f>
        <v>286612,46|4,0,0</v>
      </c>
      <c r="E46" t="str">
        <f>CONCATENATE(286638,",",ROW(CCTTCR_06609!E46),"|",COLUMN(CCTTCR_06609!E46),",0",",0")</f>
        <v>286638,46|5,0,0</v>
      </c>
    </row>
    <row r="47" spans="1:5" x14ac:dyDescent="0.25">
      <c r="A47" t="str">
        <f>CONCATENATE(286569,",",ROW(CCTTCR_06609!A47),"|",COLUMN(CCTTCR_06609!A47),",0",",0")</f>
        <v>286569,47|1,0,0</v>
      </c>
      <c r="B47" t="str">
        <f>CONCATENATE(286601,",",ROW(CCTTCR_06609!B47),"|",COLUMN(CCTTCR_06609!B47),",0",",0")</f>
        <v>286601,47|2,0,0</v>
      </c>
      <c r="C47" t="str">
        <f>CONCATENATE(286749,",",ROW(CCTTCR_06609!C47),"|",COLUMN(CCTTCR_06609!C47),",0",",0")</f>
        <v>286749,47|3,0,0</v>
      </c>
      <c r="D47" t="str">
        <f>CONCATENATE(286628,",",ROW(CCTTCR_06609!D47),"|",COLUMN(CCTTCR_06609!D47),",0",",0")</f>
        <v>286628,47|4,0,0</v>
      </c>
      <c r="E47" t="str">
        <f>CONCATENATE(286698,",",ROW(CCTTCR_06609!E47),"|",COLUMN(CCTTCR_06609!E47),",0",",0")</f>
        <v>286698,47|5,0,0</v>
      </c>
    </row>
    <row r="48" spans="1:5" x14ac:dyDescent="0.25">
      <c r="A48" t="str">
        <f>CONCATENATE(286558,",",ROW(CCTTCR_06609!A48),"|",COLUMN(CCTTCR_06609!A48),",0",",0")</f>
        <v>286558,48|1,0,0</v>
      </c>
      <c r="B48" t="str">
        <f>CONCATENATE(286672,",",ROW(CCTTCR_06609!B48),"|",COLUMN(CCTTCR_06609!B48),",0",",0")</f>
        <v>286672,48|2,0,0</v>
      </c>
      <c r="C48" t="str">
        <f>CONCATENATE(286736,",",ROW(CCTTCR_06609!C48),"|",COLUMN(CCTTCR_06609!C48),",0",",0")</f>
        <v>286736,48|3,0,0</v>
      </c>
      <c r="D48" t="str">
        <f>CONCATENATE(286613,",",ROW(CCTTCR_06609!D48),"|",COLUMN(CCTTCR_06609!D48),",0",",0")</f>
        <v>286613,48|4,0,0</v>
      </c>
      <c r="E48" t="str">
        <f>CONCATENATE(286639,",",ROW(CCTTCR_06609!E48),"|",COLUMN(CCTTCR_06609!E48),",0",",0")</f>
        <v>286639,48|5,0,0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4"/>
  <sheetViews>
    <sheetView topLeftCell="A15" zoomScale="85" zoomScaleNormal="85" workbookViewId="0">
      <selection sqref="A1:E1"/>
    </sheetView>
  </sheetViews>
  <sheetFormatPr defaultRowHeight="15" x14ac:dyDescent="0.25"/>
  <cols>
    <col min="1" max="1" width="31.28515625" bestFit="1" customWidth="1"/>
    <col min="2" max="2" width="12.7109375" bestFit="1" customWidth="1"/>
    <col min="3" max="3" width="16.7109375" bestFit="1" customWidth="1"/>
    <col min="4" max="4" width="25" bestFit="1" customWidth="1"/>
    <col min="5" max="5" width="23.140625" bestFit="1" customWidth="1"/>
  </cols>
  <sheetData>
    <row r="1" spans="1:5" ht="20.25" x14ac:dyDescent="0.3">
      <c r="A1" s="1994" t="s">
        <v>13</v>
      </c>
      <c r="B1" s="1994" t="s">
        <v>5</v>
      </c>
      <c r="C1" s="1994" t="s">
        <v>5</v>
      </c>
      <c r="D1" s="1994" t="s">
        <v>5</v>
      </c>
      <c r="E1" s="1994" t="s">
        <v>5</v>
      </c>
    </row>
    <row r="2" spans="1:5" ht="18.75" x14ac:dyDescent="0.3">
      <c r="A2" s="1979" t="s">
        <v>784</v>
      </c>
      <c r="B2" s="1995" t="s">
        <v>5</v>
      </c>
      <c r="C2" s="1995" t="s">
        <v>5</v>
      </c>
      <c r="D2" s="1995" t="s">
        <v>5</v>
      </c>
      <c r="E2" s="1995" t="s">
        <v>5</v>
      </c>
    </row>
    <row r="3" spans="1:5" ht="18.75" x14ac:dyDescent="0.3">
      <c r="A3" s="1995" t="s">
        <v>397</v>
      </c>
      <c r="B3" s="1995" t="s">
        <v>5</v>
      </c>
      <c r="C3" s="1995" t="s">
        <v>5</v>
      </c>
      <c r="D3" s="1995" t="s">
        <v>5</v>
      </c>
      <c r="E3" s="1995" t="s">
        <v>5</v>
      </c>
    </row>
    <row r="4" spans="1:5" ht="18.75" x14ac:dyDescent="0.25">
      <c r="A4" s="577" t="s">
        <v>394</v>
      </c>
      <c r="B4" s="577" t="s">
        <v>39</v>
      </c>
      <c r="C4" s="577" t="s">
        <v>40</v>
      </c>
      <c r="D4" s="577" t="s">
        <v>395</v>
      </c>
      <c r="E4" s="577" t="s">
        <v>396</v>
      </c>
    </row>
    <row r="5" spans="1:5" ht="16.5" x14ac:dyDescent="0.25">
      <c r="A5" s="726" t="s">
        <v>186</v>
      </c>
      <c r="B5" s="721" t="s">
        <v>144</v>
      </c>
      <c r="C5" s="699" t="s">
        <v>116</v>
      </c>
      <c r="D5" s="722" t="s">
        <v>286</v>
      </c>
      <c r="E5" s="700" t="s">
        <v>117</v>
      </c>
    </row>
    <row r="6" spans="1:5" ht="33" x14ac:dyDescent="0.25">
      <c r="A6" s="622" t="s">
        <v>420</v>
      </c>
      <c r="B6" s="705"/>
      <c r="C6" s="655"/>
      <c r="D6" s="1813"/>
      <c r="E6" s="1814"/>
    </row>
    <row r="7" spans="1:5" ht="66" x14ac:dyDescent="0.25">
      <c r="A7" s="701" t="s">
        <v>474</v>
      </c>
      <c r="B7" s="785" t="s">
        <v>286</v>
      </c>
      <c r="C7" s="635"/>
      <c r="D7" s="1815">
        <v>197915130547</v>
      </c>
      <c r="E7" s="1815">
        <v>185911798747</v>
      </c>
    </row>
    <row r="8" spans="1:5" ht="49.5" x14ac:dyDescent="0.25">
      <c r="A8" s="777" t="s">
        <v>504</v>
      </c>
      <c r="B8" s="578" t="s">
        <v>398</v>
      </c>
      <c r="C8" s="671"/>
      <c r="D8" s="1816">
        <v>80963519756</v>
      </c>
      <c r="E8" s="1816">
        <v>52622524659</v>
      </c>
    </row>
    <row r="9" spans="1:5" ht="33" x14ac:dyDescent="0.25">
      <c r="A9" s="623" t="s">
        <v>421</v>
      </c>
      <c r="B9" s="641" t="s">
        <v>429</v>
      </c>
      <c r="C9" s="672"/>
      <c r="D9" s="1817">
        <v>72369190137</v>
      </c>
      <c r="E9" s="1817">
        <v>44113830678</v>
      </c>
    </row>
    <row r="10" spans="1:5" ht="49.5" x14ac:dyDescent="0.25">
      <c r="A10" s="727" t="s">
        <v>491</v>
      </c>
      <c r="B10" s="682" t="s">
        <v>461</v>
      </c>
      <c r="C10" s="730"/>
      <c r="D10" s="1818">
        <v>44582420654</v>
      </c>
      <c r="E10" s="1818">
        <v>89175443410</v>
      </c>
    </row>
    <row r="11" spans="1:5" ht="66" x14ac:dyDescent="0.25">
      <c r="A11" s="778" t="s">
        <v>505</v>
      </c>
      <c r="B11" s="663" t="s">
        <v>319</v>
      </c>
      <c r="C11" s="731"/>
      <c r="D11" s="1819">
        <v>74366854927</v>
      </c>
      <c r="E11" s="1819">
        <v>52740536523</v>
      </c>
    </row>
    <row r="12" spans="1:5" ht="66" x14ac:dyDescent="0.25">
      <c r="A12" s="594" t="s">
        <v>409</v>
      </c>
      <c r="B12" s="579" t="s">
        <v>399</v>
      </c>
      <c r="C12" s="732"/>
      <c r="D12" s="1820">
        <v>433054020409</v>
      </c>
      <c r="E12" s="1820">
        <v>410734387121</v>
      </c>
    </row>
    <row r="13" spans="1:5" ht="49.5" x14ac:dyDescent="0.25">
      <c r="A13" s="702" t="s">
        <v>475</v>
      </c>
      <c r="B13" s="580" t="s">
        <v>349</v>
      </c>
      <c r="C13" s="733"/>
      <c r="D13" s="1821">
        <v>6282879000</v>
      </c>
      <c r="E13" s="1821">
        <v>8838018000</v>
      </c>
    </row>
    <row r="14" spans="1:5" ht="49.5" x14ac:dyDescent="0.25">
      <c r="A14" s="703" t="s">
        <v>476</v>
      </c>
      <c r="B14" s="683" t="s">
        <v>308</v>
      </c>
      <c r="C14" s="734"/>
      <c r="D14" s="1822"/>
      <c r="E14" s="1822"/>
    </row>
    <row r="15" spans="1:5" ht="49.5" x14ac:dyDescent="0.25">
      <c r="A15" s="624" t="s">
        <v>422</v>
      </c>
      <c r="B15" s="706" t="s">
        <v>478</v>
      </c>
      <c r="C15" s="735"/>
      <c r="D15" s="1822">
        <v>374328183924</v>
      </c>
      <c r="E15" s="1822">
        <v>318591880347</v>
      </c>
    </row>
    <row r="16" spans="1:5" ht="66" x14ac:dyDescent="0.25">
      <c r="A16" s="774" t="s">
        <v>501</v>
      </c>
      <c r="B16" s="642" t="s">
        <v>430</v>
      </c>
      <c r="C16" s="736"/>
      <c r="D16" s="1823">
        <v>42324436</v>
      </c>
      <c r="E16" s="1823"/>
    </row>
    <row r="17" spans="1:5" ht="49.5" x14ac:dyDescent="0.25">
      <c r="A17" s="625" t="s">
        <v>423</v>
      </c>
      <c r="B17" s="707" t="s">
        <v>479</v>
      </c>
      <c r="C17" s="737"/>
      <c r="D17" s="1824"/>
      <c r="E17" s="1824"/>
    </row>
    <row r="18" spans="1:5" ht="49.5" x14ac:dyDescent="0.25">
      <c r="A18" s="723" t="s">
        <v>488</v>
      </c>
      <c r="B18" s="708" t="s">
        <v>480</v>
      </c>
      <c r="C18" s="738"/>
      <c r="D18" s="1825">
        <v>8318815614</v>
      </c>
      <c r="E18" s="1825">
        <v>6856900965</v>
      </c>
    </row>
    <row r="19" spans="1:5" ht="49.5" x14ac:dyDescent="0.25">
      <c r="A19" s="724" t="s">
        <v>489</v>
      </c>
      <c r="B19" s="664" t="s">
        <v>447</v>
      </c>
      <c r="C19" s="739"/>
      <c r="D19" s="1826">
        <v>4593454546</v>
      </c>
      <c r="E19" s="1826">
        <v>3473613635</v>
      </c>
    </row>
    <row r="20" spans="1:5" ht="33" x14ac:dyDescent="0.25">
      <c r="A20" s="779" t="s">
        <v>506</v>
      </c>
      <c r="B20" s="581" t="s">
        <v>400</v>
      </c>
      <c r="C20" s="602"/>
      <c r="D20" s="1827">
        <v>2338368804</v>
      </c>
      <c r="E20" s="1827">
        <v>3408700771</v>
      </c>
    </row>
    <row r="21" spans="1:5" ht="49.5" x14ac:dyDescent="0.25">
      <c r="A21" s="656" t="s">
        <v>440</v>
      </c>
      <c r="B21" s="665" t="s">
        <v>448</v>
      </c>
      <c r="C21" s="603"/>
      <c r="D21" s="1925">
        <f>+D20+D19+D17+D18+D16+D15+D14+D13+D12+D11+D7</f>
        <v>1101240032207</v>
      </c>
      <c r="E21" s="1925">
        <f>+E20+E19+E17+E18+E16+E15+E14+E13+E12+E11+E7</f>
        <v>990555836109</v>
      </c>
    </row>
    <row r="22" spans="1:5" ht="16.5" x14ac:dyDescent="0.25">
      <c r="A22" s="725" t="s">
        <v>490</v>
      </c>
      <c r="B22" s="576" t="s">
        <v>5</v>
      </c>
      <c r="C22" s="604"/>
      <c r="D22" s="1828"/>
      <c r="E22" s="1828"/>
    </row>
    <row r="23" spans="1:5" ht="66" x14ac:dyDescent="0.25">
      <c r="A23" s="783" t="s">
        <v>510</v>
      </c>
      <c r="B23" s="582" t="s">
        <v>350</v>
      </c>
      <c r="C23" s="605"/>
      <c r="D23" s="1829">
        <v>90490511706</v>
      </c>
      <c r="E23" s="1829">
        <f>+E24+E25+E26</f>
        <v>136546969499</v>
      </c>
    </row>
    <row r="24" spans="1:5" ht="49.5" x14ac:dyDescent="0.25">
      <c r="A24" s="657" t="s">
        <v>441</v>
      </c>
      <c r="B24" s="583" t="s">
        <v>372</v>
      </c>
      <c r="C24" s="606"/>
      <c r="D24" s="1830">
        <v>42685568046</v>
      </c>
      <c r="E24" s="1830">
        <v>85929246886</v>
      </c>
    </row>
    <row r="25" spans="1:5" ht="49.5" x14ac:dyDescent="0.25">
      <c r="A25" s="595" t="s">
        <v>410</v>
      </c>
      <c r="B25" s="709" t="s">
        <v>481</v>
      </c>
      <c r="C25" s="607"/>
      <c r="D25" s="1831">
        <v>47804943660</v>
      </c>
      <c r="E25" s="1831">
        <v>50617722613</v>
      </c>
    </row>
    <row r="26" spans="1:5" ht="49.5" x14ac:dyDescent="0.25">
      <c r="A26" s="780" t="s">
        <v>507</v>
      </c>
      <c r="B26" s="710" t="s">
        <v>379</v>
      </c>
      <c r="C26" s="608"/>
      <c r="D26" s="1832"/>
      <c r="E26" s="1832"/>
    </row>
    <row r="27" spans="1:5" ht="49.5" x14ac:dyDescent="0.25">
      <c r="A27" s="658" t="s">
        <v>442</v>
      </c>
      <c r="B27" s="711" t="s">
        <v>373</v>
      </c>
      <c r="C27" s="609"/>
      <c r="D27" s="1833"/>
      <c r="E27" s="1833"/>
    </row>
    <row r="28" spans="1:5" ht="82.5" x14ac:dyDescent="0.25">
      <c r="A28" s="781" t="s">
        <v>508</v>
      </c>
      <c r="B28" s="666" t="s">
        <v>383</v>
      </c>
      <c r="C28" s="610"/>
      <c r="D28" s="1834"/>
      <c r="E28" s="1834"/>
    </row>
    <row r="29" spans="1:5" ht="115.5" x14ac:dyDescent="0.25">
      <c r="A29" s="745" t="s">
        <v>499</v>
      </c>
      <c r="B29" s="668" t="s">
        <v>450</v>
      </c>
      <c r="C29" s="611"/>
      <c r="D29" s="1835">
        <v>-28458293859</v>
      </c>
      <c r="E29" s="1835">
        <v>30633501365</v>
      </c>
    </row>
    <row r="30" spans="1:5" ht="66" x14ac:dyDescent="0.25">
      <c r="A30" s="591" t="s">
        <v>406</v>
      </c>
      <c r="B30" s="669" t="s">
        <v>361</v>
      </c>
      <c r="C30" s="612"/>
      <c r="D30" s="1836"/>
      <c r="E30" s="1836"/>
    </row>
    <row r="31" spans="1:5" ht="49.5" x14ac:dyDescent="0.25">
      <c r="A31" s="592" t="s">
        <v>407</v>
      </c>
      <c r="B31" s="643" t="s">
        <v>431</v>
      </c>
      <c r="C31" s="613"/>
      <c r="D31" s="1837">
        <v>4307629448</v>
      </c>
      <c r="E31" s="1837">
        <v>3470305948</v>
      </c>
    </row>
    <row r="32" spans="1:5" ht="49.5" x14ac:dyDescent="0.25">
      <c r="A32" s="659" t="s">
        <v>443</v>
      </c>
      <c r="B32" s="584" t="s">
        <v>362</v>
      </c>
      <c r="C32" s="614"/>
      <c r="D32" s="1838">
        <v>367576283423</v>
      </c>
      <c r="E32" s="1838">
        <v>263491214050</v>
      </c>
    </row>
    <row r="33" spans="1:5" ht="66" x14ac:dyDescent="0.25">
      <c r="A33" s="596" t="s">
        <v>411</v>
      </c>
      <c r="B33" s="712" t="s">
        <v>363</v>
      </c>
      <c r="C33" s="615"/>
      <c r="D33" s="1839"/>
      <c r="E33" s="1839"/>
    </row>
    <row r="34" spans="1:5" ht="49.5" x14ac:dyDescent="0.25">
      <c r="A34" s="740" t="s">
        <v>494</v>
      </c>
      <c r="B34" s="746" t="s">
        <v>378</v>
      </c>
      <c r="C34" s="616"/>
      <c r="D34" s="1840"/>
      <c r="E34" s="1840"/>
    </row>
    <row r="35" spans="1:5" ht="49.5" x14ac:dyDescent="0.25">
      <c r="A35" s="728" t="s">
        <v>492</v>
      </c>
      <c r="B35" s="684" t="s">
        <v>358</v>
      </c>
      <c r="C35" s="617"/>
      <c r="D35" s="1841">
        <v>22789393331</v>
      </c>
      <c r="E35" s="1841">
        <v>19572919080</v>
      </c>
    </row>
    <row r="36" spans="1:5" ht="49.5" x14ac:dyDescent="0.25">
      <c r="A36" s="729" t="s">
        <v>493</v>
      </c>
      <c r="B36" s="713" t="s">
        <v>386</v>
      </c>
      <c r="C36" s="618"/>
      <c r="D36" s="1842">
        <v>9203916794</v>
      </c>
      <c r="E36" s="1842">
        <v>9079808738</v>
      </c>
    </row>
    <row r="37" spans="1:5" ht="33" x14ac:dyDescent="0.25">
      <c r="A37" s="782" t="s">
        <v>509</v>
      </c>
      <c r="B37" s="714" t="s">
        <v>365</v>
      </c>
      <c r="C37" s="626"/>
      <c r="D37" s="1843">
        <v>18316558700</v>
      </c>
      <c r="E37" s="1843">
        <v>15056454457</v>
      </c>
    </row>
    <row r="38" spans="1:5" ht="49.5" x14ac:dyDescent="0.25">
      <c r="A38" s="597" t="s">
        <v>412</v>
      </c>
      <c r="B38" s="685" t="s">
        <v>462</v>
      </c>
      <c r="C38" s="627"/>
      <c r="D38" s="1925">
        <f>+D37+D36+D35+D34+D33+D32+D31+D30+D29+D28+D27+D23</f>
        <v>484225999543</v>
      </c>
      <c r="E38" s="1925">
        <f>+E37+E36+E35+E34+E33+E32+E31+E30+E29+E28+E27+E23</f>
        <v>477851173137</v>
      </c>
    </row>
    <row r="39" spans="1:5" ht="49.5" x14ac:dyDescent="0.25">
      <c r="A39" s="660" t="s">
        <v>444</v>
      </c>
      <c r="B39" s="576" t="s">
        <v>5</v>
      </c>
      <c r="C39" s="628"/>
      <c r="D39" s="1844"/>
      <c r="E39" s="1844"/>
    </row>
    <row r="40" spans="1:5" ht="49.5" x14ac:dyDescent="0.25">
      <c r="A40" s="598" t="s">
        <v>413</v>
      </c>
      <c r="B40" s="686" t="s">
        <v>463</v>
      </c>
      <c r="C40" s="629"/>
      <c r="D40" s="1845">
        <v>3080848</v>
      </c>
      <c r="E40" s="1845">
        <v>3686342</v>
      </c>
    </row>
    <row r="41" spans="1:5" ht="49.5" x14ac:dyDescent="0.25">
      <c r="A41" s="599" t="s">
        <v>414</v>
      </c>
      <c r="B41" s="644" t="s">
        <v>432</v>
      </c>
      <c r="C41" s="631"/>
      <c r="D41" s="1846">
        <v>1915647540</v>
      </c>
      <c r="E41" s="1846">
        <v>2207894912</v>
      </c>
    </row>
    <row r="42" spans="1:5" ht="66" x14ac:dyDescent="0.25">
      <c r="A42" s="661" t="s">
        <v>445</v>
      </c>
      <c r="B42" s="670" t="s">
        <v>451</v>
      </c>
      <c r="C42" s="632"/>
      <c r="D42" s="1847"/>
      <c r="E42" s="1847"/>
    </row>
    <row r="43" spans="1:5" ht="33" x14ac:dyDescent="0.25">
      <c r="A43" s="673" t="s">
        <v>452</v>
      </c>
      <c r="B43" s="585" t="s">
        <v>401</v>
      </c>
      <c r="C43" s="633"/>
      <c r="D43" s="1848">
        <v>1489259835</v>
      </c>
      <c r="E43" s="1848"/>
    </row>
    <row r="44" spans="1:5" ht="49.5" x14ac:dyDescent="0.25">
      <c r="A44" s="600" t="s">
        <v>415</v>
      </c>
      <c r="B44" s="687" t="s">
        <v>464</v>
      </c>
      <c r="C44" s="634"/>
      <c r="D44" s="1925">
        <f>+D40+D41+D42+D43</f>
        <v>3407988223</v>
      </c>
      <c r="E44" s="1925">
        <f>+E40+E41+E42+E43</f>
        <v>2211581254</v>
      </c>
    </row>
    <row r="45" spans="1:5" ht="16.5" x14ac:dyDescent="0.25">
      <c r="A45" s="674" t="s">
        <v>453</v>
      </c>
      <c r="B45" s="576" t="s">
        <v>5</v>
      </c>
      <c r="C45" s="652"/>
      <c r="D45" s="1849"/>
      <c r="E45" s="1849"/>
    </row>
    <row r="46" spans="1:5" ht="49.5" x14ac:dyDescent="0.25">
      <c r="A46" s="676" t="s">
        <v>455</v>
      </c>
      <c r="B46" s="586" t="s">
        <v>402</v>
      </c>
      <c r="C46" s="653"/>
      <c r="D46" s="1850">
        <v>544878</v>
      </c>
      <c r="E46" s="1850"/>
    </row>
    <row r="47" spans="1:5" ht="33" x14ac:dyDescent="0.25">
      <c r="A47" s="677" t="s">
        <v>456</v>
      </c>
      <c r="B47" s="688" t="s">
        <v>465</v>
      </c>
      <c r="C47" s="654"/>
      <c r="D47" s="1851">
        <v>169714061265</v>
      </c>
      <c r="E47" s="1851">
        <v>134926880166</v>
      </c>
    </row>
    <row r="48" spans="1:5" ht="66" x14ac:dyDescent="0.25">
      <c r="A48" s="636" t="s">
        <v>424</v>
      </c>
      <c r="B48" s="689" t="s">
        <v>466</v>
      </c>
      <c r="C48" s="630"/>
      <c r="D48" s="1852"/>
      <c r="E48" s="1852"/>
    </row>
    <row r="49" spans="1:5" ht="66" x14ac:dyDescent="0.25">
      <c r="A49" s="675" t="s">
        <v>454</v>
      </c>
      <c r="B49" s="647" t="s">
        <v>435</v>
      </c>
      <c r="C49" s="747"/>
      <c r="D49" s="1853"/>
      <c r="E49" s="1853"/>
    </row>
    <row r="50" spans="1:5" ht="33" x14ac:dyDescent="0.25">
      <c r="A50" s="678" t="s">
        <v>457</v>
      </c>
      <c r="B50" s="645" t="s">
        <v>433</v>
      </c>
      <c r="C50" s="748"/>
      <c r="D50" s="1854"/>
      <c r="E50" s="1854"/>
    </row>
    <row r="51" spans="1:5" ht="49.5" x14ac:dyDescent="0.25">
      <c r="A51" s="637" t="s">
        <v>425</v>
      </c>
      <c r="B51" s="646" t="s">
        <v>434</v>
      </c>
      <c r="C51" s="749"/>
      <c r="D51" s="1925">
        <f>+D46+D47+D48+D49+D50</f>
        <v>169714606143</v>
      </c>
      <c r="E51" s="1925">
        <f>+E46+E47+E48+E49+E50</f>
        <v>134926880166</v>
      </c>
    </row>
    <row r="52" spans="1:5" ht="33" x14ac:dyDescent="0.25">
      <c r="A52" s="695" t="s">
        <v>470</v>
      </c>
      <c r="B52" s="715" t="s">
        <v>482</v>
      </c>
      <c r="C52" s="750"/>
      <c r="D52" s="1855"/>
      <c r="E52" s="1855"/>
    </row>
    <row r="53" spans="1:5" ht="66" x14ac:dyDescent="0.25">
      <c r="A53" s="741" t="s">
        <v>495</v>
      </c>
      <c r="B53" s="587" t="s">
        <v>403</v>
      </c>
      <c r="C53" s="751"/>
      <c r="D53" s="1925">
        <v>184926668530</v>
      </c>
      <c r="E53" s="1925">
        <v>138944723607</v>
      </c>
    </row>
    <row r="54" spans="1:5" ht="66" x14ac:dyDescent="0.25">
      <c r="A54" s="651" t="s">
        <v>439</v>
      </c>
      <c r="B54" s="619" t="s">
        <v>417</v>
      </c>
      <c r="C54" s="752"/>
      <c r="D54" s="1925">
        <f>+D21-D38+D44-D51-D53</f>
        <v>265780746214</v>
      </c>
      <c r="E54" s="1925">
        <f>+E21-E38+E44-E51-E53</f>
        <v>241044640453</v>
      </c>
    </row>
    <row r="55" spans="1:5" ht="33" x14ac:dyDescent="0.25">
      <c r="A55" s="742" t="s">
        <v>496</v>
      </c>
      <c r="B55" s="576" t="s">
        <v>5</v>
      </c>
      <c r="C55" s="753"/>
      <c r="D55" s="1856"/>
      <c r="E55" s="1856"/>
    </row>
    <row r="56" spans="1:5" ht="33" x14ac:dyDescent="0.25">
      <c r="A56" s="601" t="s">
        <v>416</v>
      </c>
      <c r="B56" s="620" t="s">
        <v>418</v>
      </c>
      <c r="C56" s="754"/>
      <c r="D56" s="1857">
        <v>16057965</v>
      </c>
      <c r="E56" s="1857">
        <v>638965997</v>
      </c>
    </row>
    <row r="57" spans="1:5" ht="33" x14ac:dyDescent="0.25">
      <c r="A57" s="743" t="s">
        <v>497</v>
      </c>
      <c r="B57" s="690" t="s">
        <v>467</v>
      </c>
      <c r="C57" s="755"/>
      <c r="D57" s="1858">
        <v>736630984</v>
      </c>
      <c r="E57" s="1858">
        <v>754016714</v>
      </c>
    </row>
    <row r="58" spans="1:5" ht="49.5" x14ac:dyDescent="0.25">
      <c r="A58" s="744" t="s">
        <v>498</v>
      </c>
      <c r="B58" s="691" t="s">
        <v>468</v>
      </c>
      <c r="C58" s="756"/>
      <c r="D58" s="1925">
        <f>+D56-D57</f>
        <v>-720573019</v>
      </c>
      <c r="E58" s="1925">
        <f>+E56-E57</f>
        <v>-115050717</v>
      </c>
    </row>
    <row r="59" spans="1:5" ht="66" x14ac:dyDescent="0.25">
      <c r="A59" s="679" t="s">
        <v>458</v>
      </c>
      <c r="B59" s="692" t="s">
        <v>469</v>
      </c>
      <c r="C59" s="757"/>
      <c r="D59" s="1925">
        <f>+D58+D54</f>
        <v>265060173195</v>
      </c>
      <c r="E59" s="1925">
        <f>+E58+E54</f>
        <v>240929589736</v>
      </c>
    </row>
    <row r="60" spans="1:5" ht="33" x14ac:dyDescent="0.25">
      <c r="A60" s="680" t="s">
        <v>459</v>
      </c>
      <c r="B60" s="716" t="s">
        <v>483</v>
      </c>
      <c r="C60" s="758"/>
      <c r="D60" s="1859">
        <v>240495926718</v>
      </c>
      <c r="E60" s="1859">
        <v>247433481671</v>
      </c>
    </row>
    <row r="61" spans="1:5" ht="33" x14ac:dyDescent="0.25">
      <c r="A61" s="638" t="s">
        <v>426</v>
      </c>
      <c r="B61" s="648" t="s">
        <v>436</v>
      </c>
      <c r="C61" s="759"/>
      <c r="D61" s="1860">
        <v>24564246477</v>
      </c>
      <c r="E61" s="1860">
        <v>-6503891935</v>
      </c>
    </row>
    <row r="62" spans="1:5" ht="33" x14ac:dyDescent="0.25">
      <c r="A62" s="681" t="s">
        <v>460</v>
      </c>
      <c r="B62" s="588" t="s">
        <v>404</v>
      </c>
      <c r="C62" s="760"/>
      <c r="D62" s="1925">
        <f>+D63+D64</f>
        <v>40542790200</v>
      </c>
      <c r="E62" s="1925">
        <f>+E63+E64</f>
        <v>40975728123</v>
      </c>
    </row>
    <row r="63" spans="1:5" ht="49.5" x14ac:dyDescent="0.25">
      <c r="A63" s="696" t="s">
        <v>471</v>
      </c>
      <c r="B63" s="717" t="s">
        <v>484</v>
      </c>
      <c r="C63" s="761"/>
      <c r="D63" s="1861">
        <v>36089900213</v>
      </c>
      <c r="E63" s="1861">
        <v>41008602392</v>
      </c>
    </row>
    <row r="64" spans="1:5" ht="49.5" x14ac:dyDescent="0.25">
      <c r="A64" s="773" t="s">
        <v>500</v>
      </c>
      <c r="B64" s="621" t="s">
        <v>419</v>
      </c>
      <c r="C64" s="762"/>
      <c r="D64" s="1862">
        <v>4452889987</v>
      </c>
      <c r="E64" s="1862">
        <v>-32874269</v>
      </c>
    </row>
    <row r="65" spans="1:5" ht="66" x14ac:dyDescent="0.25">
      <c r="A65" s="775" t="s">
        <v>502</v>
      </c>
      <c r="B65" s="589" t="s">
        <v>83</v>
      </c>
      <c r="C65" s="763"/>
      <c r="D65" s="1925">
        <f>+D59-D62</f>
        <v>224517382995</v>
      </c>
      <c r="E65" s="1925">
        <f>+E59-E62</f>
        <v>199953861613</v>
      </c>
    </row>
    <row r="66" spans="1:5" ht="66" x14ac:dyDescent="0.25">
      <c r="A66" s="697" t="s">
        <v>472</v>
      </c>
      <c r="B66" s="693" t="s">
        <v>175</v>
      </c>
      <c r="C66" s="764"/>
      <c r="D66" s="1925">
        <f>+D67</f>
        <v>27044285304</v>
      </c>
      <c r="E66" s="1925">
        <f>+E67</f>
        <v>21045986880</v>
      </c>
    </row>
    <row r="67" spans="1:5" ht="66" x14ac:dyDescent="0.25">
      <c r="A67" s="776" t="s">
        <v>503</v>
      </c>
      <c r="B67" s="718" t="s">
        <v>485</v>
      </c>
      <c r="C67" s="765"/>
      <c r="D67" s="1863">
        <v>27044285304</v>
      </c>
      <c r="E67" s="1863">
        <v>21045986880</v>
      </c>
    </row>
    <row r="68" spans="1:5" ht="49.5" x14ac:dyDescent="0.25">
      <c r="A68" s="593" t="s">
        <v>408</v>
      </c>
      <c r="B68" s="649" t="s">
        <v>437</v>
      </c>
      <c r="C68" s="766"/>
      <c r="D68" s="1864"/>
      <c r="E68" s="1864"/>
    </row>
    <row r="69" spans="1:5" ht="66" x14ac:dyDescent="0.25">
      <c r="A69" s="639" t="s">
        <v>427</v>
      </c>
      <c r="B69" s="590" t="s">
        <v>405</v>
      </c>
      <c r="C69" s="767"/>
      <c r="D69" s="1865"/>
      <c r="E69" s="1865"/>
    </row>
    <row r="70" spans="1:5" ht="33" x14ac:dyDescent="0.25">
      <c r="A70" s="720" t="s">
        <v>487</v>
      </c>
      <c r="B70" s="667" t="s">
        <v>449</v>
      </c>
      <c r="C70" s="768"/>
      <c r="D70" s="1866"/>
      <c r="E70" s="1866"/>
    </row>
    <row r="71" spans="1:5" ht="49.5" x14ac:dyDescent="0.25">
      <c r="A71" s="784" t="s">
        <v>511</v>
      </c>
      <c r="B71" s="694" t="s">
        <v>215</v>
      </c>
      <c r="C71" s="769"/>
      <c r="D71" s="1925">
        <f>+D67</f>
        <v>27044285304</v>
      </c>
      <c r="E71" s="1925">
        <f>+E67</f>
        <v>21045986880</v>
      </c>
    </row>
    <row r="72" spans="1:5" ht="82.5" x14ac:dyDescent="0.25">
      <c r="A72" s="640" t="s">
        <v>428</v>
      </c>
      <c r="B72" s="719" t="s">
        <v>486</v>
      </c>
      <c r="C72" s="770"/>
      <c r="D72" s="1867"/>
      <c r="E72" s="1867"/>
    </row>
    <row r="73" spans="1:5" ht="66" x14ac:dyDescent="0.25">
      <c r="A73" s="662" t="s">
        <v>446</v>
      </c>
      <c r="B73" s="698" t="s">
        <v>473</v>
      </c>
      <c r="C73" s="771"/>
      <c r="D73" s="1868">
        <v>2661</v>
      </c>
      <c r="E73" s="1868">
        <v>2688</v>
      </c>
    </row>
    <row r="74" spans="1:5" ht="49.5" x14ac:dyDescent="0.25">
      <c r="A74" s="704" t="s">
        <v>477</v>
      </c>
      <c r="B74" s="650" t="s">
        <v>438</v>
      </c>
      <c r="C74" s="772"/>
      <c r="D74" s="1869"/>
      <c r="E74" s="1869"/>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74"/>
  <sheetViews>
    <sheetView workbookViewId="0"/>
  </sheetViews>
  <sheetFormatPr defaultRowHeight="15" x14ac:dyDescent="0.25"/>
  <cols>
    <col min="1" max="1" width="1" style="40" bestFit="1" customWidth="1"/>
    <col min="2" max="5" width="1" bestFit="1" customWidth="1"/>
  </cols>
  <sheetData>
    <row r="5" spans="1:5" x14ac:dyDescent="0.25">
      <c r="A5" t="str">
        <f>CONCATENATE(285946,",",ROW(BCKQHDR_06610!A5),"|",COLUMN(BCKQHDR_06610!A5),",0",",0")</f>
        <v>285946,5|1,0,0</v>
      </c>
      <c r="B5" t="str">
        <f>CONCATENATE(286136,",",ROW(BCKQHDR_06610!B5),"|",COLUMN(BCKQHDR_06610!B5),",0",",0")</f>
        <v>286136,5|2,0,0</v>
      </c>
      <c r="C5" t="str">
        <f>CONCATENATE(285924,",",ROW(BCKQHDR_06610!C5),"|",COLUMN(BCKQHDR_06610!C5),",0",",0")</f>
        <v>285924,5|3,0,0</v>
      </c>
      <c r="D5" t="str">
        <f>CONCATENATE(286137,",",ROW(BCKQHDR_06610!D5),"|",COLUMN(BCKQHDR_06610!D5),",0",",0")</f>
        <v>286137,5|4,0,0</v>
      </c>
      <c r="E5" t="str">
        <f>CONCATENATE(285925,",",ROW(BCKQHDR_06610!E5),"|",COLUMN(BCKQHDR_06610!E5),",0",",0")</f>
        <v>285925,5|5,0,0</v>
      </c>
    </row>
    <row r="6" spans="1:5" x14ac:dyDescent="0.25">
      <c r="A6" t="str">
        <f>CONCATENATE(286036,",",ROW(BCKQHDR_06610!A6),"|",COLUMN(BCKQHDR_06610!A6),",0",",0")</f>
        <v>286036,6|1,0,0</v>
      </c>
      <c r="B6" t="str">
        <f>CONCATENATE(285930,",",ROW(BCKQHDR_06610!B6),"|",COLUMN(BCKQHDR_06610!B6),",0",",0")</f>
        <v>285930,6|2,0,0</v>
      </c>
      <c r="C6" t="str">
        <f>CONCATENATE(286051,",",ROW(BCKQHDR_06610!C6),"|",COLUMN(BCKQHDR_06610!C6),",0",",0")</f>
        <v>286051,6|3,0,0</v>
      </c>
      <c r="D6" t="str">
        <f>CONCATENATE(285981,",",ROW(BCKQHDR_06610!D6),"|",COLUMN(BCKQHDR_06610!D6),",0",",0")</f>
        <v>285981,6|4,0,0</v>
      </c>
      <c r="E6" t="str">
        <f>CONCATENATE(285857,",",ROW(BCKQHDR_06610!E6),"|",COLUMN(BCKQHDR_06610!E6),",0",",0")</f>
        <v>285857,6|5,0,0</v>
      </c>
    </row>
    <row r="7" spans="1:5" x14ac:dyDescent="0.25">
      <c r="A7" t="str">
        <f>CONCATENATE(285926,",",ROW(BCKQHDR_06610!A7),"|",COLUMN(BCKQHDR_06610!A7),",0",",0")</f>
        <v>285926,7|1,0,0</v>
      </c>
      <c r="B7" t="str">
        <f>CONCATENATE(286163,",",ROW(BCKQHDR_06610!B7),"|",COLUMN(BCKQHDR_06610!B7),",0",",0")</f>
        <v>286163,7|2,0,0</v>
      </c>
      <c r="C7" t="str">
        <f>CONCATENATE(286009,",",ROW(BCKQHDR_06610!C7),"|",COLUMN(BCKQHDR_06610!C7),",0",",0")</f>
        <v>286009,7|3,0,0</v>
      </c>
      <c r="D7" t="str">
        <f>CONCATENATE(285885,",",ROW(BCKQHDR_06610!D7),"|",COLUMN(BCKQHDR_06610!D7),",0",",0")</f>
        <v>285885,7|4,0,0</v>
      </c>
      <c r="E7" t="str">
        <f>CONCATENATE(286091,",",ROW(BCKQHDR_06610!E7),"|",COLUMN(BCKQHDR_06610!E7),",0",",0")</f>
        <v>286091,7|5,0,0</v>
      </c>
    </row>
    <row r="8" spans="1:5" x14ac:dyDescent="0.25">
      <c r="A8" t="str">
        <f>CONCATENATE(286155,",",ROW(BCKQHDR_06610!A8),"|",COLUMN(BCKQHDR_06610!A8),",0",",0")</f>
        <v>286155,8|1,0,0</v>
      </c>
      <c r="B8" t="str">
        <f>CONCATENATE(285818,",",ROW(BCKQHDR_06610!B8),"|",COLUMN(BCKQHDR_06610!B8),",0",",0")</f>
        <v>285818,8|2,0,0</v>
      </c>
      <c r="C8" t="str">
        <f>CONCATENATE(286075,",",ROW(BCKQHDR_06610!C8),"|",COLUMN(BCKQHDR_06610!C8),",0",",0")</f>
        <v>286075,8|3,0,0</v>
      </c>
      <c r="D8" t="str">
        <f>CONCATENATE(285886,",",ROW(BCKQHDR_06610!D8),"|",COLUMN(BCKQHDR_06610!D8),",0",",0")</f>
        <v>285886,8|4,0,0</v>
      </c>
      <c r="E8" t="str">
        <f>CONCATENATE(286092,",",ROW(BCKQHDR_06610!E8),"|",COLUMN(BCKQHDR_06610!E8),",0",",0")</f>
        <v>286092,8|5,0,0</v>
      </c>
    </row>
    <row r="9" spans="1:5" x14ac:dyDescent="0.25">
      <c r="A9" t="str">
        <f>CONCATENATE(286037,",",ROW(BCKQHDR_06610!A9),"|",COLUMN(BCKQHDR_06610!A9),",0",",0")</f>
        <v>286037,9|1,0,0</v>
      </c>
      <c r="B9" t="str">
        <f>CONCATENATE(285843,",",ROW(BCKQHDR_06610!B9),"|",COLUMN(BCKQHDR_06610!B9),",0",",0")</f>
        <v>285843,9|2,0,0</v>
      </c>
      <c r="C9" t="str">
        <f>CONCATENATE(286076,",",ROW(BCKQHDR_06610!C9),"|",COLUMN(BCKQHDR_06610!C9),",0",",0")</f>
        <v>286076,9|3,0,0</v>
      </c>
      <c r="D9" t="str">
        <f>CONCATENATE(285887,",",ROW(BCKQHDR_06610!D9),"|",COLUMN(BCKQHDR_06610!D9),",0",",0")</f>
        <v>285887,9|4,0,0</v>
      </c>
      <c r="E9" t="str">
        <f>CONCATENATE(286093,",",ROW(BCKQHDR_06610!E9),"|",COLUMN(BCKQHDR_06610!E9),",0",",0")</f>
        <v>286093,9|5,0,0</v>
      </c>
    </row>
    <row r="10" spans="1:5" x14ac:dyDescent="0.25">
      <c r="A10" t="str">
        <f>CONCATENATE(285947,",",ROW(BCKQHDR_06610!A10),"|",COLUMN(BCKQHDR_06610!A10),",0",",0")</f>
        <v>285947,10|1,0,0</v>
      </c>
      <c r="B10" t="str">
        <f>CONCATENATE(285909,",",ROW(BCKQHDR_06610!B10),"|",COLUMN(BCKQHDR_06610!B10),",0",",0")</f>
        <v>285909,10|2,0,0</v>
      </c>
      <c r="C10" t="str">
        <f>CONCATENATE(285950,",",ROW(BCKQHDR_06610!C10),"|",COLUMN(BCKQHDR_06610!C10),",0",",0")</f>
        <v>285950,10|3,0,0</v>
      </c>
      <c r="D10" t="str">
        <f>CONCATENATE(285888,",",ROW(BCKQHDR_06610!D10),"|",COLUMN(BCKQHDR_06610!D10),",0",",0")</f>
        <v>285888,10|4,0,0</v>
      </c>
      <c r="E10" t="str">
        <f>CONCATENATE(286094,",",ROW(BCKQHDR_06610!E10),"|",COLUMN(BCKQHDR_06610!E10),",0",",0")</f>
        <v>286094,10|5,0,0</v>
      </c>
    </row>
    <row r="11" spans="1:5" x14ac:dyDescent="0.25">
      <c r="A11" t="str">
        <f>CONCATENATE(286156,",",ROW(BCKQHDR_06610!A11),"|",COLUMN(BCKQHDR_06610!A11),",0",",0")</f>
        <v>286156,11|1,0,0</v>
      </c>
      <c r="B11" t="str">
        <f>CONCATENATE(286067,",",ROW(BCKQHDR_06610!B11),"|",COLUMN(BCKQHDR_06610!B11),",0",",0")</f>
        <v>286067,11|2,0,0</v>
      </c>
      <c r="C11" t="str">
        <f>CONCATENATE(285951,",",ROW(BCKQHDR_06610!C11),"|",COLUMN(BCKQHDR_06610!C11),",0",",0")</f>
        <v>285951,11|3,0,0</v>
      </c>
      <c r="D11" t="str">
        <f>CONCATENATE(285889,",",ROW(BCKQHDR_06610!D11),"|",COLUMN(BCKQHDR_06610!D11),",0",",0")</f>
        <v>285889,11|4,0,0</v>
      </c>
      <c r="E11" t="str">
        <f>CONCATENATE(286095,",",ROW(BCKQHDR_06610!E11),"|",COLUMN(BCKQHDR_06610!E11),",0",",0")</f>
        <v>286095,11|5,0,0</v>
      </c>
    </row>
    <row r="12" spans="1:5" x14ac:dyDescent="0.25">
      <c r="A12" t="str">
        <f>CONCATENATE(285835,",",ROW(BCKQHDR_06610!A12),"|",COLUMN(BCKQHDR_06610!A12),",0",",0")</f>
        <v>285835,12|1,0,0</v>
      </c>
      <c r="B12" t="str">
        <f>CONCATENATE(285819,",",ROW(BCKQHDR_06610!B12),"|",COLUMN(BCKQHDR_06610!B12),",0",",0")</f>
        <v>285819,12|2,0,0</v>
      </c>
      <c r="C12" t="str">
        <f>CONCATENATE(285952,",",ROW(BCKQHDR_06610!C12),"|",COLUMN(BCKQHDR_06610!C12),",0",",0")</f>
        <v>285952,12|3,0,0</v>
      </c>
      <c r="D12" t="str">
        <f>CONCATENATE(285890,",",ROW(BCKQHDR_06610!D12),"|",COLUMN(BCKQHDR_06610!D12),",0",",0")</f>
        <v>285890,12|4,0,0</v>
      </c>
      <c r="E12" t="str">
        <f>CONCATENATE(286096,",",ROW(BCKQHDR_06610!E12),"|",COLUMN(BCKQHDR_06610!E12),",0",",0")</f>
        <v>286096,12|5,0,0</v>
      </c>
    </row>
    <row r="13" spans="1:5" x14ac:dyDescent="0.25">
      <c r="A13" t="str">
        <f>CONCATENATE(285927,",",ROW(BCKQHDR_06610!A13),"|",COLUMN(BCKQHDR_06610!A13),",0",",0")</f>
        <v>285927,13|1,0,0</v>
      </c>
      <c r="B13" t="str">
        <f>CONCATENATE(285820,",",ROW(BCKQHDR_06610!B13),"|",COLUMN(BCKQHDR_06610!B13),",0",",0")</f>
        <v>285820,13|2,0,0</v>
      </c>
      <c r="C13" t="str">
        <f>CONCATENATE(285953,",",ROW(BCKQHDR_06610!C13),"|",COLUMN(BCKQHDR_06610!C13),",0",",0")</f>
        <v>285953,13|3,0,0</v>
      </c>
      <c r="D13" t="str">
        <f>CONCATENATE(285891,",",ROW(BCKQHDR_06610!D13),"|",COLUMN(BCKQHDR_06610!D13),",0",",0")</f>
        <v>285891,13|4,0,0</v>
      </c>
      <c r="E13" t="str">
        <f>CONCATENATE(286097,",",ROW(BCKQHDR_06610!E13),"|",COLUMN(BCKQHDR_06610!E13),",0",",0")</f>
        <v>286097,13|5,0,0</v>
      </c>
    </row>
    <row r="14" spans="1:5" x14ac:dyDescent="0.25">
      <c r="A14" t="str">
        <f>CONCATENATE(285928,",",ROW(BCKQHDR_06610!A14),"|",COLUMN(BCKQHDR_06610!A14),",0",",0")</f>
        <v>285928,14|1,0,0</v>
      </c>
      <c r="B14" t="str">
        <f>CONCATENATE(285910,",",ROW(BCKQHDR_06610!B14),"|",COLUMN(BCKQHDR_06610!B14),",0",",0")</f>
        <v>285910,14|2,0,0</v>
      </c>
      <c r="C14" t="str">
        <f>CONCATENATE(285954,",",ROW(BCKQHDR_06610!C14),"|",COLUMN(BCKQHDR_06610!C14),",0",",0")</f>
        <v>285954,14|3,0,0</v>
      </c>
      <c r="D14" t="str">
        <f>CONCATENATE(285892,",",ROW(BCKQHDR_06610!D14),"|",COLUMN(BCKQHDR_06610!D14),",0",",0")</f>
        <v>285892,14|4,0,0</v>
      </c>
      <c r="E14" t="str">
        <f>CONCATENATE(286098,",",ROW(BCKQHDR_06610!E14),"|",COLUMN(BCKQHDR_06610!E14),",0",",0")</f>
        <v>286098,14|5,0,0</v>
      </c>
    </row>
    <row r="15" spans="1:5" x14ac:dyDescent="0.25">
      <c r="A15" t="str">
        <f>CONCATENATE(286038,",",ROW(BCKQHDR_06610!A15),"|",COLUMN(BCKQHDR_06610!A15),",0",",0")</f>
        <v>286038,15|1,0,0</v>
      </c>
      <c r="B15" t="str">
        <f>CONCATENATE(285931,",",ROW(BCKQHDR_06610!B15),"|",COLUMN(BCKQHDR_06610!B15),",0",",0")</f>
        <v>285931,15|2,0,0</v>
      </c>
      <c r="C15" t="str">
        <f>CONCATENATE(285955,",",ROW(BCKQHDR_06610!C15),"|",COLUMN(BCKQHDR_06610!C15),",0",",0")</f>
        <v>285955,15|3,0,0</v>
      </c>
      <c r="D15" t="str">
        <f>CONCATENATE(285893,",",ROW(BCKQHDR_06610!D15),"|",COLUMN(BCKQHDR_06610!D15),",0",",0")</f>
        <v>285893,15|4,0,0</v>
      </c>
      <c r="E15" t="str">
        <f>CONCATENATE(286099,",",ROW(BCKQHDR_06610!E15),"|",COLUMN(BCKQHDR_06610!E15),",0",",0")</f>
        <v>286099,15|5,0,0</v>
      </c>
    </row>
    <row r="16" spans="1:5" x14ac:dyDescent="0.25">
      <c r="A16" t="str">
        <f>CONCATENATE(286152,",",ROW(BCKQHDR_06610!A16),"|",COLUMN(BCKQHDR_06610!A16),",0",",0")</f>
        <v>286152,16|1,0,0</v>
      </c>
      <c r="B16" t="str">
        <f>CONCATENATE(285844,",",ROW(BCKQHDR_06610!B16),"|",COLUMN(BCKQHDR_06610!B16),",0",",0")</f>
        <v>285844,16|2,0,0</v>
      </c>
      <c r="C16" t="str">
        <f>CONCATENATE(285956,",",ROW(BCKQHDR_06610!C16),"|",COLUMN(BCKQHDR_06610!C16),",0",",0")</f>
        <v>285956,16|3,0,0</v>
      </c>
      <c r="D16" t="str">
        <f>CONCATENATE(285894,",",ROW(BCKQHDR_06610!D16),"|",COLUMN(BCKQHDR_06610!D16),",0",",0")</f>
        <v>285894,16|4,0,0</v>
      </c>
      <c r="E16" t="str">
        <f>CONCATENATE(286100,",",ROW(BCKQHDR_06610!E16),"|",COLUMN(BCKQHDR_06610!E16),",0",",0")</f>
        <v>286100,16|5,0,0</v>
      </c>
    </row>
    <row r="17" spans="1:5" x14ac:dyDescent="0.25">
      <c r="A17" t="str">
        <f>CONCATENATE(286039,",",ROW(BCKQHDR_06610!A17),"|",COLUMN(BCKQHDR_06610!A17),",0",",0")</f>
        <v>286039,17|1,0,0</v>
      </c>
      <c r="B17" t="str">
        <f>CONCATENATE(285932,",",ROW(BCKQHDR_06610!B17),"|",COLUMN(BCKQHDR_06610!B17),",0",",0")</f>
        <v>285932,17|2,0,0</v>
      </c>
      <c r="C17" t="str">
        <f>CONCATENATE(285957,",",ROW(BCKQHDR_06610!C17),"|",COLUMN(BCKQHDR_06610!C17),",0",",0")</f>
        <v>285957,17|3,0,0</v>
      </c>
      <c r="D17" t="str">
        <f>CONCATENATE(285895,",",ROW(BCKQHDR_06610!D17),"|",COLUMN(BCKQHDR_06610!D17),",0",",0")</f>
        <v>285895,17|4,0,0</v>
      </c>
      <c r="E17" t="str">
        <f>CONCATENATE(286101,",",ROW(BCKQHDR_06610!E17),"|",COLUMN(BCKQHDR_06610!E17),",0",",0")</f>
        <v>286101,17|5,0,0</v>
      </c>
    </row>
    <row r="18" spans="1:5" x14ac:dyDescent="0.25">
      <c r="A18" t="str">
        <f>CONCATENATE(286138,",",ROW(BCKQHDR_06610!A18),"|",COLUMN(BCKQHDR_06610!A18),",0",",0")</f>
        <v>286138,18|1,0,0</v>
      </c>
      <c r="B18" t="str">
        <f>CONCATENATE(285933,",",ROW(BCKQHDR_06610!B18),"|",COLUMN(BCKQHDR_06610!B18),",0",",0")</f>
        <v>285933,18|2,0,0</v>
      </c>
      <c r="C18" t="str">
        <f>CONCATENATE(285958,",",ROW(BCKQHDR_06610!C18),"|",COLUMN(BCKQHDR_06610!C18),",0",",0")</f>
        <v>285958,18|3,0,0</v>
      </c>
      <c r="D18" t="str">
        <f>CONCATENATE(285896,",",ROW(BCKQHDR_06610!D18),"|",COLUMN(BCKQHDR_06610!D18),",0",",0")</f>
        <v>285896,18|4,0,0</v>
      </c>
      <c r="E18" t="str">
        <f>CONCATENATE(286102,",",ROW(BCKQHDR_06610!E18),"|",COLUMN(BCKQHDR_06610!E18),",0",",0")</f>
        <v>286102,18|5,0,0</v>
      </c>
    </row>
    <row r="19" spans="1:5" x14ac:dyDescent="0.25">
      <c r="A19" t="str">
        <f>CONCATENATE(286139,",",ROW(BCKQHDR_06610!A19),"|",COLUMN(BCKQHDR_06610!A19),",0",",0")</f>
        <v>286139,19|1,0,0</v>
      </c>
      <c r="B19" t="str">
        <f>CONCATENATE(286068,",",ROW(BCKQHDR_06610!B19),"|",COLUMN(BCKQHDR_06610!B19),",0",",0")</f>
        <v>286068,19|2,0,0</v>
      </c>
      <c r="C19" t="str">
        <f>CONCATENATE(285959,",",ROW(BCKQHDR_06610!C19),"|",COLUMN(BCKQHDR_06610!C19),",0",",0")</f>
        <v>285959,19|3,0,0</v>
      </c>
      <c r="D19" t="str">
        <f>CONCATENATE(285897,",",ROW(BCKQHDR_06610!D19),"|",COLUMN(BCKQHDR_06610!D19),",0",",0")</f>
        <v>285897,19|4,0,0</v>
      </c>
      <c r="E19" t="str">
        <f>CONCATENATE(286103,",",ROW(BCKQHDR_06610!E19),"|",COLUMN(BCKQHDR_06610!E19),",0",",0")</f>
        <v>286103,19|5,0,0</v>
      </c>
    </row>
    <row r="20" spans="1:5" x14ac:dyDescent="0.25">
      <c r="A20" t="str">
        <f>CONCATENATE(286157,",",ROW(BCKQHDR_06610!A20),"|",COLUMN(BCKQHDR_06610!A20),",0",",0")</f>
        <v>286157,20|1,0,0</v>
      </c>
      <c r="B20" t="str">
        <f>CONCATENATE(285821,",",ROW(BCKQHDR_06610!B20),"|",COLUMN(BCKQHDR_06610!B20),",0",",0")</f>
        <v>285821,20|2,0,0</v>
      </c>
      <c r="C20" t="str">
        <f>CONCATENATE(286015,",",ROW(BCKQHDR_06610!C20),"|",COLUMN(BCKQHDR_06610!C20),",0",",0")</f>
        <v>286015,20|3,0,0</v>
      </c>
      <c r="D20" t="str">
        <f>CONCATENATE(285898,",",ROW(BCKQHDR_06610!D20),"|",COLUMN(BCKQHDR_06610!D20),",0",",0")</f>
        <v>285898,20|4,0,0</v>
      </c>
      <c r="E20" t="str">
        <f>CONCATENATE(286104,",",ROW(BCKQHDR_06610!E20),"|",COLUMN(BCKQHDR_06610!E20),",0",",0")</f>
        <v>286104,20|5,0,0</v>
      </c>
    </row>
    <row r="21" spans="1:5" x14ac:dyDescent="0.25">
      <c r="A21" t="str">
        <f>CONCATENATE(286060,",",ROW(BCKQHDR_06610!A21),"|",COLUMN(BCKQHDR_06610!A21),",0",",0")</f>
        <v>286060,21|1,0,0</v>
      </c>
      <c r="B21" t="str">
        <f>CONCATENATE(286069,",",ROW(BCKQHDR_06610!B21),"|",COLUMN(BCKQHDR_06610!B21),",0",",0")</f>
        <v>286069,21|2,0,0</v>
      </c>
      <c r="C21" t="str">
        <f>CONCATENATE(286016,",",ROW(BCKQHDR_06610!C21),"|",COLUMN(BCKQHDR_06610!C21),",0",",0")</f>
        <v>286016,21|3,0,0</v>
      </c>
      <c r="D21" t="str">
        <f>CONCATENATE(285899,",",ROW(BCKQHDR_06610!D21),"|",COLUMN(BCKQHDR_06610!D21),",0",",0")</f>
        <v>285899,21|4,0,0</v>
      </c>
      <c r="E21" t="str">
        <f>CONCATENATE(286105,",",ROW(BCKQHDR_06610!E21),"|",COLUMN(BCKQHDR_06610!E21),",0",",0")</f>
        <v>286105,21|5,0,0</v>
      </c>
    </row>
    <row r="22" spans="1:5" x14ac:dyDescent="0.25">
      <c r="A22" t="str">
        <f>CONCATENATE(286140,",",ROW(BCKQHDR_06610!A22),"|",COLUMN(BCKQHDR_06610!A22),",0",",0")</f>
        <v>286140,22|1,0,0</v>
      </c>
      <c r="B22" t="s">
        <v>5</v>
      </c>
      <c r="C22" t="str">
        <f>CONCATENATE(286017,",",ROW(BCKQHDR_06610!C22),"|",COLUMN(BCKQHDR_06610!C22),",0",",0")</f>
        <v>286017,22|3,0,0</v>
      </c>
      <c r="D22" t="str">
        <f>CONCATENATE(285900,",",ROW(BCKQHDR_06610!D22),"|",COLUMN(BCKQHDR_06610!D22),",0",",0")</f>
        <v>285900,22|4,0,0</v>
      </c>
      <c r="E22" t="str">
        <f>CONCATENATE(286106,",",ROW(BCKQHDR_06610!E22),"|",COLUMN(BCKQHDR_06610!E22),",0",",0")</f>
        <v>286106,22|5,0,0</v>
      </c>
    </row>
    <row r="23" spans="1:5" x14ac:dyDescent="0.25">
      <c r="A23" t="str">
        <f>CONCATENATE(286141,",",ROW(BCKQHDR_06610!A23),"|",COLUMN(BCKQHDR_06610!A23),",0",",0")</f>
        <v>286141,23|1,0,0</v>
      </c>
      <c r="B23" t="str">
        <f>CONCATENATE(285822,",",ROW(BCKQHDR_06610!B23),"|",COLUMN(BCKQHDR_06610!B23),",0",",0")</f>
        <v>285822,23|2,0,0</v>
      </c>
      <c r="C23" t="str">
        <f>CONCATENATE(286018,",",ROW(BCKQHDR_06610!C23),"|",COLUMN(BCKQHDR_06610!C23),",0",",0")</f>
        <v>286018,23|3,0,0</v>
      </c>
      <c r="D23" t="str">
        <f>CONCATENATE(285901,",",ROW(BCKQHDR_06610!D23),"|",COLUMN(BCKQHDR_06610!D23),",0",",0")</f>
        <v>285901,23|4,0,0</v>
      </c>
      <c r="E23" t="str">
        <f>CONCATENATE(286107,",",ROW(BCKQHDR_06610!E23),"|",COLUMN(BCKQHDR_06610!E23),",0",",0")</f>
        <v>286107,23|5,0,0</v>
      </c>
    </row>
    <row r="24" spans="1:5" x14ac:dyDescent="0.25">
      <c r="A24" t="str">
        <f>CONCATENATE(286061,",",ROW(BCKQHDR_06610!A24),"|",COLUMN(BCKQHDR_06610!A24),",0",",0")</f>
        <v>286061,24|1,0,0</v>
      </c>
      <c r="B24" t="str">
        <f>CONCATENATE(285823,",",ROW(BCKQHDR_06610!B24),"|",COLUMN(BCKQHDR_06610!B24),",0",",0")</f>
        <v>285823,24|2,0,0</v>
      </c>
      <c r="C24" t="str">
        <f>CONCATENATE(286019,",",ROW(BCKQHDR_06610!C24),"|",COLUMN(BCKQHDR_06610!C24),",0",",0")</f>
        <v>286019,24|3,0,0</v>
      </c>
      <c r="D24" t="str">
        <f>CONCATENATE(285902,",",ROW(BCKQHDR_06610!D24),"|",COLUMN(BCKQHDR_06610!D24),",0",",0")</f>
        <v>285902,24|4,0,0</v>
      </c>
      <c r="E24" t="str">
        <f>CONCATENATE(286108,",",ROW(BCKQHDR_06610!E24),"|",COLUMN(BCKQHDR_06610!E24),",0",",0")</f>
        <v>286108,24|5,0,0</v>
      </c>
    </row>
    <row r="25" spans="1:5" x14ac:dyDescent="0.25">
      <c r="A25" t="str">
        <f>CONCATENATE(285836,",",ROW(BCKQHDR_06610!A25),"|",COLUMN(BCKQHDR_06610!A25),",0",",0")</f>
        <v>285836,25|1,0,0</v>
      </c>
      <c r="B25" t="str">
        <f>CONCATENATE(285934,",",ROW(BCKQHDR_06610!B25),"|",COLUMN(BCKQHDR_06610!B25),",0",",0")</f>
        <v>285934,25|2,0,0</v>
      </c>
      <c r="C25" t="str">
        <f>CONCATENATE(286020,",",ROW(BCKQHDR_06610!C25),"|",COLUMN(BCKQHDR_06610!C25),",0",",0")</f>
        <v>286020,25|3,0,0</v>
      </c>
      <c r="D25" t="str">
        <f>CONCATENATE(285903,",",ROW(BCKQHDR_06610!D25),"|",COLUMN(BCKQHDR_06610!D25),",0",",0")</f>
        <v>285903,25|4,0,0</v>
      </c>
      <c r="E25" t="str">
        <f>CONCATENATE(286109,",",ROW(BCKQHDR_06610!E25),"|",COLUMN(BCKQHDR_06610!E25),",0",",0")</f>
        <v>286109,25|5,0,0</v>
      </c>
    </row>
    <row r="26" spans="1:5" x14ac:dyDescent="0.25">
      <c r="A26" t="str">
        <f>CONCATENATE(286158,",",ROW(BCKQHDR_06610!A26),"|",COLUMN(BCKQHDR_06610!A26),",0",",0")</f>
        <v>286158,26|1,0,0</v>
      </c>
      <c r="B26" t="str">
        <f>CONCATENATE(285935,",",ROW(BCKQHDR_06610!B26),"|",COLUMN(BCKQHDR_06610!B26),",0",",0")</f>
        <v>285935,26|2,0,0</v>
      </c>
      <c r="C26" t="str">
        <f>CONCATENATE(286021,",",ROW(BCKQHDR_06610!C26),"|",COLUMN(BCKQHDR_06610!C26),",0",",0")</f>
        <v>286021,26|3,0,0</v>
      </c>
      <c r="D26" t="str">
        <f>CONCATENATE(285904,",",ROW(BCKQHDR_06610!D26),"|",COLUMN(BCKQHDR_06610!D26),",0",",0")</f>
        <v>285904,26|4,0,0</v>
      </c>
      <c r="E26" t="str">
        <f>CONCATENATE(286110,",",ROW(BCKQHDR_06610!E26),"|",COLUMN(BCKQHDR_06610!E26),",0",",0")</f>
        <v>286110,26|5,0,0</v>
      </c>
    </row>
    <row r="27" spans="1:5" x14ac:dyDescent="0.25">
      <c r="A27" t="str">
        <f>CONCATENATE(286062,",",ROW(BCKQHDR_06610!A27),"|",COLUMN(BCKQHDR_06610!A27),",0",",0")</f>
        <v>286062,27|1,0,0</v>
      </c>
      <c r="B27" t="str">
        <f>CONCATENATE(285936,",",ROW(BCKQHDR_06610!B27),"|",COLUMN(BCKQHDR_06610!B27),",0",",0")</f>
        <v>285936,27|2,0,0</v>
      </c>
      <c r="C27" t="str">
        <f>CONCATENATE(286022,",",ROW(BCKQHDR_06610!C27),"|",COLUMN(BCKQHDR_06610!C27),",0",",0")</f>
        <v>286022,27|3,0,0</v>
      </c>
      <c r="D27" t="str">
        <f>CONCATENATE(285905,",",ROW(BCKQHDR_06610!D27),"|",COLUMN(BCKQHDR_06610!D27),",0",",0")</f>
        <v>285905,27|4,0,0</v>
      </c>
      <c r="E27" t="str">
        <f>CONCATENATE(286111,",",ROW(BCKQHDR_06610!E27),"|",COLUMN(BCKQHDR_06610!E27),",0",",0")</f>
        <v>286111,27|5,0,0</v>
      </c>
    </row>
    <row r="28" spans="1:5" x14ac:dyDescent="0.25">
      <c r="A28" t="str">
        <f>CONCATENATE(286159,",",ROW(BCKQHDR_06610!A28),"|",COLUMN(BCKQHDR_06610!A28),",0",",0")</f>
        <v>286159,28|1,0,0</v>
      </c>
      <c r="B28" t="str">
        <f>CONCATENATE(286070,",",ROW(BCKQHDR_06610!B28),"|",COLUMN(BCKQHDR_06610!B28),",0",",0")</f>
        <v>286070,28|2,0,0</v>
      </c>
      <c r="C28" t="str">
        <f>CONCATENATE(286023,",",ROW(BCKQHDR_06610!C28),"|",COLUMN(BCKQHDR_06610!C28),",0",",0")</f>
        <v>286023,28|3,0,0</v>
      </c>
      <c r="D28" t="str">
        <f>CONCATENATE(285962,",",ROW(BCKQHDR_06610!D28),"|",COLUMN(BCKQHDR_06610!D28),",0",",0")</f>
        <v>285962,28|4,0,0</v>
      </c>
      <c r="E28" t="str">
        <f>CONCATENATE(286112,",",ROW(BCKQHDR_06610!E28),"|",COLUMN(BCKQHDR_06610!E28),",0",",0")</f>
        <v>286112,28|5,0,0</v>
      </c>
    </row>
    <row r="29" spans="1:5" x14ac:dyDescent="0.25">
      <c r="A29" t="str">
        <f>CONCATENATE(285961,",",ROW(BCKQHDR_06610!A29),"|",COLUMN(BCKQHDR_06610!A29),",0",",0")</f>
        <v>285961,29|1,0,0</v>
      </c>
      <c r="B29" t="str">
        <f>CONCATENATE(286072,",",ROW(BCKQHDR_06610!B29),"|",COLUMN(BCKQHDR_06610!B29),",0",",0")</f>
        <v>286072,29|2,0,0</v>
      </c>
      <c r="C29" t="str">
        <f>CONCATENATE(286024,",",ROW(BCKQHDR_06610!C29),"|",COLUMN(BCKQHDR_06610!C29),",0",",0")</f>
        <v>286024,29|3,0,0</v>
      </c>
      <c r="D29" t="str">
        <f>CONCATENATE(286029,",",ROW(BCKQHDR_06610!D29),"|",COLUMN(BCKQHDR_06610!D29),",0",",0")</f>
        <v>286029,29|4,0,0</v>
      </c>
      <c r="E29" t="str">
        <f>CONCATENATE(286113,",",ROW(BCKQHDR_06610!E29),"|",COLUMN(BCKQHDR_06610!E29),",0",",0")</f>
        <v>286113,29|5,0,0</v>
      </c>
    </row>
    <row r="30" spans="1:5" x14ac:dyDescent="0.25">
      <c r="A30" t="str">
        <f>CONCATENATE(285832,",",ROW(BCKQHDR_06610!A30),"|",COLUMN(BCKQHDR_06610!A30),",0",",0")</f>
        <v>285832,30|1,0,0</v>
      </c>
      <c r="B30" t="str">
        <f>CONCATENATE(286073,",",ROW(BCKQHDR_06610!B30),"|",COLUMN(BCKQHDR_06610!B30),",0",",0")</f>
        <v>286073,30|2,0,0</v>
      </c>
      <c r="C30" t="str">
        <f>CONCATENATE(286025,",",ROW(BCKQHDR_06610!C30),"|",COLUMN(BCKQHDR_06610!C30),",0",",0")</f>
        <v>286025,30|3,0,0</v>
      </c>
      <c r="D30" t="str">
        <f>CONCATENATE(285963,",",ROW(BCKQHDR_06610!D30),"|",COLUMN(BCKQHDR_06610!D30),",0",",0")</f>
        <v>285963,30|4,0,0</v>
      </c>
      <c r="E30" t="str">
        <f>CONCATENATE(286115,",",ROW(BCKQHDR_06610!E30),"|",COLUMN(BCKQHDR_06610!E30),",0",",0")</f>
        <v>286115,30|5,0,0</v>
      </c>
    </row>
    <row r="31" spans="1:5" x14ac:dyDescent="0.25">
      <c r="A31" t="str">
        <f>CONCATENATE(285833,",",ROW(BCKQHDR_06610!A31),"|",COLUMN(BCKQHDR_06610!A31),",0",",0")</f>
        <v>285833,31|1,0,0</v>
      </c>
      <c r="B31" t="str">
        <f>CONCATENATE(285845,",",ROW(BCKQHDR_06610!B31),"|",COLUMN(BCKQHDR_06610!B31),",0",",0")</f>
        <v>285845,31|2,0,0</v>
      </c>
      <c r="C31" t="str">
        <f>CONCATENATE(286026,",",ROW(BCKQHDR_06610!C31),"|",COLUMN(BCKQHDR_06610!C31),",0",",0")</f>
        <v>286026,31|3,0,0</v>
      </c>
      <c r="D31" t="str">
        <f>CONCATENATE(285964,",",ROW(BCKQHDR_06610!D31),"|",COLUMN(BCKQHDR_06610!D31),",0",",0")</f>
        <v>285964,31|4,0,0</v>
      </c>
      <c r="E31" t="str">
        <f>CONCATENATE(286116,",",ROW(BCKQHDR_06610!E31),"|",COLUMN(BCKQHDR_06610!E31),",0",",0")</f>
        <v>286116,31|5,0,0</v>
      </c>
    </row>
    <row r="32" spans="1:5" x14ac:dyDescent="0.25">
      <c r="A32" t="str">
        <f>CONCATENATE(286063,",",ROW(BCKQHDR_06610!A32),"|",COLUMN(BCKQHDR_06610!A32),",0",",0")</f>
        <v>286063,32|1,0,0</v>
      </c>
      <c r="B32" t="str">
        <f>CONCATENATE(285824,",",ROW(BCKQHDR_06610!B32),"|",COLUMN(BCKQHDR_06610!B32),",0",",0")</f>
        <v>285824,32|2,0,0</v>
      </c>
      <c r="C32" t="str">
        <f>CONCATENATE(286027,",",ROW(BCKQHDR_06610!C32),"|",COLUMN(BCKQHDR_06610!C32),",0",",0")</f>
        <v>286027,32|3,0,0</v>
      </c>
      <c r="D32" t="str">
        <f>CONCATENATE(285965,",",ROW(BCKQHDR_06610!D32),"|",COLUMN(BCKQHDR_06610!D32),",0",",0")</f>
        <v>285965,32|4,0,0</v>
      </c>
      <c r="E32" t="str">
        <f>CONCATENATE(286117,",",ROW(BCKQHDR_06610!E32),"|",COLUMN(BCKQHDR_06610!E32),",0",",0")</f>
        <v>286117,32|5,0,0</v>
      </c>
    </row>
    <row r="33" spans="1:5" x14ac:dyDescent="0.25">
      <c r="A33" t="str">
        <f>CONCATENATE(285837,",",ROW(BCKQHDR_06610!A33),"|",COLUMN(BCKQHDR_06610!A33),",0",",0")</f>
        <v>285837,33|1,0,0</v>
      </c>
      <c r="B33" t="str">
        <f>CONCATENATE(285937,",",ROW(BCKQHDR_06610!B33),"|",COLUMN(BCKQHDR_06610!B33),",0",",0")</f>
        <v>285937,33|2,0,0</v>
      </c>
      <c r="C33" t="str">
        <f>CONCATENATE(286028,",",ROW(BCKQHDR_06610!C33),"|",COLUMN(BCKQHDR_06610!C33),",0",",0")</f>
        <v>286028,33|3,0,0</v>
      </c>
      <c r="D33" t="str">
        <f>CONCATENATE(285966,",",ROW(BCKQHDR_06610!D33),"|",COLUMN(BCKQHDR_06610!D33),",0",",0")</f>
        <v>285966,33|4,0,0</v>
      </c>
      <c r="E33" t="str">
        <f>CONCATENATE(286118,",",ROW(BCKQHDR_06610!E33),"|",COLUMN(BCKQHDR_06610!E33),",0",",0")</f>
        <v>286118,33|5,0,0</v>
      </c>
    </row>
    <row r="34" spans="1:5" x14ac:dyDescent="0.25">
      <c r="A34" t="str">
        <f>CONCATENATE(286142,",",ROW(BCKQHDR_06610!A34),"|",COLUMN(BCKQHDR_06610!A34),",0",",0")</f>
        <v>286142,34|1,0,0</v>
      </c>
      <c r="B34" t="str">
        <f>CONCATENATE(285938,",",ROW(BCKQHDR_06610!B34),"|",COLUMN(BCKQHDR_06610!B34),",0",",0")</f>
        <v>285938,34|2,0,0</v>
      </c>
      <c r="C34" t="str">
        <f>CONCATENATE(286030,",",ROW(BCKQHDR_06610!C34),"|",COLUMN(BCKQHDR_06610!C34),",0",",0")</f>
        <v>286030,34|3,0,0</v>
      </c>
      <c r="D34" t="str">
        <f>CONCATENATE(285967,",",ROW(BCKQHDR_06610!D34),"|",COLUMN(BCKQHDR_06610!D34),",0",",0")</f>
        <v>285967,34|4,0,0</v>
      </c>
      <c r="E34" t="str">
        <f>CONCATENATE(286119,",",ROW(BCKQHDR_06610!E34),"|",COLUMN(BCKQHDR_06610!E34),",0",",0")</f>
        <v>286119,34|5,0,0</v>
      </c>
    </row>
    <row r="35" spans="1:5" x14ac:dyDescent="0.25">
      <c r="A35" t="str">
        <f>CONCATENATE(285948,",",ROW(BCKQHDR_06610!A35),"|",COLUMN(BCKQHDR_06610!A35),",0",",0")</f>
        <v>285948,35|1,0,0</v>
      </c>
      <c r="B35" t="str">
        <f>CONCATENATE(285911,",",ROW(BCKQHDR_06610!B35),"|",COLUMN(BCKQHDR_06610!B35),",0",",0")</f>
        <v>285911,35|2,0,0</v>
      </c>
      <c r="C35" t="str">
        <f>CONCATENATE(286031,",",ROW(BCKQHDR_06610!C35),"|",COLUMN(BCKQHDR_06610!C35),",0",",0")</f>
        <v>286031,35|3,0,0</v>
      </c>
      <c r="D35" t="str">
        <f>CONCATENATE(285968,",",ROW(BCKQHDR_06610!D35),"|",COLUMN(BCKQHDR_06610!D35),",0",",0")</f>
        <v>285968,35|4,0,0</v>
      </c>
      <c r="E35" t="str">
        <f>CONCATENATE(286120,",",ROW(BCKQHDR_06610!E35),"|",COLUMN(BCKQHDR_06610!E35),",0",",0")</f>
        <v>286120,35|5,0,0</v>
      </c>
    </row>
    <row r="36" spans="1:5" x14ac:dyDescent="0.25">
      <c r="A36" t="str">
        <f>CONCATENATE(285949,",",ROW(BCKQHDR_06610!A36),"|",COLUMN(BCKQHDR_06610!A36),",0",",0")</f>
        <v>285949,36|1,0,0</v>
      </c>
      <c r="B36" t="str">
        <f>CONCATENATE(285939,",",ROW(BCKQHDR_06610!B36),"|",COLUMN(BCKQHDR_06610!B36),",0",",0")</f>
        <v>285939,36|2,0,0</v>
      </c>
      <c r="C36" t="str">
        <f>CONCATENATE(286032,",",ROW(BCKQHDR_06610!C36),"|",COLUMN(BCKQHDR_06610!C36),",0",",0")</f>
        <v>286032,36|3,0,0</v>
      </c>
      <c r="D36" t="str">
        <f>CONCATENATE(285969,",",ROW(BCKQHDR_06610!D36),"|",COLUMN(BCKQHDR_06610!D36),",0",",0")</f>
        <v>285969,36|4,0,0</v>
      </c>
      <c r="E36" t="str">
        <f>CONCATENATE(286121,",",ROW(BCKQHDR_06610!E36),"|",COLUMN(BCKQHDR_06610!E36),",0",",0")</f>
        <v>286121,36|5,0,0</v>
      </c>
    </row>
    <row r="37" spans="1:5" x14ac:dyDescent="0.25">
      <c r="A37" t="str">
        <f>CONCATENATE(286160,",",ROW(BCKQHDR_06610!A37),"|",COLUMN(BCKQHDR_06610!A37),",0",",0")</f>
        <v>286160,37|1,0,0</v>
      </c>
      <c r="B37" t="str">
        <f>CONCATENATE(285940,",",ROW(BCKQHDR_06610!B37),"|",COLUMN(BCKQHDR_06610!B37),",0",",0")</f>
        <v>285940,37|2,0,0</v>
      </c>
      <c r="C37" t="str">
        <f>CONCATENATE(286040,",",ROW(BCKQHDR_06610!C37),"|",COLUMN(BCKQHDR_06610!C37),",0",",0")</f>
        <v>286040,37|3,0,0</v>
      </c>
      <c r="D37" t="str">
        <f>CONCATENATE(285970,",",ROW(BCKQHDR_06610!D37),"|",COLUMN(BCKQHDR_06610!D37),",0",",0")</f>
        <v>285970,37|4,0,0</v>
      </c>
      <c r="E37" t="str">
        <f>CONCATENATE(286122,",",ROW(BCKQHDR_06610!E37),"|",COLUMN(BCKQHDR_06610!E37),",0",",0")</f>
        <v>286122,37|5,0,0</v>
      </c>
    </row>
    <row r="38" spans="1:5" x14ac:dyDescent="0.25">
      <c r="A38" t="str">
        <f>CONCATENATE(286010,",",ROW(BCKQHDR_06610!A38),"|",COLUMN(BCKQHDR_06610!A38),",0",",0")</f>
        <v>286010,38|1,0,0</v>
      </c>
      <c r="B38" t="str">
        <f>CONCATENATE(285913,",",ROW(BCKQHDR_06610!B38),"|",COLUMN(BCKQHDR_06610!B38),",0",",0")</f>
        <v>285913,38|2,0,0</v>
      </c>
      <c r="C38" t="str">
        <f>CONCATENATE(286041,",",ROW(BCKQHDR_06610!C38),"|",COLUMN(BCKQHDR_06610!C38),",0",",0")</f>
        <v>286041,38|3,0,0</v>
      </c>
      <c r="D38" t="str">
        <f>CONCATENATE(285971,",",ROW(BCKQHDR_06610!D38),"|",COLUMN(BCKQHDR_06610!D38),",0",",0")</f>
        <v>285971,38|4,0,0</v>
      </c>
      <c r="E38" t="str">
        <f>CONCATENATE(286123,",",ROW(BCKQHDR_06610!E38),"|",COLUMN(BCKQHDR_06610!E38),",0",",0")</f>
        <v>286123,38|5,0,0</v>
      </c>
    </row>
    <row r="39" spans="1:5" x14ac:dyDescent="0.25">
      <c r="A39" t="str">
        <f>CONCATENATE(286064,",",ROW(BCKQHDR_06610!A39),"|",COLUMN(BCKQHDR_06610!A39),",0",",0")</f>
        <v>286064,39|1,0,0</v>
      </c>
      <c r="B39" t="s">
        <v>5</v>
      </c>
      <c r="C39" t="str">
        <f>CONCATENATE(286042,",",ROW(BCKQHDR_06610!C39),"|",COLUMN(BCKQHDR_06610!C39),",0",",0")</f>
        <v>286042,39|3,0,0</v>
      </c>
      <c r="D39" t="str">
        <f>CONCATENATE(285972,",",ROW(BCKQHDR_06610!D39),"|",COLUMN(BCKQHDR_06610!D39),",0",",0")</f>
        <v>285972,39|4,0,0</v>
      </c>
      <c r="E39" t="str">
        <f>CONCATENATE(286124,",",ROW(BCKQHDR_06610!E39),"|",COLUMN(BCKQHDR_06610!E39),",0",",0")</f>
        <v>286124,39|5,0,0</v>
      </c>
    </row>
    <row r="40" spans="1:5" x14ac:dyDescent="0.25">
      <c r="A40" t="str">
        <f>CONCATENATE(286011,",",ROW(BCKQHDR_06610!A40),"|",COLUMN(BCKQHDR_06610!A40),",0",",0")</f>
        <v>286011,40|1,0,0</v>
      </c>
      <c r="B40" t="str">
        <f>CONCATENATE(285914,",",ROW(BCKQHDR_06610!B40),"|",COLUMN(BCKQHDR_06610!B40),",0",",0")</f>
        <v>285914,40|2,0,0</v>
      </c>
      <c r="C40" t="str">
        <f>CONCATENATE(286043,",",ROW(BCKQHDR_06610!C40),"|",COLUMN(BCKQHDR_06610!C40),",0",",0")</f>
        <v>286043,40|3,0,0</v>
      </c>
      <c r="D40" t="str">
        <f>CONCATENATE(285973,",",ROW(BCKQHDR_06610!D40),"|",COLUMN(BCKQHDR_06610!D40),",0",",0")</f>
        <v>285973,40|4,0,0</v>
      </c>
      <c r="E40" t="str">
        <f>CONCATENATE(286125,",",ROW(BCKQHDR_06610!E40),"|",COLUMN(BCKQHDR_06610!E40),",0",",0")</f>
        <v>286125,40|5,0,0</v>
      </c>
    </row>
    <row r="41" spans="1:5" x14ac:dyDescent="0.25">
      <c r="A41" t="str">
        <f>CONCATENATE(286012,",",ROW(BCKQHDR_06610!A41),"|",COLUMN(BCKQHDR_06610!A41),",0",",0")</f>
        <v>286012,41|1,0,0</v>
      </c>
      <c r="B41" t="str">
        <f>CONCATENATE(285846,",",ROW(BCKQHDR_06610!B41),"|",COLUMN(BCKQHDR_06610!B41),",0",",0")</f>
        <v>285846,41|2,0,0</v>
      </c>
      <c r="C41" t="str">
        <f>CONCATENATE(286044,",",ROW(BCKQHDR_06610!C41),"|",COLUMN(BCKQHDR_06610!C41),",0",",0")</f>
        <v>286044,41|3,0,0</v>
      </c>
      <c r="D41" t="str">
        <f>CONCATENATE(285974,",",ROW(BCKQHDR_06610!D41),"|",COLUMN(BCKQHDR_06610!D41),",0",",0")</f>
        <v>285974,41|4,0,0</v>
      </c>
      <c r="E41" t="str">
        <f>CONCATENATE(286126,",",ROW(BCKQHDR_06610!E41),"|",COLUMN(BCKQHDR_06610!E41),",0",",0")</f>
        <v>286126,41|5,0,0</v>
      </c>
    </row>
    <row r="42" spans="1:5" x14ac:dyDescent="0.25">
      <c r="A42" t="str">
        <f>CONCATENATE(286065,",",ROW(BCKQHDR_06610!A42),"|",COLUMN(BCKQHDR_06610!A42),",0",",0")</f>
        <v>286065,42|1,0,0</v>
      </c>
      <c r="B42" t="str">
        <f>CONCATENATE(286074,",",ROW(BCKQHDR_06610!B42),"|",COLUMN(BCKQHDR_06610!B42),",0",",0")</f>
        <v>286074,42|2,0,0</v>
      </c>
      <c r="C42" t="str">
        <f>CONCATENATE(286045,",",ROW(BCKQHDR_06610!C42),"|",COLUMN(BCKQHDR_06610!C42),",0",",0")</f>
        <v>286045,42|3,0,0</v>
      </c>
      <c r="D42" t="str">
        <f>CONCATENATE(285975,",",ROW(BCKQHDR_06610!D42),"|",COLUMN(BCKQHDR_06610!D42),",0",",0")</f>
        <v>285975,42|4,0,0</v>
      </c>
      <c r="E42" t="str">
        <f>CONCATENATE(286127,",",ROW(BCKQHDR_06610!E42),"|",COLUMN(BCKQHDR_06610!E42),",0",",0")</f>
        <v>286127,42|5,0,0</v>
      </c>
    </row>
    <row r="43" spans="1:5" x14ac:dyDescent="0.25">
      <c r="A43" t="str">
        <f>CONCATENATE(286077,",",ROW(BCKQHDR_06610!A43),"|",COLUMN(BCKQHDR_06610!A43),",0",",0")</f>
        <v>286077,43|1,0,0</v>
      </c>
      <c r="B43" t="str">
        <f>CONCATENATE(285825,",",ROW(BCKQHDR_06610!B43),"|",COLUMN(BCKQHDR_06610!B43),",0",",0")</f>
        <v>285825,43|2,0,0</v>
      </c>
      <c r="C43" t="str">
        <f>CONCATENATE(286046,",",ROW(BCKQHDR_06610!C43),"|",COLUMN(BCKQHDR_06610!C43),",0",",0")</f>
        <v>286046,43|3,0,0</v>
      </c>
      <c r="D43" t="str">
        <f>CONCATENATE(285976,",",ROW(BCKQHDR_06610!D43),"|",COLUMN(BCKQHDR_06610!D43),",0",",0")</f>
        <v>285976,43|4,0,0</v>
      </c>
      <c r="E43" t="str">
        <f>CONCATENATE(286128,",",ROW(BCKQHDR_06610!E43),"|",COLUMN(BCKQHDR_06610!E43),",0",",0")</f>
        <v>286128,43|5,0,0</v>
      </c>
    </row>
    <row r="44" spans="1:5" x14ac:dyDescent="0.25">
      <c r="A44" t="str">
        <f>CONCATENATE(286013,",",ROW(BCKQHDR_06610!A44),"|",COLUMN(BCKQHDR_06610!A44),",0",",0")</f>
        <v>286013,44|1,0,0</v>
      </c>
      <c r="B44" t="str">
        <f>CONCATENATE(285915,",",ROW(BCKQHDR_06610!B44),"|",COLUMN(BCKQHDR_06610!B44),",0",",0")</f>
        <v>285915,44|2,0,0</v>
      </c>
      <c r="C44" t="str">
        <f>CONCATENATE(286047,",",ROW(BCKQHDR_06610!C44),"|",COLUMN(BCKQHDR_06610!C44),",0",",0")</f>
        <v>286047,44|3,0,0</v>
      </c>
      <c r="D44" t="str">
        <f>CONCATENATE(285977,",",ROW(BCKQHDR_06610!D44),"|",COLUMN(BCKQHDR_06610!D44),",0",",0")</f>
        <v>285977,44|4,0,0</v>
      </c>
      <c r="E44" t="str">
        <f>CONCATENATE(285853,",",ROW(BCKQHDR_06610!E44),"|",COLUMN(BCKQHDR_06610!E44),",0",",0")</f>
        <v>285853,44|5,0,0</v>
      </c>
    </row>
    <row r="45" spans="1:5" x14ac:dyDescent="0.25">
      <c r="A45" t="str">
        <f>CONCATENATE(286078,",",ROW(BCKQHDR_06610!A45),"|",COLUMN(BCKQHDR_06610!A45),",0",",0")</f>
        <v>286078,45|1,0,0</v>
      </c>
      <c r="B45" t="s">
        <v>5</v>
      </c>
      <c r="C45" t="str">
        <f>CONCATENATE(286048,",",ROW(BCKQHDR_06610!C45),"|",COLUMN(BCKQHDR_06610!C45),",0",",0")</f>
        <v>286048,45|3,0,0</v>
      </c>
      <c r="D45" t="str">
        <f>CONCATENATE(285978,",",ROW(BCKQHDR_06610!D45),"|",COLUMN(BCKQHDR_06610!D45),",0",",0")</f>
        <v>285978,45|4,0,0</v>
      </c>
      <c r="E45" t="str">
        <f>CONCATENATE(285854,",",ROW(BCKQHDR_06610!E45),"|",COLUMN(BCKQHDR_06610!E45),",0",",0")</f>
        <v>285854,45|5,0,0</v>
      </c>
    </row>
    <row r="46" spans="1:5" x14ac:dyDescent="0.25">
      <c r="A46" t="str">
        <f>CONCATENATE(286129,",",ROW(BCKQHDR_06610!A46),"|",COLUMN(BCKQHDR_06610!A46),",0",",0")</f>
        <v>286129,46|1,0,0</v>
      </c>
      <c r="B46" t="str">
        <f>CONCATENATE(285826,",",ROW(BCKQHDR_06610!B46),"|",COLUMN(BCKQHDR_06610!B46),",0",",0")</f>
        <v>285826,46|2,0,0</v>
      </c>
      <c r="C46" t="str">
        <f>CONCATENATE(286049,",",ROW(BCKQHDR_06610!C46),"|",COLUMN(BCKQHDR_06610!C46),",0",",0")</f>
        <v>286049,46|3,0,0</v>
      </c>
      <c r="D46" t="str">
        <f>CONCATENATE(285979,",",ROW(BCKQHDR_06610!D46),"|",COLUMN(BCKQHDR_06610!D46),",0",",0")</f>
        <v>285979,46|4,0,0</v>
      </c>
      <c r="E46" t="str">
        <f>CONCATENATE(285855,",",ROW(BCKQHDR_06610!E46),"|",COLUMN(BCKQHDR_06610!E46),",0",",0")</f>
        <v>285855,46|5,0,0</v>
      </c>
    </row>
    <row r="47" spans="1:5" x14ac:dyDescent="0.25">
      <c r="A47" t="str">
        <f>CONCATENATE(286130,",",ROW(BCKQHDR_06610!A47),"|",COLUMN(BCKQHDR_06610!A47),",0",",0")</f>
        <v>286130,47|1,0,0</v>
      </c>
      <c r="B47" t="str">
        <f>CONCATENATE(285916,",",ROW(BCKQHDR_06610!B47),"|",COLUMN(BCKQHDR_06610!B47),",0",",0")</f>
        <v>285916,47|2,0,0</v>
      </c>
      <c r="C47" t="str">
        <f>CONCATENATE(286050,",",ROW(BCKQHDR_06610!C47),"|",COLUMN(BCKQHDR_06610!C47),",0",",0")</f>
        <v>286050,47|3,0,0</v>
      </c>
      <c r="D47" t="str">
        <f>CONCATENATE(285980,",",ROW(BCKQHDR_06610!D47),"|",COLUMN(BCKQHDR_06610!D47),",0",",0")</f>
        <v>285980,47|4,0,0</v>
      </c>
      <c r="E47" t="str">
        <f>CONCATENATE(285856,",",ROW(BCKQHDR_06610!E47),"|",COLUMN(BCKQHDR_06610!E47),",0",",0")</f>
        <v>285856,47|5,0,0</v>
      </c>
    </row>
    <row r="48" spans="1:5" x14ac:dyDescent="0.25">
      <c r="A48" t="str">
        <f>CONCATENATE(285838,",",ROW(BCKQHDR_06610!A48),"|",COLUMN(BCKQHDR_06610!A48),",0",",0")</f>
        <v>285838,48|1,0,0</v>
      </c>
      <c r="B48" t="str">
        <f>CONCATENATE(285917,",",ROW(BCKQHDR_06610!B48),"|",COLUMN(BCKQHDR_06610!B48),",0",",0")</f>
        <v>285917,48|2,0,0</v>
      </c>
      <c r="C48" t="str">
        <f>CONCATENATE(285982,",",ROW(BCKQHDR_06610!C48),"|",COLUMN(BCKQHDR_06610!C48),",0",",0")</f>
        <v>285982,48|3,0,0</v>
      </c>
      <c r="D48" t="str">
        <f>CONCATENATE(285858,",",ROW(BCKQHDR_06610!D48),"|",COLUMN(BCKQHDR_06610!D48),",0",",0")</f>
        <v>285858,48|4,0,0</v>
      </c>
      <c r="E48" t="str">
        <f>CONCATENATE(286052,",",ROW(BCKQHDR_06610!E48),"|",COLUMN(BCKQHDR_06610!E48),",0",",0")</f>
        <v>286052,48|5,0,0</v>
      </c>
    </row>
    <row r="49" spans="1:5" x14ac:dyDescent="0.25">
      <c r="A49" t="str">
        <f>CONCATENATE(286079,",",ROW(BCKQHDR_06610!A49),"|",COLUMN(BCKQHDR_06610!A49),",0",",0")</f>
        <v>286079,49|1,0,0</v>
      </c>
      <c r="B49" t="str">
        <f>CONCATENATE(285849,",",ROW(BCKQHDR_06610!B49),"|",COLUMN(BCKQHDR_06610!B49),",0",",0")</f>
        <v>285849,49|2,0,0</v>
      </c>
      <c r="C49" t="str">
        <f>CONCATENATE(285983,",",ROW(BCKQHDR_06610!C49),"|",COLUMN(BCKQHDR_06610!C49),",0",",0")</f>
        <v>285983,49|3,0,0</v>
      </c>
      <c r="D49" t="str">
        <f>CONCATENATE(285859,",",ROW(BCKQHDR_06610!D49),"|",COLUMN(BCKQHDR_06610!D49),",0",",0")</f>
        <v>285859,49|4,0,0</v>
      </c>
      <c r="E49" t="str">
        <f>CONCATENATE(286053,",",ROW(BCKQHDR_06610!E49),"|",COLUMN(BCKQHDR_06610!E49),",0",",0")</f>
        <v>286053,49|5,0,0</v>
      </c>
    </row>
    <row r="50" spans="1:5" x14ac:dyDescent="0.25">
      <c r="A50" t="str">
        <f>CONCATENATE(286131,",",ROW(BCKQHDR_06610!A50),"|",COLUMN(BCKQHDR_06610!A50),",0",",0")</f>
        <v>286131,50|1,0,0</v>
      </c>
      <c r="B50" t="str">
        <f>CONCATENATE(285847,",",ROW(BCKQHDR_06610!B50),"|",COLUMN(BCKQHDR_06610!B50),",0",",0")</f>
        <v>285847,50|2,0,0</v>
      </c>
      <c r="C50" t="str">
        <f>CONCATENATE(285984,",",ROW(BCKQHDR_06610!C50),"|",COLUMN(BCKQHDR_06610!C50),",0",",0")</f>
        <v>285984,50|3,0,0</v>
      </c>
      <c r="D50" t="str">
        <f>CONCATENATE(285860,",",ROW(BCKQHDR_06610!D50),"|",COLUMN(BCKQHDR_06610!D50),",0",",0")</f>
        <v>285860,50|4,0,0</v>
      </c>
      <c r="E50" t="str">
        <f>CONCATENATE(286054,",",ROW(BCKQHDR_06610!E50),"|",COLUMN(BCKQHDR_06610!E50),",0",",0")</f>
        <v>286054,50|5,0,0</v>
      </c>
    </row>
    <row r="51" spans="1:5" x14ac:dyDescent="0.25">
      <c r="A51" t="str">
        <f>CONCATENATE(285839,",",ROW(BCKQHDR_06610!A51),"|",COLUMN(BCKQHDR_06610!A51),",0",",0")</f>
        <v>285839,51|1,0,0</v>
      </c>
      <c r="B51" t="str">
        <f>CONCATENATE(285848,",",ROW(BCKQHDR_06610!B51),"|",COLUMN(BCKQHDR_06610!B51),",0",",0")</f>
        <v>285848,51|2,0,0</v>
      </c>
      <c r="C51" t="str">
        <f>CONCATENATE(285985,",",ROW(BCKQHDR_06610!C51),"|",COLUMN(BCKQHDR_06610!C51),",0",",0")</f>
        <v>285985,51|3,0,0</v>
      </c>
      <c r="D51" t="str">
        <f>CONCATENATE(285861,",",ROW(BCKQHDR_06610!D51),"|",COLUMN(BCKQHDR_06610!D51),",0",",0")</f>
        <v>285861,51|4,0,0</v>
      </c>
      <c r="E51" t="str">
        <f>CONCATENATE(286055,",",ROW(BCKQHDR_06610!E51),"|",COLUMN(BCKQHDR_06610!E51),",0",",0")</f>
        <v>286055,51|5,0,0</v>
      </c>
    </row>
    <row r="52" spans="1:5" x14ac:dyDescent="0.25">
      <c r="A52" t="str">
        <f>CONCATENATE(286132,",",ROW(BCKQHDR_06610!A52),"|",COLUMN(BCKQHDR_06610!A52),",0",",0")</f>
        <v>286132,52|1,0,0</v>
      </c>
      <c r="B52" t="str">
        <f>CONCATENATE(285941,",",ROW(BCKQHDR_06610!B52),"|",COLUMN(BCKQHDR_06610!B52),",0",",0")</f>
        <v>285941,52|2,0,0</v>
      </c>
      <c r="C52" t="str">
        <f>CONCATENATE(285986,",",ROW(BCKQHDR_06610!C52),"|",COLUMN(BCKQHDR_06610!C52),",0",",0")</f>
        <v>285986,52|3,0,0</v>
      </c>
      <c r="D52" t="str">
        <f>CONCATENATE(285862,",",ROW(BCKQHDR_06610!D52),"|",COLUMN(BCKQHDR_06610!D52),",0",",0")</f>
        <v>285862,52|4,0,0</v>
      </c>
      <c r="E52" t="str">
        <f>CONCATENATE(285830,",",ROW(BCKQHDR_06610!E52),"|",COLUMN(BCKQHDR_06610!E52),",0",",0")</f>
        <v>285830,52|5,0,0</v>
      </c>
    </row>
    <row r="53" spans="1:5" x14ac:dyDescent="0.25">
      <c r="A53" t="str">
        <f>CONCATENATE(286148,",",ROW(BCKQHDR_06610!A53),"|",COLUMN(BCKQHDR_06610!A53),",0",",0")</f>
        <v>286148,53|1,0,0</v>
      </c>
      <c r="B53" t="str">
        <f>CONCATENATE(285827,",",ROW(BCKQHDR_06610!B53),"|",COLUMN(BCKQHDR_06610!B53),",0",",0")</f>
        <v>285827,53|2,0,0</v>
      </c>
      <c r="C53" t="str">
        <f>CONCATENATE(285987,",",ROW(BCKQHDR_06610!C53),"|",COLUMN(BCKQHDR_06610!C53),",0",",0")</f>
        <v>285987,53|3,0,0</v>
      </c>
      <c r="D53" t="str">
        <f>CONCATENATE(285863,",",ROW(BCKQHDR_06610!D53),"|",COLUMN(BCKQHDR_06610!D53),",0",",0")</f>
        <v>285863,53|4,0,0</v>
      </c>
      <c r="E53" t="str">
        <f>CONCATENATE(286056,",",ROW(BCKQHDR_06610!E53),"|",COLUMN(BCKQHDR_06610!E53),",0",",0")</f>
        <v>286056,53|5,0,0</v>
      </c>
    </row>
    <row r="54" spans="1:5" x14ac:dyDescent="0.25">
      <c r="A54" t="str">
        <f>CONCATENATE(285866,",",ROW(BCKQHDR_06610!A54),"|",COLUMN(BCKQHDR_06610!A54),",0",",0")</f>
        <v>285866,54|1,0,0</v>
      </c>
      <c r="B54" t="str">
        <f>CONCATENATE(286033,",",ROW(BCKQHDR_06610!B54),"|",COLUMN(BCKQHDR_06610!B54),",0",",0")</f>
        <v>286033,54|2,0,0</v>
      </c>
      <c r="C54" t="str">
        <f>CONCATENATE(285988,",",ROW(BCKQHDR_06610!C54),"|",COLUMN(BCKQHDR_06610!C54),",0",",0")</f>
        <v>285988,54|3,0,0</v>
      </c>
      <c r="D54" t="str">
        <f>CONCATENATE(285864,",",ROW(BCKQHDR_06610!D54),"|",COLUMN(BCKQHDR_06610!D54),",0",",0")</f>
        <v>285864,54|4,0,0</v>
      </c>
      <c r="E54" t="str">
        <f>CONCATENATE(286057,",",ROW(BCKQHDR_06610!E54),"|",COLUMN(BCKQHDR_06610!E54),",0",",0")</f>
        <v>286057,54|5,0,0</v>
      </c>
    </row>
    <row r="55" spans="1:5" x14ac:dyDescent="0.25">
      <c r="A55" t="str">
        <f>CONCATENATE(286149,",",ROW(BCKQHDR_06610!A55),"|",COLUMN(BCKQHDR_06610!A55),",0",",0")</f>
        <v>286149,55|1,0,0</v>
      </c>
      <c r="B55" t="s">
        <v>5</v>
      </c>
      <c r="C55" t="str">
        <f>CONCATENATE(285989,",",ROW(BCKQHDR_06610!C55),"|",COLUMN(BCKQHDR_06610!C55),",0",",0")</f>
        <v>285989,55|3,0,0</v>
      </c>
      <c r="D55" t="str">
        <f>CONCATENATE(285865,",",ROW(BCKQHDR_06610!D55),"|",COLUMN(BCKQHDR_06610!D55),",0",",0")</f>
        <v>285865,55|4,0,0</v>
      </c>
      <c r="E55" t="str">
        <f>CONCATENATE(286058,",",ROW(BCKQHDR_06610!E55),"|",COLUMN(BCKQHDR_06610!E55),",0",",0")</f>
        <v>286058,55|5,0,0</v>
      </c>
    </row>
    <row r="56" spans="1:5" x14ac:dyDescent="0.25">
      <c r="A56" t="str">
        <f>CONCATENATE(286014,",",ROW(BCKQHDR_06610!A56),"|",COLUMN(BCKQHDR_06610!A56),",0",",0")</f>
        <v>286014,56|1,0,0</v>
      </c>
      <c r="B56" t="str">
        <f>CONCATENATE(286034,",",ROW(BCKQHDR_06610!B56),"|",COLUMN(BCKQHDR_06610!B56),",0",",0")</f>
        <v>286034,56|2,0,0</v>
      </c>
      <c r="C56" t="str">
        <f>CONCATENATE(285990,",",ROW(BCKQHDR_06610!C56),"|",COLUMN(BCKQHDR_06610!C56),",0",",0")</f>
        <v>285990,56|3,0,0</v>
      </c>
      <c r="D56" t="str">
        <f>CONCATENATE(285912,",",ROW(BCKQHDR_06610!D56),"|",COLUMN(BCKQHDR_06610!D56),",0",",0")</f>
        <v>285912,56|4,0,0</v>
      </c>
      <c r="E56" t="str">
        <f>CONCATENATE(286059,",",ROW(BCKQHDR_06610!E56),"|",COLUMN(BCKQHDR_06610!E56),",0",",0")</f>
        <v>286059,56|5,0,0</v>
      </c>
    </row>
    <row r="57" spans="1:5" x14ac:dyDescent="0.25">
      <c r="A57" t="str">
        <f>CONCATENATE(286150,",",ROW(BCKQHDR_06610!A57),"|",COLUMN(BCKQHDR_06610!A57),",0",",0")</f>
        <v>286150,57|1,0,0</v>
      </c>
      <c r="B57" t="str">
        <f>CONCATENATE(285918,",",ROW(BCKQHDR_06610!B57),"|",COLUMN(BCKQHDR_06610!B57),",0",",0")</f>
        <v>285918,57|2,0,0</v>
      </c>
      <c r="C57" t="str">
        <f>CONCATENATE(285991,",",ROW(BCKQHDR_06610!C57),"|",COLUMN(BCKQHDR_06610!C57),",0",",0")</f>
        <v>285991,57|3,0,0</v>
      </c>
      <c r="D57" t="str">
        <f>CONCATENATE(285867,",",ROW(BCKQHDR_06610!D57),"|",COLUMN(BCKQHDR_06610!D57),",0",",0")</f>
        <v>285867,57|4,0,0</v>
      </c>
      <c r="E57" t="str">
        <f>CONCATENATE(286080,",",ROW(BCKQHDR_06610!E57),"|",COLUMN(BCKQHDR_06610!E57),",0",",0")</f>
        <v>286080,57|5,0,0</v>
      </c>
    </row>
    <row r="58" spans="1:5" x14ac:dyDescent="0.25">
      <c r="A58" t="str">
        <f>CONCATENATE(285960,",",ROW(BCKQHDR_06610!A58),"|",COLUMN(BCKQHDR_06610!A58),",0",",0")</f>
        <v>285960,58|1,0,0</v>
      </c>
      <c r="B58" t="str">
        <f>CONCATENATE(285919,",",ROW(BCKQHDR_06610!B58),"|",COLUMN(BCKQHDR_06610!B58),",0",",0")</f>
        <v>285919,58|2,0,0</v>
      </c>
      <c r="C58" t="str">
        <f>CONCATENATE(285992,",",ROW(BCKQHDR_06610!C58),"|",COLUMN(BCKQHDR_06610!C58),",0",",0")</f>
        <v>285992,58|3,0,0</v>
      </c>
      <c r="D58" t="str">
        <f>CONCATENATE(285868,",",ROW(BCKQHDR_06610!D58),"|",COLUMN(BCKQHDR_06610!D58),",0",",0")</f>
        <v>285868,58|4,0,0</v>
      </c>
      <c r="E58" t="str">
        <f>CONCATENATE(286081,",",ROW(BCKQHDR_06610!E58),"|",COLUMN(BCKQHDR_06610!E58),",0",",0")</f>
        <v>286081,58|5,0,0</v>
      </c>
    </row>
    <row r="59" spans="1:5" x14ac:dyDescent="0.25">
      <c r="A59" t="str">
        <f>CONCATENATE(285906,",",ROW(BCKQHDR_06610!A59),"|",COLUMN(BCKQHDR_06610!A59),",0",",0")</f>
        <v>285906,59|1,0,0</v>
      </c>
      <c r="B59" t="str">
        <f>CONCATENATE(285920,",",ROW(BCKQHDR_06610!B59),"|",COLUMN(BCKQHDR_06610!B59),",0",",0")</f>
        <v>285920,59|2,0,0</v>
      </c>
      <c r="C59" t="str">
        <f>CONCATENATE(285993,",",ROW(BCKQHDR_06610!C59),"|",COLUMN(BCKQHDR_06610!C59),",0",",0")</f>
        <v>285993,59|3,0,0</v>
      </c>
      <c r="D59" t="str">
        <f>CONCATENATE(285869,",",ROW(BCKQHDR_06610!D59),"|",COLUMN(BCKQHDR_06610!D59),",0",",0")</f>
        <v>285869,59|4,0,0</v>
      </c>
      <c r="E59" t="str">
        <f>CONCATENATE(286082,",",ROW(BCKQHDR_06610!E59),"|",COLUMN(BCKQHDR_06610!E59),",0",",0")</f>
        <v>286082,59|5,0,0</v>
      </c>
    </row>
    <row r="60" spans="1:5" x14ac:dyDescent="0.25">
      <c r="A60" t="str">
        <f>CONCATENATE(285907,",",ROW(BCKQHDR_06610!A60),"|",COLUMN(BCKQHDR_06610!A60),",0",",0")</f>
        <v>285907,60|1,0,0</v>
      </c>
      <c r="B60" t="str">
        <f>CONCATENATE(285942,",",ROW(BCKQHDR_06610!B60),"|",COLUMN(BCKQHDR_06610!B60),",0",",0")</f>
        <v>285942,60|2,0,0</v>
      </c>
      <c r="C60" t="str">
        <f>CONCATENATE(285994,",",ROW(BCKQHDR_06610!C60),"|",COLUMN(BCKQHDR_06610!C60),",0",",0")</f>
        <v>285994,60|3,0,0</v>
      </c>
      <c r="D60" t="str">
        <f>CONCATENATE(285870,",",ROW(BCKQHDR_06610!D60),"|",COLUMN(BCKQHDR_06610!D60),",0",",0")</f>
        <v>285870,60|4,0,0</v>
      </c>
      <c r="E60" t="str">
        <f>CONCATENATE(286083,",",ROW(BCKQHDR_06610!E60),"|",COLUMN(BCKQHDR_06610!E60),",0",",0")</f>
        <v>286083,60|5,0,0</v>
      </c>
    </row>
    <row r="61" spans="1:5" x14ac:dyDescent="0.25">
      <c r="A61" t="str">
        <f>CONCATENATE(285840,",",ROW(BCKQHDR_06610!A61),"|",COLUMN(BCKQHDR_06610!A61),",0",",0")</f>
        <v>285840,61|1,0,0</v>
      </c>
      <c r="B61" t="str">
        <f>CONCATENATE(285850,",",ROW(BCKQHDR_06610!B61),"|",COLUMN(BCKQHDR_06610!B61),",0",",0")</f>
        <v>285850,61|2,0,0</v>
      </c>
      <c r="C61" t="str">
        <f>CONCATENATE(285995,",",ROW(BCKQHDR_06610!C61),"|",COLUMN(BCKQHDR_06610!C61),",0",",0")</f>
        <v>285995,61|3,0,0</v>
      </c>
      <c r="D61" t="str">
        <f>CONCATENATE(285871,",",ROW(BCKQHDR_06610!D61),"|",COLUMN(BCKQHDR_06610!D61),",0",",0")</f>
        <v>285871,61|4,0,0</v>
      </c>
      <c r="E61" t="str">
        <f>CONCATENATE(286084,",",ROW(BCKQHDR_06610!E61),"|",COLUMN(BCKQHDR_06610!E61),",0",",0")</f>
        <v>286084,61|5,0,0</v>
      </c>
    </row>
    <row r="62" spans="1:5" x14ac:dyDescent="0.25">
      <c r="A62" t="str">
        <f>CONCATENATE(285908,",",ROW(BCKQHDR_06610!A62),"|",COLUMN(BCKQHDR_06610!A62),",0",",0")</f>
        <v>285908,62|1,0,0</v>
      </c>
      <c r="B62" t="str">
        <f>CONCATENATE(285828,",",ROW(BCKQHDR_06610!B62),"|",COLUMN(BCKQHDR_06610!B62),",0",",0")</f>
        <v>285828,62|2,0,0</v>
      </c>
      <c r="C62" t="str">
        <f>CONCATENATE(285996,",",ROW(BCKQHDR_06610!C62),"|",COLUMN(BCKQHDR_06610!C62),",0",",0")</f>
        <v>285996,62|3,0,0</v>
      </c>
      <c r="D62" t="str">
        <f>CONCATENATE(285872,",",ROW(BCKQHDR_06610!D62),"|",COLUMN(BCKQHDR_06610!D62),",0",",0")</f>
        <v>285872,62|4,0,0</v>
      </c>
      <c r="E62" t="str">
        <f>CONCATENATE(286085,",",ROW(BCKQHDR_06610!E62),"|",COLUMN(BCKQHDR_06610!E62),",0",",0")</f>
        <v>286085,62|5,0,0</v>
      </c>
    </row>
    <row r="63" spans="1:5" x14ac:dyDescent="0.25">
      <c r="A63" t="str">
        <f>CONCATENATE(286133,",",ROW(BCKQHDR_06610!A63),"|",COLUMN(BCKQHDR_06610!A63),",0",",0")</f>
        <v>286133,63|1,0,0</v>
      </c>
      <c r="B63" t="str">
        <f>CONCATENATE(285943,",",ROW(BCKQHDR_06610!B63),"|",COLUMN(BCKQHDR_06610!B63),",0",",0")</f>
        <v>285943,63|2,0,0</v>
      </c>
      <c r="C63" t="str">
        <f>CONCATENATE(285997,",",ROW(BCKQHDR_06610!C63),"|",COLUMN(BCKQHDR_06610!C63),",0",",0")</f>
        <v>285997,63|3,0,0</v>
      </c>
      <c r="D63" t="str">
        <f>CONCATENATE(285873,",",ROW(BCKQHDR_06610!D63),"|",COLUMN(BCKQHDR_06610!D63),",0",",0")</f>
        <v>285873,63|4,0,0</v>
      </c>
      <c r="E63" t="str">
        <f>CONCATENATE(286143,",",ROW(BCKQHDR_06610!E63),"|",COLUMN(BCKQHDR_06610!E63),",0",",0")</f>
        <v>286143,63|5,0,0</v>
      </c>
    </row>
    <row r="64" spans="1:5" x14ac:dyDescent="0.25">
      <c r="A64" t="str">
        <f>CONCATENATE(286151,",",ROW(BCKQHDR_06610!A64),"|",COLUMN(BCKQHDR_06610!A64),",0",",0")</f>
        <v>286151,64|1,0,0</v>
      </c>
      <c r="B64" t="str">
        <f>CONCATENATE(286035,",",ROW(BCKQHDR_06610!B64),"|",COLUMN(BCKQHDR_06610!B64),",0",",0")</f>
        <v>286035,64|2,0,0</v>
      </c>
      <c r="C64" t="str">
        <f>CONCATENATE(285998,",",ROW(BCKQHDR_06610!C64),"|",COLUMN(BCKQHDR_06610!C64),",0",",0")</f>
        <v>285998,64|3,0,0</v>
      </c>
      <c r="D64" t="str">
        <f>CONCATENATE(285874,",",ROW(BCKQHDR_06610!D64),"|",COLUMN(BCKQHDR_06610!D64),",0",",0")</f>
        <v>285874,64|4,0,0</v>
      </c>
      <c r="E64" t="str">
        <f>CONCATENATE(286144,",",ROW(BCKQHDR_06610!E64),"|",COLUMN(BCKQHDR_06610!E64),",0",",0")</f>
        <v>286144,64|5,0,0</v>
      </c>
    </row>
    <row r="65" spans="1:5" x14ac:dyDescent="0.25">
      <c r="A65" t="str">
        <f>CONCATENATE(286153,",",ROW(BCKQHDR_06610!A65),"|",COLUMN(BCKQHDR_06610!A65),",0",",0")</f>
        <v>286153,65|1,0,0</v>
      </c>
      <c r="B65" t="str">
        <f>CONCATENATE(285829,",",ROW(BCKQHDR_06610!B65),"|",COLUMN(BCKQHDR_06610!B65),",0",",0")</f>
        <v>285829,65|2,0,0</v>
      </c>
      <c r="C65" t="str">
        <f>CONCATENATE(285999,",",ROW(BCKQHDR_06610!C65),"|",COLUMN(BCKQHDR_06610!C65),",0",",0")</f>
        <v>285999,65|3,0,0</v>
      </c>
      <c r="D65" t="str">
        <f>CONCATENATE(285875,",",ROW(BCKQHDR_06610!D65),"|",COLUMN(BCKQHDR_06610!D65),",0",",0")</f>
        <v>285875,65|4,0,0</v>
      </c>
      <c r="E65" t="str">
        <f>CONCATENATE(286145,",",ROW(BCKQHDR_06610!E65),"|",COLUMN(BCKQHDR_06610!E65),",0",",0")</f>
        <v>286145,65|5,0,0</v>
      </c>
    </row>
    <row r="66" spans="1:5" x14ac:dyDescent="0.25">
      <c r="A66" t="str">
        <f>CONCATENATE(286134,",",ROW(BCKQHDR_06610!A66),"|",COLUMN(BCKQHDR_06610!A66),",0",",0")</f>
        <v>286134,66|1,0,0</v>
      </c>
      <c r="B66" t="str">
        <f>CONCATENATE(285921,",",ROW(BCKQHDR_06610!B66),"|",COLUMN(BCKQHDR_06610!B66),",0",",0")</f>
        <v>285921,66|2,0,0</v>
      </c>
      <c r="C66" t="str">
        <f>CONCATENATE(286000,",",ROW(BCKQHDR_06610!C66),"|",COLUMN(BCKQHDR_06610!C66),",0",",0")</f>
        <v>286000,66|3,0,0</v>
      </c>
      <c r="D66" t="str">
        <f>CONCATENATE(285876,",",ROW(BCKQHDR_06610!D66),"|",COLUMN(BCKQHDR_06610!D66),",0",",0")</f>
        <v>285876,66|4,0,0</v>
      </c>
      <c r="E66" t="str">
        <f>CONCATENATE(286146,",",ROW(BCKQHDR_06610!E66),"|",COLUMN(BCKQHDR_06610!E66),",0",",0")</f>
        <v>286146,66|5,0,0</v>
      </c>
    </row>
    <row r="67" spans="1:5" x14ac:dyDescent="0.25">
      <c r="A67" t="str">
        <f>CONCATENATE(286154,",",ROW(BCKQHDR_06610!A67),"|",COLUMN(BCKQHDR_06610!A67),",0",",0")</f>
        <v>286154,67|1,0,0</v>
      </c>
      <c r="B67" t="str">
        <f>CONCATENATE(285944,",",ROW(BCKQHDR_06610!B67),"|",COLUMN(BCKQHDR_06610!B67),",0",",0")</f>
        <v>285944,67|2,0,0</v>
      </c>
      <c r="C67" t="str">
        <f>CONCATENATE(286001,",",ROW(BCKQHDR_06610!C67),"|",COLUMN(BCKQHDR_06610!C67),",0",",0")</f>
        <v>286001,67|3,0,0</v>
      </c>
      <c r="D67" t="str">
        <f>CONCATENATE(285877,",",ROW(BCKQHDR_06610!D67),"|",COLUMN(BCKQHDR_06610!D67),",0",",0")</f>
        <v>285877,67|4,0,0</v>
      </c>
      <c r="E67" t="str">
        <f>CONCATENATE(286147,",",ROW(BCKQHDR_06610!E67),"|",COLUMN(BCKQHDR_06610!E67),",0",",0")</f>
        <v>286147,67|5,0,0</v>
      </c>
    </row>
    <row r="68" spans="1:5" x14ac:dyDescent="0.25">
      <c r="A68" t="str">
        <f>CONCATENATE(285834,",",ROW(BCKQHDR_06610!A68),"|",COLUMN(BCKQHDR_06610!A68),",0",",0")</f>
        <v>285834,68|1,0,0</v>
      </c>
      <c r="B68" t="str">
        <f>CONCATENATE(285851,",",ROW(BCKQHDR_06610!B68),"|",COLUMN(BCKQHDR_06610!B68),",0",",0")</f>
        <v>285851,68|2,0,0</v>
      </c>
      <c r="C68" t="str">
        <f>CONCATENATE(286002,",",ROW(BCKQHDR_06610!C68),"|",COLUMN(BCKQHDR_06610!C68),",0",",0")</f>
        <v>286002,68|3,0,0</v>
      </c>
      <c r="D68" t="str">
        <f>CONCATENATE(285878,",",ROW(BCKQHDR_06610!D68),"|",COLUMN(BCKQHDR_06610!D68),",0",",0")</f>
        <v>285878,68|4,0,0</v>
      </c>
      <c r="E68" t="str">
        <f>CONCATENATE(286114,",",ROW(BCKQHDR_06610!E68),"|",COLUMN(BCKQHDR_06610!E68),",0",",0")</f>
        <v>286114,68|5,0,0</v>
      </c>
    </row>
    <row r="69" spans="1:5" x14ac:dyDescent="0.25">
      <c r="A69" t="str">
        <f>CONCATENATE(285841,",",ROW(BCKQHDR_06610!A69),"|",COLUMN(BCKQHDR_06610!A69),",0",",0")</f>
        <v>285841,69|1,0,0</v>
      </c>
      <c r="B69" t="str">
        <f>CONCATENATE(285831,",",ROW(BCKQHDR_06610!B69),"|",COLUMN(BCKQHDR_06610!B69),",0",",0")</f>
        <v>285831,69|2,0,0</v>
      </c>
      <c r="C69" t="str">
        <f>CONCATENATE(286003,",",ROW(BCKQHDR_06610!C69),"|",COLUMN(BCKQHDR_06610!C69),",0",",0")</f>
        <v>286003,69|3,0,0</v>
      </c>
      <c r="D69" t="str">
        <f>CONCATENATE(285879,",",ROW(BCKQHDR_06610!D69),"|",COLUMN(BCKQHDR_06610!D69),",0",",0")</f>
        <v>285879,69|4,0,0</v>
      </c>
      <c r="E69" t="str">
        <f>CONCATENATE(286086,",",ROW(BCKQHDR_06610!E69),"|",COLUMN(BCKQHDR_06610!E69),",0",",0")</f>
        <v>286086,69|5,0,0</v>
      </c>
    </row>
    <row r="70" spans="1:5" x14ac:dyDescent="0.25">
      <c r="A70" t="str">
        <f>CONCATENATE(286135,",",ROW(BCKQHDR_06610!A70),"|",COLUMN(BCKQHDR_06610!A70),",0",",0")</f>
        <v>286135,70|1,0,0</v>
      </c>
      <c r="B70" t="str">
        <f>CONCATENATE(286071,",",ROW(BCKQHDR_06610!B70),"|",COLUMN(BCKQHDR_06610!B70),",0",",0")</f>
        <v>286071,70|2,0,0</v>
      </c>
      <c r="C70" t="str">
        <f>CONCATENATE(286004,",",ROW(BCKQHDR_06610!C70),"|",COLUMN(BCKQHDR_06610!C70),",0",",0")</f>
        <v>286004,70|3,0,0</v>
      </c>
      <c r="D70" t="str">
        <f>CONCATENATE(285880,",",ROW(BCKQHDR_06610!D70),"|",COLUMN(BCKQHDR_06610!D70),",0",",0")</f>
        <v>285880,70|4,0,0</v>
      </c>
      <c r="E70" t="str">
        <f>CONCATENATE(286087,",",ROW(BCKQHDR_06610!E70),"|",COLUMN(BCKQHDR_06610!E70),",0",",0")</f>
        <v>286087,70|5,0,0</v>
      </c>
    </row>
    <row r="71" spans="1:5" x14ac:dyDescent="0.25">
      <c r="A71" t="str">
        <f>CONCATENATE(286162,",",ROW(BCKQHDR_06610!A71),"|",COLUMN(BCKQHDR_06610!A71),",0",",0")</f>
        <v>286162,71|1,0,0</v>
      </c>
      <c r="B71" t="str">
        <f>CONCATENATE(285922,",",ROW(BCKQHDR_06610!B71),"|",COLUMN(BCKQHDR_06610!B71),",0",",0")</f>
        <v>285922,71|2,0,0</v>
      </c>
      <c r="C71" t="str">
        <f>CONCATENATE(286005,",",ROW(BCKQHDR_06610!C71),"|",COLUMN(BCKQHDR_06610!C71),",0",",0")</f>
        <v>286005,71|3,0,0</v>
      </c>
      <c r="D71" t="str">
        <f>CONCATENATE(285881,",",ROW(BCKQHDR_06610!D71),"|",COLUMN(BCKQHDR_06610!D71),",0",",0")</f>
        <v>285881,71|4,0,0</v>
      </c>
      <c r="E71" t="str">
        <f>CONCATENATE(286088,",",ROW(BCKQHDR_06610!E71),"|",COLUMN(BCKQHDR_06610!E71),",0",",0")</f>
        <v>286088,71|5,0,0</v>
      </c>
    </row>
    <row r="72" spans="1:5" x14ac:dyDescent="0.25">
      <c r="A72" t="str">
        <f>CONCATENATE(285842,",",ROW(BCKQHDR_06610!A72),"|",COLUMN(BCKQHDR_06610!A72),",0",",0")</f>
        <v>285842,72|1,0,0</v>
      </c>
      <c r="B72" t="str">
        <f>CONCATENATE(285945,",",ROW(BCKQHDR_06610!B72),"|",COLUMN(BCKQHDR_06610!B72),",0",",0")</f>
        <v>285945,72|2,0,0</v>
      </c>
      <c r="C72" t="str">
        <f>CONCATENATE(286006,",",ROW(BCKQHDR_06610!C72),"|",COLUMN(BCKQHDR_06610!C72),",0",",0")</f>
        <v>286006,72|3,0,0</v>
      </c>
      <c r="D72" t="str">
        <f>CONCATENATE(285882,",",ROW(BCKQHDR_06610!D72),"|",COLUMN(BCKQHDR_06610!D72),",0",",0")</f>
        <v>285882,72|4,0,0</v>
      </c>
      <c r="E72" t="str">
        <f>CONCATENATE(286089,",",ROW(BCKQHDR_06610!E72),"|",COLUMN(BCKQHDR_06610!E72),",0",",0")</f>
        <v>286089,72|5,0,0</v>
      </c>
    </row>
    <row r="73" spans="1:5" x14ac:dyDescent="0.25">
      <c r="A73" t="str">
        <f>CONCATENATE(286066,",",ROW(BCKQHDR_06610!A73),"|",COLUMN(BCKQHDR_06610!A73),",0",",0")</f>
        <v>286066,73|1,0,0</v>
      </c>
      <c r="B73" t="str">
        <f>CONCATENATE(285923,",",ROW(BCKQHDR_06610!B73),"|",COLUMN(BCKQHDR_06610!B73),",0",",0")</f>
        <v>285923,73|2,0,0</v>
      </c>
      <c r="C73" t="str">
        <f>CONCATENATE(286007,",",ROW(BCKQHDR_06610!C73),"|",COLUMN(BCKQHDR_06610!C73),",0",",0")</f>
        <v>286007,73|3,0,0</v>
      </c>
      <c r="D73" t="str">
        <f>CONCATENATE(285883,",",ROW(BCKQHDR_06610!D73),"|",COLUMN(BCKQHDR_06610!D73),",0",",0")</f>
        <v>285883,73|4,0,0</v>
      </c>
      <c r="E73" t="str">
        <f>CONCATENATE(286090,",",ROW(BCKQHDR_06610!E73),"|",COLUMN(BCKQHDR_06610!E73),",0",",0")</f>
        <v>286090,73|5,0,0</v>
      </c>
    </row>
    <row r="74" spans="1:5" x14ac:dyDescent="0.25">
      <c r="A74" t="str">
        <f>CONCATENATE(285929,",",ROW(BCKQHDR_06610!A74),"|",COLUMN(BCKQHDR_06610!A74),",0",",0")</f>
        <v>285929,74|1,0,0</v>
      </c>
      <c r="B74" t="str">
        <f>CONCATENATE(285852,",",ROW(BCKQHDR_06610!B74),"|",COLUMN(BCKQHDR_06610!B74),",0",",0")</f>
        <v>285852,74|2,0,0</v>
      </c>
      <c r="C74" t="str">
        <f>CONCATENATE(286008,",",ROW(BCKQHDR_06610!C74),"|",COLUMN(BCKQHDR_06610!C74),",0",",0")</f>
        <v>286008,74|3,0,0</v>
      </c>
      <c r="D74" t="str">
        <f>CONCATENATE(285884,",",ROW(BCKQHDR_06610!D74),"|",COLUMN(BCKQHDR_06610!D74),",0",",0")</f>
        <v>285884,74|4,0,0</v>
      </c>
      <c r="E74" t="str">
        <f>CONCATENATE(286161,",",ROW(BCKQHDR_06610!E74),"|",COLUMN(BCKQHDR_06610!E74),",0",",0")</f>
        <v>286161,74|5,0,0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zoomScale="85" zoomScaleNormal="85" workbookViewId="0">
      <selection sqref="A1:E1"/>
    </sheetView>
  </sheetViews>
  <sheetFormatPr defaultRowHeight="15" x14ac:dyDescent="0.25"/>
  <cols>
    <col min="1" max="1" width="31.28515625" bestFit="1" customWidth="1"/>
    <col min="2" max="2" width="12.7109375" bestFit="1" customWidth="1"/>
    <col min="3" max="3" width="16.7109375" bestFit="1" customWidth="1"/>
    <col min="4" max="4" width="28.85546875" bestFit="1" customWidth="1"/>
    <col min="5" max="5" width="27.5703125" bestFit="1" customWidth="1"/>
  </cols>
  <sheetData>
    <row r="1" spans="1:5" ht="20.25" x14ac:dyDescent="0.3">
      <c r="A1" s="1996" t="s">
        <v>15</v>
      </c>
      <c r="B1" s="1996" t="s">
        <v>5</v>
      </c>
      <c r="C1" s="1996" t="s">
        <v>5</v>
      </c>
      <c r="D1" s="1996" t="s">
        <v>5</v>
      </c>
      <c r="E1" s="1996" t="s">
        <v>5</v>
      </c>
    </row>
    <row r="2" spans="1:5" ht="18.75" x14ac:dyDescent="0.3">
      <c r="A2" s="1997" t="s">
        <v>512</v>
      </c>
      <c r="B2" s="1997" t="s">
        <v>5</v>
      </c>
      <c r="C2" s="1997" t="s">
        <v>5</v>
      </c>
      <c r="D2" s="1997" t="s">
        <v>5</v>
      </c>
      <c r="E2" s="1997" t="s">
        <v>5</v>
      </c>
    </row>
    <row r="3" spans="1:5" ht="18.75" x14ac:dyDescent="0.3">
      <c r="A3" s="1997" t="s">
        <v>513</v>
      </c>
      <c r="B3" s="1997" t="s">
        <v>5</v>
      </c>
      <c r="C3" s="1997" t="s">
        <v>5</v>
      </c>
      <c r="D3" s="1997" t="s">
        <v>5</v>
      </c>
      <c r="E3" s="1997" t="s">
        <v>5</v>
      </c>
    </row>
    <row r="4" spans="1:5" ht="18.75" x14ac:dyDescent="0.25">
      <c r="A4" s="787" t="s">
        <v>394</v>
      </c>
      <c r="B4" s="787" t="s">
        <v>39</v>
      </c>
      <c r="C4" s="787" t="s">
        <v>40</v>
      </c>
      <c r="D4" s="787" t="s">
        <v>395</v>
      </c>
      <c r="E4" s="787" t="s">
        <v>396</v>
      </c>
    </row>
    <row r="5" spans="1:5" ht="16.5" x14ac:dyDescent="0.25">
      <c r="A5" s="794" t="s">
        <v>186</v>
      </c>
      <c r="B5" s="902" t="s">
        <v>144</v>
      </c>
      <c r="C5" s="847" t="s">
        <v>116</v>
      </c>
      <c r="D5" s="903" t="s">
        <v>286</v>
      </c>
      <c r="E5" s="908" t="s">
        <v>117</v>
      </c>
    </row>
    <row r="6" spans="1:5" ht="49.5" x14ac:dyDescent="0.25">
      <c r="A6" s="904" t="s">
        <v>569</v>
      </c>
      <c r="B6" s="786" t="s">
        <v>5</v>
      </c>
      <c r="C6" s="820"/>
      <c r="D6" s="1870"/>
      <c r="E6" s="1870"/>
    </row>
    <row r="7" spans="1:5" ht="49.5" x14ac:dyDescent="0.25">
      <c r="A7" s="793" t="s">
        <v>519</v>
      </c>
      <c r="B7" s="881" t="s">
        <v>286</v>
      </c>
      <c r="C7" s="797"/>
      <c r="D7" s="1871">
        <v>-154459507263334</v>
      </c>
      <c r="E7" s="1871">
        <v>-140971876367728</v>
      </c>
    </row>
    <row r="8" spans="1:5" ht="49.5" x14ac:dyDescent="0.25">
      <c r="A8" s="788" t="s">
        <v>514</v>
      </c>
      <c r="B8" s="882" t="s">
        <v>117</v>
      </c>
      <c r="C8" s="809"/>
      <c r="D8" s="1872">
        <v>153437482173078</v>
      </c>
      <c r="E8" s="1872">
        <v>141481801356105</v>
      </c>
    </row>
    <row r="9" spans="1:5" ht="49.5" x14ac:dyDescent="0.25">
      <c r="A9" s="848" t="s">
        <v>531</v>
      </c>
      <c r="B9" s="883" t="s">
        <v>348</v>
      </c>
      <c r="C9" s="909"/>
      <c r="D9" s="1873" t="s">
        <v>779</v>
      </c>
      <c r="E9" s="1873" t="s">
        <v>779</v>
      </c>
    </row>
    <row r="10" spans="1:5" ht="16.5" x14ac:dyDescent="0.25">
      <c r="A10" s="905" t="s">
        <v>570</v>
      </c>
      <c r="B10" s="884" t="s">
        <v>349</v>
      </c>
      <c r="C10" s="910"/>
      <c r="D10" s="1874">
        <v>45741318133</v>
      </c>
      <c r="E10" s="1874">
        <v>70519147087</v>
      </c>
    </row>
    <row r="11" spans="1:5" ht="33" x14ac:dyDescent="0.25">
      <c r="A11" s="849" t="s">
        <v>532</v>
      </c>
      <c r="B11" s="885" t="s">
        <v>308</v>
      </c>
      <c r="C11" s="911"/>
      <c r="D11" s="1875">
        <v>502103502321</v>
      </c>
      <c r="E11" s="1875">
        <v>484507479347</v>
      </c>
    </row>
    <row r="12" spans="1:5" ht="33" x14ac:dyDescent="0.25">
      <c r="A12" s="850" t="s">
        <v>533</v>
      </c>
      <c r="B12" s="886" t="s">
        <v>351</v>
      </c>
      <c r="C12" s="912"/>
      <c r="D12" s="1876">
        <v>-110937836400</v>
      </c>
      <c r="E12" s="1876">
        <v>-87686641206</v>
      </c>
    </row>
    <row r="13" spans="1:5" ht="33" x14ac:dyDescent="0.25">
      <c r="A13" s="789" t="s">
        <v>515</v>
      </c>
      <c r="B13" s="863" t="s">
        <v>352</v>
      </c>
      <c r="C13" s="823"/>
      <c r="D13" s="1877">
        <v>-79730741243</v>
      </c>
      <c r="E13" s="1877">
        <v>-70977455615</v>
      </c>
    </row>
    <row r="14" spans="1:5" ht="49.5" x14ac:dyDescent="0.25">
      <c r="A14" s="906" t="s">
        <v>571</v>
      </c>
      <c r="B14" s="856" t="s">
        <v>309</v>
      </c>
      <c r="C14" s="821"/>
      <c r="D14" s="1947">
        <v>-266209484688</v>
      </c>
      <c r="E14" s="1947">
        <v>-254225093459</v>
      </c>
    </row>
    <row r="15" spans="1:5" ht="33" x14ac:dyDescent="0.25">
      <c r="A15" s="852" t="s">
        <v>535</v>
      </c>
      <c r="B15" s="857" t="s">
        <v>371</v>
      </c>
      <c r="C15" s="832"/>
      <c r="D15" s="1948">
        <v>-239088483804</v>
      </c>
      <c r="E15" s="1948">
        <v>-208927117778</v>
      </c>
    </row>
    <row r="16" spans="1:5" ht="49.5" x14ac:dyDescent="0.25">
      <c r="A16" s="868" t="s">
        <v>545</v>
      </c>
      <c r="B16" s="858" t="s">
        <v>367</v>
      </c>
      <c r="C16" s="798"/>
      <c r="D16" s="1949" t="s">
        <v>779</v>
      </c>
      <c r="E16" s="1949" t="s">
        <v>779</v>
      </c>
    </row>
    <row r="17" spans="1:5" ht="49.5" x14ac:dyDescent="0.25">
      <c r="A17" s="851" t="s">
        <v>534</v>
      </c>
      <c r="B17" s="859" t="s">
        <v>353</v>
      </c>
      <c r="C17" s="831"/>
      <c r="D17" s="1950">
        <v>7009698513469</v>
      </c>
      <c r="E17" s="1950">
        <v>7431351608066</v>
      </c>
    </row>
    <row r="18" spans="1:5" ht="66" x14ac:dyDescent="0.25">
      <c r="A18" s="869" t="s">
        <v>546</v>
      </c>
      <c r="B18" s="875" t="s">
        <v>310</v>
      </c>
      <c r="C18" s="918"/>
      <c r="D18" s="1951">
        <v>-6514174100681</v>
      </c>
      <c r="E18" s="1951">
        <v>-7289606468557</v>
      </c>
    </row>
    <row r="19" spans="1:5" ht="51.75" x14ac:dyDescent="0.25">
      <c r="A19" s="870" t="s">
        <v>547</v>
      </c>
      <c r="B19" s="864" t="s">
        <v>541</v>
      </c>
      <c r="C19" s="799"/>
      <c r="D19" s="1942">
        <f>SUM(D7:D18)</f>
        <v>-674622403149</v>
      </c>
      <c r="E19" s="1942">
        <f>SUM(E7:E18)</f>
        <v>584880446262</v>
      </c>
    </row>
    <row r="20" spans="1:5" ht="49.5" x14ac:dyDescent="0.25">
      <c r="A20" s="853" t="s">
        <v>536</v>
      </c>
      <c r="B20" s="786" t="s">
        <v>5</v>
      </c>
      <c r="C20" s="833"/>
      <c r="D20" s="1952"/>
      <c r="E20" s="1952"/>
    </row>
    <row r="21" spans="1:5" ht="66" x14ac:dyDescent="0.25">
      <c r="A21" s="892" t="s">
        <v>560</v>
      </c>
      <c r="B21" s="914" t="s">
        <v>350</v>
      </c>
      <c r="C21" s="815"/>
      <c r="D21" s="1878">
        <v>-9294727000</v>
      </c>
      <c r="E21" s="1878">
        <v>-6961767675</v>
      </c>
    </row>
    <row r="22" spans="1:5" ht="66" x14ac:dyDescent="0.25">
      <c r="A22" s="790" t="s">
        <v>516</v>
      </c>
      <c r="B22" s="913" t="s">
        <v>573</v>
      </c>
      <c r="C22" s="824"/>
      <c r="D22" s="1879"/>
      <c r="E22" s="1879"/>
    </row>
    <row r="23" spans="1:5" ht="66" x14ac:dyDescent="0.25">
      <c r="A23" s="792" t="s">
        <v>518</v>
      </c>
      <c r="B23" s="825" t="s">
        <v>522</v>
      </c>
      <c r="C23" s="835"/>
      <c r="D23" s="1880"/>
      <c r="E23" s="1880"/>
    </row>
    <row r="24" spans="1:5" ht="66" x14ac:dyDescent="0.25">
      <c r="A24" s="795" t="s">
        <v>520</v>
      </c>
      <c r="B24" s="796" t="s">
        <v>521</v>
      </c>
      <c r="C24" s="834"/>
      <c r="D24" s="1881"/>
      <c r="E24" s="1881"/>
    </row>
    <row r="25" spans="1:5" ht="66" x14ac:dyDescent="0.25">
      <c r="A25" s="854" t="s">
        <v>537</v>
      </c>
      <c r="B25" s="841" t="s">
        <v>528</v>
      </c>
      <c r="C25" s="829"/>
      <c r="D25" s="1882"/>
      <c r="E25" s="1882"/>
    </row>
    <row r="26" spans="1:5" ht="49.5" x14ac:dyDescent="0.25">
      <c r="A26" s="893" t="s">
        <v>561</v>
      </c>
      <c r="B26" s="876" t="s">
        <v>551</v>
      </c>
      <c r="C26" s="804"/>
      <c r="D26" s="1925">
        <f>+D21+D22+D23+D24+D25</f>
        <v>-9294727000</v>
      </c>
      <c r="E26" s="1925">
        <f>+E21+E22+E23+E24+E25</f>
        <v>-6961767675</v>
      </c>
    </row>
    <row r="27" spans="1:5" ht="49.5" x14ac:dyDescent="0.25">
      <c r="A27" s="791" t="s">
        <v>517</v>
      </c>
      <c r="B27" s="786" t="s">
        <v>5</v>
      </c>
      <c r="C27" s="805"/>
      <c r="D27" s="1883"/>
      <c r="E27" s="1883"/>
    </row>
    <row r="28" spans="1:5" ht="66" x14ac:dyDescent="0.25">
      <c r="A28" s="871" t="s">
        <v>548</v>
      </c>
      <c r="B28" s="877" t="s">
        <v>552</v>
      </c>
      <c r="C28" s="800"/>
      <c r="D28" s="1884"/>
      <c r="E28" s="1884"/>
    </row>
    <row r="29" spans="1:5" ht="66" x14ac:dyDescent="0.25">
      <c r="A29" s="836" t="s">
        <v>523</v>
      </c>
      <c r="B29" s="865" t="s">
        <v>542</v>
      </c>
      <c r="C29" s="826"/>
      <c r="D29" s="1885"/>
      <c r="E29" s="1885"/>
    </row>
    <row r="30" spans="1:5" ht="33" x14ac:dyDescent="0.25">
      <c r="A30" s="872" t="s">
        <v>549</v>
      </c>
      <c r="B30" s="860" t="s">
        <v>539</v>
      </c>
      <c r="C30" s="801"/>
      <c r="D30" s="1886">
        <v>9266672866431</v>
      </c>
      <c r="E30" s="1886">
        <v>10412120000000</v>
      </c>
    </row>
    <row r="31" spans="1:5" ht="49.5" x14ac:dyDescent="0.25">
      <c r="A31" s="837" t="s">
        <v>524</v>
      </c>
      <c r="B31" s="887" t="s">
        <v>556</v>
      </c>
      <c r="C31" s="810"/>
      <c r="D31" s="1887" t="s">
        <v>779</v>
      </c>
      <c r="E31" s="1887" t="s">
        <v>779</v>
      </c>
    </row>
    <row r="32" spans="1:5" ht="33" x14ac:dyDescent="0.25">
      <c r="A32" s="894" t="s">
        <v>562</v>
      </c>
      <c r="B32" s="866" t="s">
        <v>543</v>
      </c>
      <c r="C32" s="816"/>
      <c r="D32" s="1888">
        <v>9266672866431</v>
      </c>
      <c r="E32" s="1888">
        <v>10412120000000</v>
      </c>
    </row>
    <row r="33" spans="1:5" ht="33" x14ac:dyDescent="0.25">
      <c r="A33" s="873" t="s">
        <v>550</v>
      </c>
      <c r="B33" s="842" t="s">
        <v>387</v>
      </c>
      <c r="C33" s="802"/>
      <c r="D33" s="1889">
        <v>-8326092866431</v>
      </c>
      <c r="E33" s="1889">
        <v>-10767600000000</v>
      </c>
    </row>
    <row r="34" spans="1:5" ht="49.5" x14ac:dyDescent="0.25">
      <c r="A34" s="900" t="s">
        <v>567</v>
      </c>
      <c r="B34" s="888" t="s">
        <v>557</v>
      </c>
      <c r="C34" s="811"/>
      <c r="D34" s="1890" t="s">
        <v>779</v>
      </c>
      <c r="E34" s="1890" t="s">
        <v>779</v>
      </c>
    </row>
    <row r="35" spans="1:5" ht="49.5" x14ac:dyDescent="0.25">
      <c r="A35" s="838" t="s">
        <v>525</v>
      </c>
      <c r="B35" s="878" t="s">
        <v>553</v>
      </c>
      <c r="C35" s="806"/>
      <c r="D35" s="1891" t="s">
        <v>779</v>
      </c>
      <c r="E35" s="1891" t="s">
        <v>779</v>
      </c>
    </row>
    <row r="36" spans="1:5" ht="33" x14ac:dyDescent="0.25">
      <c r="A36" s="839" t="s">
        <v>526</v>
      </c>
      <c r="B36" s="867" t="s">
        <v>544</v>
      </c>
      <c r="C36" s="827"/>
      <c r="D36" s="1892">
        <v>-8326092866431</v>
      </c>
      <c r="E36" s="1892">
        <v>-10767600000000</v>
      </c>
    </row>
    <row r="37" spans="1:5" ht="49.5" x14ac:dyDescent="0.25">
      <c r="A37" s="840" t="s">
        <v>527</v>
      </c>
      <c r="B37" s="889" t="s">
        <v>314</v>
      </c>
      <c r="C37" s="812"/>
      <c r="D37" s="1893"/>
      <c r="E37" s="1893"/>
    </row>
    <row r="38" spans="1:5" ht="49.5" x14ac:dyDescent="0.25">
      <c r="A38" s="901" t="s">
        <v>568</v>
      </c>
      <c r="B38" s="879" t="s">
        <v>554</v>
      </c>
      <c r="C38" s="807"/>
      <c r="D38" s="1894">
        <v>-56606267360</v>
      </c>
      <c r="E38" s="1894">
        <v>-56637033720</v>
      </c>
    </row>
    <row r="39" spans="1:5" ht="51.75" x14ac:dyDescent="0.25">
      <c r="A39" s="907" t="s">
        <v>572</v>
      </c>
      <c r="B39" s="915" t="s">
        <v>462</v>
      </c>
      <c r="C39" s="822"/>
      <c r="D39" s="1925">
        <f>+D38+D37+D33+D30+D29+D28</f>
        <v>883973732640</v>
      </c>
      <c r="E39" s="1925">
        <f>+E38+E37+E33+E30+E29+E28</f>
        <v>-412117033720</v>
      </c>
    </row>
    <row r="40" spans="1:5" ht="49.5" x14ac:dyDescent="0.25">
      <c r="A40" s="895" t="s">
        <v>563</v>
      </c>
      <c r="B40" s="890" t="s">
        <v>558</v>
      </c>
      <c r="C40" s="813"/>
      <c r="D40" s="1942">
        <f>+D39+D26+D19</f>
        <v>200056602491</v>
      </c>
      <c r="E40" s="1942">
        <f>+E39+E26+E19</f>
        <v>165801644867</v>
      </c>
    </row>
    <row r="41" spans="1:5" ht="49.5" x14ac:dyDescent="0.25">
      <c r="A41" s="896" t="s">
        <v>564</v>
      </c>
      <c r="B41" s="880" t="s">
        <v>555</v>
      </c>
      <c r="C41" s="808"/>
      <c r="D41" s="1942">
        <f>+D42+D43+D44</f>
        <v>167854336536</v>
      </c>
      <c r="E41" s="1942">
        <f>+E42+E43+E44</f>
        <v>2052691669</v>
      </c>
    </row>
    <row r="42" spans="1:5" ht="16.5" x14ac:dyDescent="0.25">
      <c r="A42" s="917" t="s">
        <v>566</v>
      </c>
      <c r="B42" s="891" t="s">
        <v>559</v>
      </c>
      <c r="C42" s="814"/>
      <c r="D42" s="1943">
        <v>167854336536</v>
      </c>
      <c r="E42" s="1943">
        <v>2052691669</v>
      </c>
    </row>
    <row r="43" spans="1:5" ht="33" x14ac:dyDescent="0.25">
      <c r="A43" s="897" t="s">
        <v>565</v>
      </c>
      <c r="B43" s="843" t="s">
        <v>403</v>
      </c>
      <c r="C43" s="817"/>
      <c r="D43" s="1944"/>
      <c r="E43" s="1944"/>
    </row>
    <row r="44" spans="1:5" ht="49.5" x14ac:dyDescent="0.25">
      <c r="A44" s="874" t="s">
        <v>538</v>
      </c>
      <c r="B44" s="861" t="s">
        <v>540</v>
      </c>
      <c r="C44" s="803"/>
      <c r="D44" s="1945"/>
      <c r="E44" s="1945"/>
    </row>
    <row r="45" spans="1:5" ht="66" x14ac:dyDescent="0.25">
      <c r="A45" s="916" t="s">
        <v>574</v>
      </c>
      <c r="B45" s="844" t="s">
        <v>417</v>
      </c>
      <c r="C45" s="828"/>
      <c r="D45" s="1942">
        <f>+D40+D41</f>
        <v>367910939027</v>
      </c>
      <c r="E45" s="1942">
        <f>+E40+E41</f>
        <v>167854336536</v>
      </c>
    </row>
    <row r="46" spans="1:5" ht="16.5" x14ac:dyDescent="0.25">
      <c r="A46" s="898" t="s">
        <v>566</v>
      </c>
      <c r="B46" s="862" t="s">
        <v>418</v>
      </c>
      <c r="C46" s="818"/>
      <c r="D46" s="1946">
        <v>367910939027</v>
      </c>
      <c r="E46" s="1946">
        <v>167854336536</v>
      </c>
    </row>
    <row r="47" spans="1:5" ht="33" x14ac:dyDescent="0.25">
      <c r="A47" s="899" t="s">
        <v>565</v>
      </c>
      <c r="B47" s="845" t="s">
        <v>529</v>
      </c>
      <c r="C47" s="819"/>
      <c r="D47" s="1895"/>
      <c r="E47" s="1895"/>
    </row>
    <row r="48" spans="1:5" ht="49.5" x14ac:dyDescent="0.25">
      <c r="A48" s="855" t="s">
        <v>538</v>
      </c>
      <c r="B48" s="846" t="s">
        <v>530</v>
      </c>
      <c r="C48" s="830"/>
      <c r="D48" s="1974"/>
      <c r="E48" s="1974"/>
    </row>
  </sheetData>
  <mergeCells count="3">
    <mergeCell ref="A1:E1"/>
    <mergeCell ref="A2:E2"/>
    <mergeCell ref="A3:E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5:E48"/>
  <sheetViews>
    <sheetView workbookViewId="0"/>
  </sheetViews>
  <sheetFormatPr defaultRowHeight="15" x14ac:dyDescent="0.25"/>
  <cols>
    <col min="1" max="1" width="1" style="40" bestFit="1" customWidth="1"/>
    <col min="2" max="5" width="1" bestFit="1" customWidth="1"/>
  </cols>
  <sheetData>
    <row r="5" spans="1:5" x14ac:dyDescent="0.25">
      <c r="A5" t="str">
        <f>CONCATENATE(286883,",",ROW(BCLCTTRTT_06611!A5),"|",COLUMN(BCLCTTRTT_06611!A5),",0",",0")</f>
        <v>286883,5|1,0,0</v>
      </c>
      <c r="B5" t="str">
        <f>CONCATENATE(286869,",",ROW(BCLCTTRTT_06611!B5),"|",COLUMN(BCLCTTRTT_06611!B5),",0",",0")</f>
        <v>286869,5|2,0,0</v>
      </c>
      <c r="C5" t="str">
        <f>CONCATENATE(286951,",",ROW(BCLCTTRTT_06611!C5),"|",COLUMN(BCLCTTRTT_06611!C5),",0",",0")</f>
        <v>286951,5|3,0,0</v>
      </c>
      <c r="D5" t="str">
        <f>CONCATENATE(286870,",",ROW(BCLCTTRTT_06611!D5),"|",COLUMN(BCLCTTRTT_06611!D5),",0",",0")</f>
        <v>286870,5|4,0,0</v>
      </c>
      <c r="E5" t="str">
        <f>CONCATENATE(286875,",",ROW(BCLCTTRTT_06611!E5),"|",COLUMN(BCLCTTRTT_06611!E5),",0",",0")</f>
        <v>286875,5|5,0,0</v>
      </c>
    </row>
    <row r="6" spans="1:5" x14ac:dyDescent="0.25">
      <c r="A6" t="str">
        <f>CONCATENATE(286871,",",ROW(BCLCTTRTT_06611!A6),"|",COLUMN(BCLCTTRTT_06611!A6),",0",",0")</f>
        <v>286871,6|1,0,0</v>
      </c>
      <c r="B6" t="s">
        <v>5</v>
      </c>
      <c r="C6" t="str">
        <f>CONCATENATE(286913,",",ROW(BCLCTTRTT_06611!C6),"|",COLUMN(BCLCTTRTT_06611!C6),",0",",0")</f>
        <v>286913,6|3,0,0</v>
      </c>
      <c r="D6" t="str">
        <f>CONCATENATE(286778,",",ROW(BCLCTTRTT_06611!D6),"|",COLUMN(BCLCTTRTT_06611!D6),",0",",0")</f>
        <v>286778,6|4,0,0</v>
      </c>
      <c r="E6" t="str">
        <f>CONCATENATE(286820,",",ROW(BCLCTTRTT_06611!E6),"|",COLUMN(BCLCTTRTT_06611!E6),",0",",0")</f>
        <v>286820,6|5,0,0</v>
      </c>
    </row>
    <row r="7" spans="1:5" x14ac:dyDescent="0.25">
      <c r="A7" t="str">
        <f>CONCATENATE(286882,",",ROW(BCLCTTRTT_06611!A7),"|",COLUMN(BCLCTTRTT_06611!A7),",0",",0")</f>
        <v>286882,7|1,0,0</v>
      </c>
      <c r="B7" t="str">
        <f>CONCATENATE(286848,",",ROW(BCLCTTRTT_06611!B7),"|",COLUMN(BCLCTTRTT_06611!B7),",0",",0")</f>
        <v>286848,7|2,0,0</v>
      </c>
      <c r="C7" t="str">
        <f>CONCATENATE(286886,",",ROW(BCLCTTRTT_06611!C7),"|",COLUMN(BCLCTTRTT_06611!C7),",0",",0")</f>
        <v>286886,7|3,0,0</v>
      </c>
      <c r="D7" t="str">
        <f>CONCATENATE(286929,",",ROW(BCLCTTRTT_06611!D7),"|",COLUMN(BCLCTTRTT_06611!D7),",0",",0")</f>
        <v>286929,7|4,0,0</v>
      </c>
      <c r="E7" t="str">
        <f>CONCATENATE(286794,",",ROW(BCLCTTRTT_06611!E7),"|",COLUMN(BCLCTTRTT_06611!E7),",0",",0")</f>
        <v>286794,7|5,0,0</v>
      </c>
    </row>
    <row r="8" spans="1:5" x14ac:dyDescent="0.25">
      <c r="A8" t="str">
        <f>CONCATENATE(286877,",",ROW(BCLCTTRTT_06611!A8),"|",COLUMN(BCLCTTRTT_06611!A8),",0",",0")</f>
        <v>286877,8|1,0,0</v>
      </c>
      <c r="B8" t="str">
        <f>CONCATENATE(286849,",",ROW(BCLCTTRTT_06611!B8),"|",COLUMN(BCLCTTRTT_06611!B8),",0",",0")</f>
        <v>286849,8|2,0,0</v>
      </c>
      <c r="C8" t="str">
        <f>CONCATENATE(286898,",",ROW(BCLCTTRTT_06611!C8),"|",COLUMN(BCLCTTRTT_06611!C8),",0",",0")</f>
        <v>286898,8|3,0,0</v>
      </c>
      <c r="D8" t="str">
        <f>CONCATENATE(286763,",",ROW(BCLCTTRTT_06611!D8),"|",COLUMN(BCLCTTRTT_06611!D8),",0",",0")</f>
        <v>286763,8|4,0,0</v>
      </c>
      <c r="E8" t="str">
        <f>CONCATENATE(286806,",",ROW(BCLCTTRTT_06611!E8),"|",COLUMN(BCLCTTRTT_06611!E8),",0",",0")</f>
        <v>286806,8|5,0,0</v>
      </c>
    </row>
    <row r="9" spans="1:5" x14ac:dyDescent="0.25">
      <c r="A9" t="str">
        <f>CONCATENATE(286952,",",ROW(BCLCTTRTT_06611!A9),"|",COLUMN(BCLCTTRTT_06611!A9),",0",",0")</f>
        <v>286952,9|1,0,0</v>
      </c>
      <c r="B9" t="str">
        <f>CONCATENATE(286850,",",ROW(BCLCTTRTT_06611!B9),"|",COLUMN(BCLCTTRTT_06611!B9),",0",",0")</f>
        <v>286850,9|2,0,0</v>
      </c>
      <c r="C9" t="str">
        <f>CONCATENATE(286899,",",ROW(BCLCTTRTT_06611!C9),"|",COLUMN(BCLCTTRTT_06611!C9),",0",",0")</f>
        <v>286899,9|3,0,0</v>
      </c>
      <c r="D9" t="str">
        <f>CONCATENATE(286764,",",ROW(BCLCTTRTT_06611!D9),"|",COLUMN(BCLCTTRTT_06611!D9),",0",",0")</f>
        <v>286764,9|4,0,0</v>
      </c>
      <c r="E9" t="str">
        <f>CONCATENATE(286807,",",ROW(BCLCTTRTT_06611!E9),"|",COLUMN(BCLCTTRTT_06611!E9),",0",",0")</f>
        <v>286807,9|5,0,0</v>
      </c>
    </row>
    <row r="10" spans="1:5" x14ac:dyDescent="0.25">
      <c r="A10" t="str">
        <f>CONCATENATE(286872,",",ROW(BCLCTTRTT_06611!A10),"|",COLUMN(BCLCTTRTT_06611!A10),",0",",0")</f>
        <v>286872,10|1,0,0</v>
      </c>
      <c r="B10" t="str">
        <f>CONCATENATE(286851,",",ROW(BCLCTTRTT_06611!B10),"|",COLUMN(BCLCTTRTT_06611!B10),",0",",0")</f>
        <v>286851,10|2,0,0</v>
      </c>
      <c r="C10" t="str">
        <f>CONCATENATE(286900,",",ROW(BCLCTTRTT_06611!C10),"|",COLUMN(BCLCTTRTT_06611!C10),",0",",0")</f>
        <v>286900,10|3,0,0</v>
      </c>
      <c r="D10" t="str">
        <f>CONCATENATE(286765,",",ROW(BCLCTTRTT_06611!D10),"|",COLUMN(BCLCTTRTT_06611!D10),",0",",0")</f>
        <v>286765,10|4,0,0</v>
      </c>
      <c r="E10" t="str">
        <f>CONCATENATE(286808,",",ROW(BCLCTTRTT_06611!E10),"|",COLUMN(BCLCTTRTT_06611!E10),",0",",0")</f>
        <v>286808,10|5,0,0</v>
      </c>
    </row>
    <row r="11" spans="1:5" x14ac:dyDescent="0.25">
      <c r="A11" t="str">
        <f>CONCATENATE(286953,",",ROW(BCLCTTRTT_06611!A11),"|",COLUMN(BCLCTTRTT_06611!A11),",0",",0")</f>
        <v>286953,11|1,0,0</v>
      </c>
      <c r="B11" t="str">
        <f>CONCATENATE(286852,",",ROW(BCLCTTRTT_06611!B11),"|",COLUMN(BCLCTTRTT_06611!B11),",0",",0")</f>
        <v>286852,11|2,0,0</v>
      </c>
      <c r="C11" t="str">
        <f>CONCATENATE(286901,",",ROW(BCLCTTRTT_06611!C11),"|",COLUMN(BCLCTTRTT_06611!C11),",0",",0")</f>
        <v>286901,11|3,0,0</v>
      </c>
      <c r="D11" t="str">
        <f>CONCATENATE(286766,",",ROW(BCLCTTRTT_06611!D11),"|",COLUMN(BCLCTTRTT_06611!D11),",0",",0")</f>
        <v>286766,11|4,0,0</v>
      </c>
      <c r="E11" t="str">
        <f>CONCATENATE(286809,",",ROW(BCLCTTRTT_06611!E11),"|",COLUMN(BCLCTTRTT_06611!E11),",0",",0")</f>
        <v>286809,11|5,0,0</v>
      </c>
    </row>
    <row r="12" spans="1:5" x14ac:dyDescent="0.25">
      <c r="A12" t="str">
        <f>CONCATENATE(286954,",",ROW(BCLCTTRTT_06611!A12),"|",COLUMN(BCLCTTRTT_06611!A12),",0",",0")</f>
        <v>286954,12|1,0,0</v>
      </c>
      <c r="B12" t="str">
        <f>CONCATENATE(286853,",",ROW(BCLCTTRTT_06611!B12),"|",COLUMN(BCLCTTRTT_06611!B12),",0",",0")</f>
        <v>286853,12|2,0,0</v>
      </c>
      <c r="C12" t="str">
        <f>CONCATENATE(286902,",",ROW(BCLCTTRTT_06611!C12),"|",COLUMN(BCLCTTRTT_06611!C12),",0",",0")</f>
        <v>286902,12|3,0,0</v>
      </c>
      <c r="D12" t="str">
        <f>CONCATENATE(286767,",",ROW(BCLCTTRTT_06611!D12),"|",COLUMN(BCLCTTRTT_06611!D12),",0",",0")</f>
        <v>286767,12|4,0,0</v>
      </c>
      <c r="E12" t="str">
        <f>CONCATENATE(286810,",",ROW(BCLCTTRTT_06611!E12),"|",COLUMN(BCLCTTRTT_06611!E12),",0",",0")</f>
        <v>286810,12|5,0,0</v>
      </c>
    </row>
    <row r="13" spans="1:5" x14ac:dyDescent="0.25">
      <c r="A13" t="str">
        <f>CONCATENATE(286878,",",ROW(BCLCTTRTT_06611!A13),"|",COLUMN(BCLCTTRTT_06611!A13),",0",",0")</f>
        <v>286878,13|1,0,0</v>
      </c>
      <c r="B13" t="str">
        <f>CONCATENATE(286967,",",ROW(BCLCTTRTT_06611!B13),"|",COLUMN(BCLCTTRTT_06611!B13),",0",",0")</f>
        <v>286967,13|2,0,0</v>
      </c>
      <c r="C13" t="str">
        <f>CONCATENATE(286916,",",ROW(BCLCTTRTT_06611!C13),"|",COLUMN(BCLCTTRTT_06611!C13),",0",",0")</f>
        <v>286916,13|3,0,0</v>
      </c>
      <c r="D13" t="str">
        <f>CONCATENATE(286781,",",ROW(BCLCTTRTT_06611!D13),"|",COLUMN(BCLCTTRTT_06611!D13),",0",",0")</f>
        <v>286781,13|4,0,0</v>
      </c>
      <c r="E13" t="str">
        <f>CONCATENATE(286823,",",ROW(BCLCTTRTT_06611!E13),"|",COLUMN(BCLCTTRTT_06611!E13),",0",",0")</f>
        <v>286823,13|5,0,0</v>
      </c>
    </row>
    <row r="14" spans="1:5" x14ac:dyDescent="0.25">
      <c r="A14" t="str">
        <f>CONCATENATE(286873,",",ROW(BCLCTTRTT_06611!A14),"|",COLUMN(BCLCTTRTT_06611!A14),",0",",0")</f>
        <v>286873,14|1,0,0</v>
      </c>
      <c r="B14" t="str">
        <f>CONCATENATE(286960,",",ROW(BCLCTTRTT_06611!B14),"|",COLUMN(BCLCTTRTT_06611!B14),",0",",0")</f>
        <v>286960,14|2,0,0</v>
      </c>
      <c r="C14" t="str">
        <f>CONCATENATE(286914,",",ROW(BCLCTTRTT_06611!C14),"|",COLUMN(BCLCTTRTT_06611!C14),",0",",0")</f>
        <v>286914,14|3,0,0</v>
      </c>
      <c r="D14" t="str">
        <f>CONCATENATE(286779,",",ROW(BCLCTTRTT_06611!D14),"|",COLUMN(BCLCTTRTT_06611!D14),",0",",0")</f>
        <v>286779,14|4,0,0</v>
      </c>
      <c r="E14" t="str">
        <f>CONCATENATE(286821,",",ROW(BCLCTTRTT_06611!E14),"|",COLUMN(BCLCTTRTT_06611!E14),",0",",0")</f>
        <v>286821,14|5,0,0</v>
      </c>
    </row>
    <row r="15" spans="1:5" x14ac:dyDescent="0.25">
      <c r="A15" t="str">
        <f>CONCATENATE(286956,",",ROW(BCLCTTRTT_06611!A15),"|",COLUMN(BCLCTTRTT_06611!A15),",0",",0")</f>
        <v>286956,15|1,0,0</v>
      </c>
      <c r="B15" t="str">
        <f>CONCATENATE(286961,",",ROW(BCLCTTRTT_06611!B15),"|",COLUMN(BCLCTTRTT_06611!B15),",0",",0")</f>
        <v>286961,15|2,0,0</v>
      </c>
      <c r="C15" t="str">
        <f>CONCATENATE(286925,",",ROW(BCLCTTRTT_06611!C15),"|",COLUMN(BCLCTTRTT_06611!C15),",0",",0")</f>
        <v>286925,15|3,0,0</v>
      </c>
      <c r="D15" t="str">
        <f>CONCATENATE(286789,",",ROW(BCLCTTRTT_06611!D15),"|",COLUMN(BCLCTTRTT_06611!D15),",0",",0")</f>
        <v>286789,15|4,0,0</v>
      </c>
      <c r="E15" t="str">
        <f>CONCATENATE(286831,",",ROW(BCLCTTRTT_06611!E15),"|",COLUMN(BCLCTTRTT_06611!E15),",0",",0")</f>
        <v>286831,15|5,0,0</v>
      </c>
    </row>
    <row r="16" spans="1:5" x14ac:dyDescent="0.25">
      <c r="A16" t="str">
        <f>CONCATENATE(286835,",",ROW(BCLCTTRTT_06611!A16),"|",COLUMN(BCLCTTRTT_06611!A16),",0",",0")</f>
        <v>286835,16|1,0,0</v>
      </c>
      <c r="B16" t="str">
        <f>CONCATENATE(286962,",",ROW(BCLCTTRTT_06611!B16),"|",COLUMN(BCLCTTRTT_06611!B16),",0",",0")</f>
        <v>286962,16|2,0,0</v>
      </c>
      <c r="C16" t="str">
        <f>CONCATENATE(286887,",",ROW(BCLCTTRTT_06611!C16),"|",COLUMN(BCLCTTRTT_06611!C16),",0",",0")</f>
        <v>286887,16|3,0,0</v>
      </c>
      <c r="D16" t="str">
        <f>CONCATENATE(286930,",",ROW(BCLCTTRTT_06611!D16),"|",COLUMN(BCLCTTRTT_06611!D16),",0",",0")</f>
        <v>286930,16|4,0,0</v>
      </c>
      <c r="E16" t="str">
        <f>CONCATENATE(286795,",",ROW(BCLCTTRTT_06611!E16),"|",COLUMN(BCLCTTRTT_06611!E16),",0",",0")</f>
        <v>286795,16|5,0,0</v>
      </c>
    </row>
    <row r="17" spans="1:5" x14ac:dyDescent="0.25">
      <c r="A17" t="str">
        <f>CONCATENATE(286955,",",ROW(BCLCTTRTT_06611!A17),"|",COLUMN(BCLCTTRTT_06611!A17),",0",",0")</f>
        <v>286955,17|1,0,0</v>
      </c>
      <c r="B17" t="str">
        <f>CONCATENATE(286963,",",ROW(BCLCTTRTT_06611!B17),"|",COLUMN(BCLCTTRTT_06611!B17),",0",",0")</f>
        <v>286963,17|2,0,0</v>
      </c>
      <c r="C17" t="str">
        <f>CONCATENATE(286924,",",ROW(BCLCTTRTT_06611!C17),"|",COLUMN(BCLCTTRTT_06611!C17),",0",",0")</f>
        <v>286924,17|3,0,0</v>
      </c>
      <c r="D17" t="str">
        <f>CONCATENATE(286788,",",ROW(BCLCTTRTT_06611!D17),"|",COLUMN(BCLCTTRTT_06611!D17),",0",",0")</f>
        <v>286788,17|4,0,0</v>
      </c>
      <c r="E17" t="str">
        <f>CONCATENATE(286830,",",ROW(BCLCTTRTT_06611!E17),"|",COLUMN(BCLCTTRTT_06611!E17),",0",",0")</f>
        <v>286830,17|5,0,0</v>
      </c>
    </row>
    <row r="18" spans="1:5" x14ac:dyDescent="0.25">
      <c r="A18" t="str">
        <f>CONCATENATE(286836,",",ROW(BCLCTTRTT_06611!A18),"|",COLUMN(BCLCTTRTT_06611!A18),",0",",0")</f>
        <v>286836,18|1,0,0</v>
      </c>
      <c r="B18" t="str">
        <f>CONCATENATE(286842,",",ROW(BCLCTTRTT_06611!B18),"|",COLUMN(BCLCTTRTT_06611!B18),",0",",0")</f>
        <v>286842,18|2,0,0</v>
      </c>
      <c r="C18" t="str">
        <f>CONCATENATE(286790,",",ROW(BCLCTTRTT_06611!C18),"|",COLUMN(BCLCTTRTT_06611!C18),",0",",0")</f>
        <v>286790,18|3,0,0</v>
      </c>
      <c r="D18" t="str">
        <f>CONCATENATE(286931,",",ROW(BCLCTTRTT_06611!D18),"|",COLUMN(BCLCTTRTT_06611!D18),",0",",0")</f>
        <v>286931,18|4,0,0</v>
      </c>
      <c r="E18" t="str">
        <f>CONCATENATE(286796,",",ROW(BCLCTTRTT_06611!E18),"|",COLUMN(BCLCTTRTT_06611!E18),",0",",0")</f>
        <v>286796,18|5,0,0</v>
      </c>
    </row>
    <row r="19" spans="1:5" x14ac:dyDescent="0.25">
      <c r="A19" t="str">
        <f>CONCATENATE(286837,",",ROW(BCLCTTRTT_06611!A19),"|",COLUMN(BCLCTTRTT_06611!A19),",0",",0")</f>
        <v>286837,19|1,0,0</v>
      </c>
      <c r="B19" t="str">
        <f>CONCATENATE(286968,",",ROW(BCLCTTRTT_06611!B19),"|",COLUMN(BCLCTTRTT_06611!B19),",0",",0")</f>
        <v>286968,19|2,0,0</v>
      </c>
      <c r="C19" t="str">
        <f>CONCATENATE(286888,",",ROW(BCLCTTRTT_06611!C19),"|",COLUMN(BCLCTTRTT_06611!C19),",0",",0")</f>
        <v>286888,19|3,0,0</v>
      </c>
      <c r="D19" t="str">
        <f>CONCATENATE(286932,",",ROW(BCLCTTRTT_06611!D19),"|",COLUMN(BCLCTTRTT_06611!D19),",0",",0")</f>
        <v>286932,19|4,0,0</v>
      </c>
      <c r="E19" t="str">
        <f>CONCATENATE(286797,",",ROW(BCLCTTRTT_06611!E19),"|",COLUMN(BCLCTTRTT_06611!E19),",0",",0")</f>
        <v>286797,19|5,0,0</v>
      </c>
    </row>
    <row r="20" spans="1:5" x14ac:dyDescent="0.25">
      <c r="A20" t="str">
        <f>CONCATENATE(286957,",",ROW(BCLCTTRTT_06611!A20),"|",COLUMN(BCLCTTRTT_06611!A20),",0",",0")</f>
        <v>286957,20|1,0,0</v>
      </c>
      <c r="B20" t="s">
        <v>5</v>
      </c>
      <c r="C20" t="str">
        <f>CONCATENATE(286926,",",ROW(BCLCTTRTT_06611!C20),"|",COLUMN(BCLCTTRTT_06611!C20),",0",",0")</f>
        <v>286926,20|3,0,0</v>
      </c>
      <c r="D20" t="str">
        <f>CONCATENATE(286791,",",ROW(BCLCTTRTT_06611!D20),"|",COLUMN(BCLCTTRTT_06611!D20),",0",",0")</f>
        <v>286791,20|4,0,0</v>
      </c>
      <c r="E20" t="str">
        <f>CONCATENATE(286832,",",ROW(BCLCTTRTT_06611!E20),"|",COLUMN(BCLCTTRTT_06611!E20),",0",",0")</f>
        <v>286832,20|5,0,0</v>
      </c>
    </row>
    <row r="21" spans="1:5" x14ac:dyDescent="0.25">
      <c r="A21" t="str">
        <f>CONCATENATE(286859,",",ROW(BCLCTTRTT_06611!A21),"|",COLUMN(BCLCTTRTT_06611!A21),",0",",0")</f>
        <v>286859,21|1,0,0</v>
      </c>
      <c r="B21" t="str">
        <f>CONCATENATE(286973,",",ROW(BCLCTTRTT_06611!B21),"|",COLUMN(BCLCTTRTT_06611!B21),",0",",0")</f>
        <v>286973,21|2,0,0</v>
      </c>
      <c r="C21" t="str">
        <f>CONCATENATE(286908,",",ROW(BCLCTTRTT_06611!C21),"|",COLUMN(BCLCTTRTT_06611!C21),",0",",0")</f>
        <v>286908,21|3,0,0</v>
      </c>
      <c r="D21" t="str">
        <f>CONCATENATE(286773,",",ROW(BCLCTTRTT_06611!D21),"|",COLUMN(BCLCTTRTT_06611!D21),",0",",0")</f>
        <v>286773,21|4,0,0</v>
      </c>
      <c r="E21" t="str">
        <f>CONCATENATE(286815,",",ROW(BCLCTTRTT_06611!E21),"|",COLUMN(BCLCTTRTT_06611!E21),",0",",0")</f>
        <v>286815,21|5,0,0</v>
      </c>
    </row>
    <row r="22" spans="1:5" x14ac:dyDescent="0.25">
      <c r="A22" t="str">
        <f>CONCATENATE(286879,",",ROW(BCLCTTRTT_06611!A22),"|",COLUMN(BCLCTTRTT_06611!A22),",0",",0")</f>
        <v>286879,22|1,0,0</v>
      </c>
      <c r="B22" t="str">
        <f>CONCATENATE(286974,",",ROW(BCLCTTRTT_06611!B22),"|",COLUMN(BCLCTTRTT_06611!B22),",0",",0")</f>
        <v>286974,22|2,0,0</v>
      </c>
      <c r="C22" t="str">
        <f>CONCATENATE(286917,",",ROW(BCLCTTRTT_06611!C22),"|",COLUMN(BCLCTTRTT_06611!C22),",0",",0")</f>
        <v>286917,22|3,0,0</v>
      </c>
      <c r="D22" t="str">
        <f>CONCATENATE(286782,",",ROW(BCLCTTRTT_06611!D22),"|",COLUMN(BCLCTTRTT_06611!D22),",0",",0")</f>
        <v>286782,22|4,0,0</v>
      </c>
      <c r="E22" t="str">
        <f>CONCATENATE(286824,",",ROW(BCLCTTRTT_06611!E22),"|",COLUMN(BCLCTTRTT_06611!E22),",0",",0")</f>
        <v>286824,22|5,0,0</v>
      </c>
    </row>
    <row r="23" spans="1:5" x14ac:dyDescent="0.25">
      <c r="A23" t="str">
        <f>CONCATENATE(286881,",",ROW(BCLCTTRTT_06611!A23),"|",COLUMN(BCLCTTRTT_06611!A23),",0",",0")</f>
        <v>286881,23|1,0,0</v>
      </c>
      <c r="B23" t="str">
        <f>CONCATENATE(286918,",",ROW(BCLCTTRTT_06611!B23),"|",COLUMN(BCLCTTRTT_06611!B23),",0",",0")</f>
        <v>286918,23|2,0,0</v>
      </c>
      <c r="C23" t="str">
        <f>CONCATENATE(286928,",",ROW(BCLCTTRTT_06611!C23),"|",COLUMN(BCLCTTRTT_06611!C23),",0",",0")</f>
        <v>286928,23|3,0,0</v>
      </c>
      <c r="D23" t="str">
        <f>CONCATENATE(286793,",",ROW(BCLCTTRTT_06611!D23),"|",COLUMN(BCLCTTRTT_06611!D23),",0",",0")</f>
        <v>286793,23|4,0,0</v>
      </c>
      <c r="E23" t="str">
        <f>CONCATENATE(286834,",",ROW(BCLCTTRTT_06611!E23),"|",COLUMN(BCLCTTRTT_06611!E23),",0",",0")</f>
        <v>286834,23|5,0,0</v>
      </c>
    </row>
    <row r="24" spans="1:5" x14ac:dyDescent="0.25">
      <c r="A24" t="str">
        <f>CONCATENATE(286884,",",ROW(BCLCTTRTT_06611!A24),"|",COLUMN(BCLCTTRTT_06611!A24),",0",",0")</f>
        <v>286884,24|1,0,0</v>
      </c>
      <c r="B24" t="str">
        <f>CONCATENATE(286885,",",ROW(BCLCTTRTT_06611!B24),"|",COLUMN(BCLCTTRTT_06611!B24),",0",",0")</f>
        <v>286885,24|2,0,0</v>
      </c>
      <c r="C24" t="str">
        <f>CONCATENATE(286927,",",ROW(BCLCTTRTT_06611!C24),"|",COLUMN(BCLCTTRTT_06611!C24),",0",",0")</f>
        <v>286927,24|3,0,0</v>
      </c>
      <c r="D24" t="str">
        <f>CONCATENATE(286792,",",ROW(BCLCTTRTT_06611!D24),"|",COLUMN(BCLCTTRTT_06611!D24),",0",",0")</f>
        <v>286792,24|4,0,0</v>
      </c>
      <c r="E24" t="str">
        <f>CONCATENATE(286833,",",ROW(BCLCTTRTT_06611!E24),"|",COLUMN(BCLCTTRTT_06611!E24),",0",",0")</f>
        <v>286833,24|5,0,0</v>
      </c>
    </row>
    <row r="25" spans="1:5" x14ac:dyDescent="0.25">
      <c r="A25" t="str">
        <f>CONCATENATE(286958,",",ROW(BCLCTTRTT_06611!A25),"|",COLUMN(BCLCTTRTT_06611!A25),",0",",0")</f>
        <v>286958,25|1,0,0</v>
      </c>
      <c r="B25" t="str">
        <f>CONCATENATE(286945,",",ROW(BCLCTTRTT_06611!B25),"|",COLUMN(BCLCTTRTT_06611!B25),",0",",0")</f>
        <v>286945,25|2,0,0</v>
      </c>
      <c r="C25" t="str">
        <f>CONCATENATE(286922,",",ROW(BCLCTTRTT_06611!C25),"|",COLUMN(BCLCTTRTT_06611!C25),",0",",0")</f>
        <v>286922,25|3,0,0</v>
      </c>
      <c r="D25" t="str">
        <f>CONCATENATE(286786,",",ROW(BCLCTTRTT_06611!D25),"|",COLUMN(BCLCTTRTT_06611!D25),",0",",0")</f>
        <v>286786,25|4,0,0</v>
      </c>
      <c r="E25" t="str">
        <f>CONCATENATE(286828,",",ROW(BCLCTTRTT_06611!E25),"|",COLUMN(BCLCTTRTT_06611!E25),",0",",0")</f>
        <v>286828,25|5,0,0</v>
      </c>
    </row>
    <row r="26" spans="1:5" x14ac:dyDescent="0.25">
      <c r="A26" t="str">
        <f>CONCATENATE(286860,",",ROW(BCLCTTRTT_06611!A26),"|",COLUMN(BCLCTTRTT_06611!A26),",0",",0")</f>
        <v>286860,26|1,0,0</v>
      </c>
      <c r="B26" t="str">
        <f>CONCATENATE(286843,",",ROW(BCLCTTRTT_06611!B26),"|",COLUMN(BCLCTTRTT_06611!B26),",0",",0")</f>
        <v>286843,26|2,0,0</v>
      </c>
      <c r="C26" t="str">
        <f>CONCATENATE(286893,",",ROW(BCLCTTRTT_06611!C26),"|",COLUMN(BCLCTTRTT_06611!C26),",0",",0")</f>
        <v>286893,26|3,0,0</v>
      </c>
      <c r="D26" t="str">
        <f>CONCATENATE(286937,",",ROW(BCLCTTRTT_06611!D26),"|",COLUMN(BCLCTTRTT_06611!D26),",0",",0")</f>
        <v>286937,26|4,0,0</v>
      </c>
      <c r="E26" t="str">
        <f>CONCATENATE(286801,",",ROW(BCLCTTRTT_06611!E26),"|",COLUMN(BCLCTTRTT_06611!E26),",0",",0")</f>
        <v>286801,26|5,0,0</v>
      </c>
    </row>
    <row r="27" spans="1:5" x14ac:dyDescent="0.25">
      <c r="A27" t="str">
        <f>CONCATENATE(286880,",",ROW(BCLCTTRTT_06611!A27),"|",COLUMN(BCLCTTRTT_06611!A27),",0",",0")</f>
        <v>286880,27|1,0,0</v>
      </c>
      <c r="B27" t="s">
        <v>5</v>
      </c>
      <c r="C27" t="str">
        <f>CONCATENATE(286894,",",ROW(BCLCTTRTT_06611!C27),"|",COLUMN(BCLCTTRTT_06611!C27),",0",",0")</f>
        <v>286894,27|3,0,0</v>
      </c>
      <c r="D27" t="str">
        <f>CONCATENATE(286938,",",ROW(BCLCTTRTT_06611!D27),"|",COLUMN(BCLCTTRTT_06611!D27),",0",",0")</f>
        <v>286938,27|4,0,0</v>
      </c>
      <c r="E27" t="str">
        <f>CONCATENATE(286802,",",ROW(BCLCTTRTT_06611!E27),"|",COLUMN(BCLCTTRTT_06611!E27),",0",",0")</f>
        <v>286802,27|5,0,0</v>
      </c>
    </row>
    <row r="28" spans="1:5" x14ac:dyDescent="0.25">
      <c r="A28" t="str">
        <f>CONCATENATE(286838,",",ROW(BCLCTTRTT_06611!A28),"|",COLUMN(BCLCTTRTT_06611!A28),",0",",0")</f>
        <v>286838,28|1,0,0</v>
      </c>
      <c r="B28" t="str">
        <f>CONCATENATE(286844,",",ROW(BCLCTTRTT_06611!B28),"|",COLUMN(BCLCTTRTT_06611!B28),",0",",0")</f>
        <v>286844,28|2,0,0</v>
      </c>
      <c r="C28" t="str">
        <f>CONCATENATE(286889,",",ROW(BCLCTTRTT_06611!C28),"|",COLUMN(BCLCTTRTT_06611!C28),",0",",0")</f>
        <v>286889,28|3,0,0</v>
      </c>
      <c r="D28" t="str">
        <f>CONCATENATE(286933,",",ROW(BCLCTTRTT_06611!D28),"|",COLUMN(BCLCTTRTT_06611!D28),",0",",0")</f>
        <v>286933,28|4,0,0</v>
      </c>
      <c r="E28" t="str">
        <f>CONCATENATE(286798,",",ROW(BCLCTTRTT_06611!E28),"|",COLUMN(BCLCTTRTT_06611!E28),",0",",0")</f>
        <v>286798,28|5,0,0</v>
      </c>
    </row>
    <row r="29" spans="1:5" x14ac:dyDescent="0.25">
      <c r="A29" t="str">
        <f>CONCATENATE(286940,",",ROW(BCLCTTRTT_06611!A29),"|",COLUMN(BCLCTTRTT_06611!A29),",0",",0")</f>
        <v>286940,29|1,0,0</v>
      </c>
      <c r="B29" t="str">
        <f>CONCATENATE(286969,",",ROW(BCLCTTRTT_06611!B29),"|",COLUMN(BCLCTTRTT_06611!B29),",0",",0")</f>
        <v>286969,29|2,0,0</v>
      </c>
      <c r="C29" t="str">
        <f>CONCATENATE(286919,",",ROW(BCLCTTRTT_06611!C29),"|",COLUMN(BCLCTTRTT_06611!C29),",0",",0")</f>
        <v>286919,29|3,0,0</v>
      </c>
      <c r="D29" t="str">
        <f>CONCATENATE(286783,",",ROW(BCLCTTRTT_06611!D29),"|",COLUMN(BCLCTTRTT_06611!D29),",0",",0")</f>
        <v>286783,29|4,0,0</v>
      </c>
      <c r="E29" t="str">
        <f>CONCATENATE(286825,",",ROW(BCLCTTRTT_06611!E29),"|",COLUMN(BCLCTTRTT_06611!E29),",0",",0")</f>
        <v>286825,29|5,0,0</v>
      </c>
    </row>
    <row r="30" spans="1:5" x14ac:dyDescent="0.25">
      <c r="A30" t="str">
        <f>CONCATENATE(286839,",",ROW(BCLCTTRTT_06611!A30),"|",COLUMN(BCLCTTRTT_06611!A30),",0",",0")</f>
        <v>286839,30|1,0,0</v>
      </c>
      <c r="B30" t="str">
        <f>CONCATENATE(286964,",",ROW(BCLCTTRTT_06611!B30),"|",COLUMN(BCLCTTRTT_06611!B30),",0",",0")</f>
        <v>286964,30|2,0,0</v>
      </c>
      <c r="C30" t="str">
        <f>CONCATENATE(286890,",",ROW(BCLCTTRTT_06611!C30),"|",COLUMN(BCLCTTRTT_06611!C30),",0",",0")</f>
        <v>286890,30|3,0,0</v>
      </c>
      <c r="D30" t="str">
        <f>CONCATENATE(286934,",",ROW(BCLCTTRTT_06611!D30),"|",COLUMN(BCLCTTRTT_06611!D30),",0",",0")</f>
        <v>286934,30|4,0,0</v>
      </c>
      <c r="E30" t="str">
        <f>CONCATENATE(286876,",",ROW(BCLCTTRTT_06611!E30),"|",COLUMN(BCLCTTRTT_06611!E30),",0",",0")</f>
        <v>286876,30|5,0,0</v>
      </c>
    </row>
    <row r="31" spans="1:5" x14ac:dyDescent="0.25">
      <c r="A31" t="str">
        <f>CONCATENATE(286941,",",ROW(BCLCTTRTT_06611!A31),"|",COLUMN(BCLCTTRTT_06611!A31),",0",",0")</f>
        <v>286941,31|1,0,0</v>
      </c>
      <c r="B31" t="str">
        <f>CONCATENATE(286854,",",ROW(BCLCTTRTT_06611!B31),"|",COLUMN(BCLCTTRTT_06611!B31),",0",",0")</f>
        <v>286854,31|2,0,0</v>
      </c>
      <c r="C31" t="str">
        <f>CONCATENATE(286903,",",ROW(BCLCTTRTT_06611!C31),"|",COLUMN(BCLCTTRTT_06611!C31),",0",",0")</f>
        <v>286903,31|3,0,0</v>
      </c>
      <c r="D31" t="str">
        <f>CONCATENATE(286768,",",ROW(BCLCTTRTT_06611!D31),"|",COLUMN(BCLCTTRTT_06611!D31),",0",",0")</f>
        <v>286768,31|4,0,0</v>
      </c>
      <c r="E31" t="str">
        <f>CONCATENATE(286811,",",ROW(BCLCTTRTT_06611!E31),"|",COLUMN(BCLCTTRTT_06611!E31),",0",",0")</f>
        <v>286811,31|5,0,0</v>
      </c>
    </row>
    <row r="32" spans="1:5" x14ac:dyDescent="0.25">
      <c r="A32" t="str">
        <f>CONCATENATE(286861,",",ROW(BCLCTTRTT_06611!A32),"|",COLUMN(BCLCTTRTT_06611!A32),",0",",0")</f>
        <v>286861,32|1,0,0</v>
      </c>
      <c r="B32" t="str">
        <f>CONCATENATE(286970,",",ROW(BCLCTTRTT_06611!B32),"|",COLUMN(BCLCTTRTT_06611!B32),",0",",0")</f>
        <v>286970,32|2,0,0</v>
      </c>
      <c r="C32" t="str">
        <f>CONCATENATE(286909,",",ROW(BCLCTTRTT_06611!C32),"|",COLUMN(BCLCTTRTT_06611!C32),",0",",0")</f>
        <v>286909,32|3,0,0</v>
      </c>
      <c r="D32" t="str">
        <f>CONCATENATE(286774,",",ROW(BCLCTTRTT_06611!D32),"|",COLUMN(BCLCTTRTT_06611!D32),",0",",0")</f>
        <v>286774,32|4,0,0</v>
      </c>
      <c r="E32" t="str">
        <f>CONCATENATE(286816,",",ROW(BCLCTTRTT_06611!E32),"|",COLUMN(BCLCTTRTT_06611!E32),",0",",0")</f>
        <v>286816,32|5,0,0</v>
      </c>
    </row>
    <row r="33" spans="1:5" x14ac:dyDescent="0.25">
      <c r="A33" t="str">
        <f>CONCATENATE(286840,",",ROW(BCLCTTRTT_06611!A33),"|",COLUMN(BCLCTTRTT_06611!A33),",0",",0")</f>
        <v>286840,33|1,0,0</v>
      </c>
      <c r="B33" t="str">
        <f>CONCATENATE(286946,",",ROW(BCLCTTRTT_06611!B33),"|",COLUMN(BCLCTTRTT_06611!B33),",0",",0")</f>
        <v>286946,33|2,0,0</v>
      </c>
      <c r="C33" t="str">
        <f>CONCATENATE(286891,",",ROW(BCLCTTRTT_06611!C33),"|",COLUMN(BCLCTTRTT_06611!C33),",0",",0")</f>
        <v>286891,33|3,0,0</v>
      </c>
      <c r="D33" t="str">
        <f>CONCATENATE(286935,",",ROW(BCLCTTRTT_06611!D33),"|",COLUMN(BCLCTTRTT_06611!D33),",0",",0")</f>
        <v>286935,33|4,0,0</v>
      </c>
      <c r="E33" t="str">
        <f>CONCATENATE(286799,",",ROW(BCLCTTRTT_06611!E33),"|",COLUMN(BCLCTTRTT_06611!E33),",0",",0")</f>
        <v>286799,33|5,0,0</v>
      </c>
    </row>
    <row r="34" spans="1:5" x14ac:dyDescent="0.25">
      <c r="A34" t="str">
        <f>CONCATENATE(286867,",",ROW(BCLCTTRTT_06611!A34),"|",COLUMN(BCLCTTRTT_06611!A34),",0",",0")</f>
        <v>286867,34|1,0,0</v>
      </c>
      <c r="B34" t="str">
        <f>CONCATENATE(286855,",",ROW(BCLCTTRTT_06611!B34),"|",COLUMN(BCLCTTRTT_06611!B34),",0",",0")</f>
        <v>286855,34|2,0,0</v>
      </c>
      <c r="C34" t="str">
        <f>CONCATENATE(286904,",",ROW(BCLCTTRTT_06611!C34),"|",COLUMN(BCLCTTRTT_06611!C34),",0",",0")</f>
        <v>286904,34|3,0,0</v>
      </c>
      <c r="D34" t="str">
        <f>CONCATENATE(286769,",",ROW(BCLCTTRTT_06611!D34),"|",COLUMN(BCLCTTRTT_06611!D34),",0",",0")</f>
        <v>286769,34|4,0,0</v>
      </c>
      <c r="E34" t="str">
        <f>CONCATENATE(286812,",",ROW(BCLCTTRTT_06611!E34),"|",COLUMN(BCLCTTRTT_06611!E34),",0",",0")</f>
        <v>286812,34|5,0,0</v>
      </c>
    </row>
    <row r="35" spans="1:5" x14ac:dyDescent="0.25">
      <c r="A35" t="str">
        <f>CONCATENATE(286942,",",ROW(BCLCTTRTT_06611!A35),"|",COLUMN(BCLCTTRTT_06611!A35),",0",",0")</f>
        <v>286942,35|1,0,0</v>
      </c>
      <c r="B35" t="str">
        <f>CONCATENATE(286845,",",ROW(BCLCTTRTT_06611!B35),"|",COLUMN(BCLCTTRTT_06611!B35),",0",",0")</f>
        <v>286845,35|2,0,0</v>
      </c>
      <c r="C35" t="str">
        <f>CONCATENATE(286895,",",ROW(BCLCTTRTT_06611!C35),"|",COLUMN(BCLCTTRTT_06611!C35),",0",",0")</f>
        <v>286895,35|3,0,0</v>
      </c>
      <c r="D35" t="str">
        <f>CONCATENATE(286939,",",ROW(BCLCTTRTT_06611!D35),"|",COLUMN(BCLCTTRTT_06611!D35),",0",",0")</f>
        <v>286939,35|4,0,0</v>
      </c>
      <c r="E35" t="str">
        <f>CONCATENATE(286803,",",ROW(BCLCTTRTT_06611!E35),"|",COLUMN(BCLCTTRTT_06611!E35),",0",",0")</f>
        <v>286803,35|5,0,0</v>
      </c>
    </row>
    <row r="36" spans="1:5" x14ac:dyDescent="0.25">
      <c r="A36" t="str">
        <f>CONCATENATE(286943,",",ROW(BCLCTTRTT_06611!A36),"|",COLUMN(BCLCTTRTT_06611!A36),",0",",0")</f>
        <v>286943,36|1,0,0</v>
      </c>
      <c r="B36" t="str">
        <f>CONCATENATE(286971,",",ROW(BCLCTTRTT_06611!B36),"|",COLUMN(BCLCTTRTT_06611!B36),",0",",0")</f>
        <v>286971,36|2,0,0</v>
      </c>
      <c r="C36" t="str">
        <f>CONCATENATE(286920,",",ROW(BCLCTTRTT_06611!C36),"|",COLUMN(BCLCTTRTT_06611!C36),",0",",0")</f>
        <v>286920,36|3,0,0</v>
      </c>
      <c r="D36" t="str">
        <f>CONCATENATE(286784,",",ROW(BCLCTTRTT_06611!D36),"|",COLUMN(BCLCTTRTT_06611!D36),",0",",0")</f>
        <v>286784,36|4,0,0</v>
      </c>
      <c r="E36" t="str">
        <f>CONCATENATE(286826,",",ROW(BCLCTTRTT_06611!E36),"|",COLUMN(BCLCTTRTT_06611!E36),",0",",0")</f>
        <v>286826,36|5,0,0</v>
      </c>
    </row>
    <row r="37" spans="1:5" x14ac:dyDescent="0.25">
      <c r="A37" t="str">
        <f>CONCATENATE(286944,",",ROW(BCLCTTRTT_06611!A37),"|",COLUMN(BCLCTTRTT_06611!A37),",0",",0")</f>
        <v>286944,37|1,0,0</v>
      </c>
      <c r="B37" t="str">
        <f>CONCATENATE(286856,",",ROW(BCLCTTRTT_06611!B37),"|",COLUMN(BCLCTTRTT_06611!B37),",0",",0")</f>
        <v>286856,37|2,0,0</v>
      </c>
      <c r="C37" t="str">
        <f>CONCATENATE(286905,",",ROW(BCLCTTRTT_06611!C37),"|",COLUMN(BCLCTTRTT_06611!C37),",0",",0")</f>
        <v>286905,37|3,0,0</v>
      </c>
      <c r="D37" t="str">
        <f>CONCATENATE(286770,",",ROW(BCLCTTRTT_06611!D37),"|",COLUMN(BCLCTTRTT_06611!D37),",0",",0")</f>
        <v>286770,37|4,0,0</v>
      </c>
      <c r="E37" t="str">
        <f>CONCATENATE(286813,",",ROW(BCLCTTRTT_06611!E37),"|",COLUMN(BCLCTTRTT_06611!E37),",0",",0")</f>
        <v>286813,37|5,0,0</v>
      </c>
    </row>
    <row r="38" spans="1:5" x14ac:dyDescent="0.25">
      <c r="A38" t="str">
        <f>CONCATENATE(286868,",",ROW(BCLCTTRTT_06611!A38),"|",COLUMN(BCLCTTRTT_06611!A38),",0",",0")</f>
        <v>286868,38|1,0,0</v>
      </c>
      <c r="B38" t="str">
        <f>CONCATENATE(286846,",",ROW(BCLCTTRTT_06611!B38),"|",COLUMN(BCLCTTRTT_06611!B38),",0",",0")</f>
        <v>286846,38|2,0,0</v>
      </c>
      <c r="C38" t="str">
        <f>CONCATENATE(286896,",",ROW(BCLCTTRTT_06611!C38),"|",COLUMN(BCLCTTRTT_06611!C38),",0",",0")</f>
        <v>286896,38|3,0,0</v>
      </c>
      <c r="D38" t="str">
        <f>CONCATENATE(286761,",",ROW(BCLCTTRTT_06611!D38),"|",COLUMN(BCLCTTRTT_06611!D38),",0",",0")</f>
        <v>286761,38|4,0,0</v>
      </c>
      <c r="E38" t="str">
        <f>CONCATENATE(286804,",",ROW(BCLCTTRTT_06611!E38),"|",COLUMN(BCLCTTRTT_06611!E38),",0",",0")</f>
        <v>286804,38|5,0,0</v>
      </c>
    </row>
    <row r="39" spans="1:5" x14ac:dyDescent="0.25">
      <c r="A39" t="str">
        <f>CONCATENATE(286874,",",ROW(BCLCTTRTT_06611!A39),"|",COLUMN(BCLCTTRTT_06611!A39),",0",",0")</f>
        <v>286874,39|1,0,0</v>
      </c>
      <c r="B39" t="str">
        <f>CONCATENATE(286758,",",ROW(BCLCTTRTT_06611!B39),"|",COLUMN(BCLCTTRTT_06611!B39),",0",",0")</f>
        <v>286758,39|2,0,0</v>
      </c>
      <c r="C39" t="str">
        <f>CONCATENATE(286915,",",ROW(BCLCTTRTT_06611!C39),"|",COLUMN(BCLCTTRTT_06611!C39),",0",",0")</f>
        <v>286915,39|3,0,0</v>
      </c>
      <c r="D39" t="str">
        <f>CONCATENATE(286780,",",ROW(BCLCTTRTT_06611!D39),"|",COLUMN(BCLCTTRTT_06611!D39),",0",",0")</f>
        <v>286780,39|4,0,0</v>
      </c>
      <c r="E39" t="str">
        <f>CONCATENATE(286822,",",ROW(BCLCTTRTT_06611!E39),"|",COLUMN(BCLCTTRTT_06611!E39),",0",",0")</f>
        <v>286822,39|5,0,0</v>
      </c>
    </row>
    <row r="40" spans="1:5" x14ac:dyDescent="0.25">
      <c r="A40" t="str">
        <f>CONCATENATE(286862,",",ROW(BCLCTTRTT_06611!A40),"|",COLUMN(BCLCTTRTT_06611!A40),",0",",0")</f>
        <v>286862,40|1,0,0</v>
      </c>
      <c r="B40" t="str">
        <f>CONCATENATE(286857,",",ROW(BCLCTTRTT_06611!B40),"|",COLUMN(BCLCTTRTT_06611!B40),",0",",0")</f>
        <v>286857,40|2,0,0</v>
      </c>
      <c r="C40" t="str">
        <f>CONCATENATE(286906,",",ROW(BCLCTTRTT_06611!C40),"|",COLUMN(BCLCTTRTT_06611!C40),",0",",0")</f>
        <v>286906,40|3,0,0</v>
      </c>
      <c r="D40" t="str">
        <f>CONCATENATE(286771,",",ROW(BCLCTTRTT_06611!D40),"|",COLUMN(BCLCTTRTT_06611!D40),",0",",0")</f>
        <v>286771,40|4,0,0</v>
      </c>
      <c r="E40" t="str">
        <f>CONCATENATE(286814,",",ROW(BCLCTTRTT_06611!E40),"|",COLUMN(BCLCTTRTT_06611!E40),",0",",0")</f>
        <v>286814,40|5,0,0</v>
      </c>
    </row>
    <row r="41" spans="1:5" x14ac:dyDescent="0.25">
      <c r="A41" t="str">
        <f>CONCATENATE(286863,",",ROW(BCLCTTRTT_06611!A41),"|",COLUMN(BCLCTTRTT_06611!A41),",0",",0")</f>
        <v>286863,41|1,0,0</v>
      </c>
      <c r="B41" t="str">
        <f>CONCATENATE(286847,",",ROW(BCLCTTRTT_06611!B41),"|",COLUMN(BCLCTTRTT_06611!B41),",0",",0")</f>
        <v>286847,41|2,0,0</v>
      </c>
      <c r="C41" t="str">
        <f>CONCATENATE(286897,",",ROW(BCLCTTRTT_06611!C41),"|",COLUMN(BCLCTTRTT_06611!C41),",0",",0")</f>
        <v>286897,41|3,0,0</v>
      </c>
      <c r="D41" t="str">
        <f>CONCATENATE(286762,",",ROW(BCLCTTRTT_06611!D41),"|",COLUMN(BCLCTTRTT_06611!D41),",0",",0")</f>
        <v>286762,41|4,0,0</v>
      </c>
      <c r="E41" t="str">
        <f>CONCATENATE(286805,",",ROW(BCLCTTRTT_06611!E41),"|",COLUMN(BCLCTTRTT_06611!E41),",0",",0")</f>
        <v>286805,41|5,0,0</v>
      </c>
    </row>
    <row r="42" spans="1:5" x14ac:dyDescent="0.25">
      <c r="A42" t="str">
        <f>CONCATENATE(286760,",",ROW(BCLCTTRTT_06611!A42),"|",COLUMN(BCLCTTRTT_06611!A42),",0",",0")</f>
        <v>286760,42|1,0,0</v>
      </c>
      <c r="B42" t="str">
        <f>CONCATENATE(286858,",",ROW(BCLCTTRTT_06611!B42),"|",COLUMN(BCLCTTRTT_06611!B42),",0",",0")</f>
        <v>286858,42|2,0,0</v>
      </c>
      <c r="C42" t="str">
        <f>CONCATENATE(286907,",",ROW(BCLCTTRTT_06611!C42),"|",COLUMN(BCLCTTRTT_06611!C42),",0",",0")</f>
        <v>286907,42|3,0,0</v>
      </c>
      <c r="D42" t="str">
        <f>CONCATENATE(286772,",",ROW(BCLCTTRTT_06611!D42),"|",COLUMN(BCLCTTRTT_06611!D42),",0",",0")</f>
        <v>286772,42|4,0,0</v>
      </c>
      <c r="E42" t="str">
        <f>CONCATENATE(286972,",",ROW(BCLCTTRTT_06611!E42),"|",COLUMN(BCLCTTRTT_06611!E42),",0",",0")</f>
        <v>286972,42|5,0,0</v>
      </c>
    </row>
    <row r="43" spans="1:5" x14ac:dyDescent="0.25">
      <c r="A43" t="str">
        <f>CONCATENATE(286864,",",ROW(BCLCTTRTT_06611!A43),"|",COLUMN(BCLCTTRTT_06611!A43),",0",",0")</f>
        <v>286864,43|1,0,0</v>
      </c>
      <c r="B43" t="str">
        <f>CONCATENATE(286947,",",ROW(BCLCTTRTT_06611!B43),"|",COLUMN(BCLCTTRTT_06611!B43),",0",",0")</f>
        <v>286947,43|2,0,0</v>
      </c>
      <c r="C43" t="str">
        <f>CONCATENATE(286910,",",ROW(BCLCTTRTT_06611!C43),"|",COLUMN(BCLCTTRTT_06611!C43),",0",",0")</f>
        <v>286910,43|3,0,0</v>
      </c>
      <c r="D43" t="str">
        <f>CONCATENATE(286775,",",ROW(BCLCTTRTT_06611!D43),"|",COLUMN(BCLCTTRTT_06611!D43),",0",",0")</f>
        <v>286775,43|4,0,0</v>
      </c>
      <c r="E43" t="str">
        <f>CONCATENATE(286817,",",ROW(BCLCTTRTT_06611!E43),"|",COLUMN(BCLCTTRTT_06611!E43),",0",",0")</f>
        <v>286817,43|5,0,0</v>
      </c>
    </row>
    <row r="44" spans="1:5" x14ac:dyDescent="0.25">
      <c r="A44" t="str">
        <f>CONCATENATE(286841,",",ROW(BCLCTTRTT_06611!A44),"|",COLUMN(BCLCTTRTT_06611!A44),",0",",0")</f>
        <v>286841,44|1,0,0</v>
      </c>
      <c r="B44" t="str">
        <f>CONCATENATE(286965,",",ROW(BCLCTTRTT_06611!B44),"|",COLUMN(BCLCTTRTT_06611!B44),",0",",0")</f>
        <v>286965,44|2,0,0</v>
      </c>
      <c r="C44" t="str">
        <f>CONCATENATE(286892,",",ROW(BCLCTTRTT_06611!C44),"|",COLUMN(BCLCTTRTT_06611!C44),",0",",0")</f>
        <v>286892,44|3,0,0</v>
      </c>
      <c r="D44" t="str">
        <f>CONCATENATE(286936,",",ROW(BCLCTTRTT_06611!D44),"|",COLUMN(BCLCTTRTT_06611!D44),",0",",0")</f>
        <v>286936,44|4,0,0</v>
      </c>
      <c r="E44" t="str">
        <f>CONCATENATE(286800,",",ROW(BCLCTTRTT_06611!E44),"|",COLUMN(BCLCTTRTT_06611!E44),",0",",0")</f>
        <v>286800,44|5,0,0</v>
      </c>
    </row>
    <row r="45" spans="1:5" x14ac:dyDescent="0.25">
      <c r="A45" t="str">
        <f>CONCATENATE(286759,",",ROW(BCLCTTRTT_06611!A45),"|",COLUMN(BCLCTTRTT_06611!A45),",0",",0")</f>
        <v>286759,45|1,0,0</v>
      </c>
      <c r="B45" t="str">
        <f>CONCATENATE(286948,",",ROW(BCLCTTRTT_06611!B45),"|",COLUMN(BCLCTTRTT_06611!B45),",0",",0")</f>
        <v>286948,45|2,0,0</v>
      </c>
      <c r="C45" t="str">
        <f>CONCATENATE(286921,",",ROW(BCLCTTRTT_06611!C45),"|",COLUMN(BCLCTTRTT_06611!C45),",0",",0")</f>
        <v>286921,45|3,0,0</v>
      </c>
      <c r="D45" t="str">
        <f>CONCATENATE(286785,",",ROW(BCLCTTRTT_06611!D45),"|",COLUMN(BCLCTTRTT_06611!D45),",0",",0")</f>
        <v>286785,45|4,0,0</v>
      </c>
      <c r="E45" t="str">
        <f>CONCATENATE(286827,",",ROW(BCLCTTRTT_06611!E45),"|",COLUMN(BCLCTTRTT_06611!E45),",0",",0")</f>
        <v>286827,45|5,0,0</v>
      </c>
    </row>
    <row r="46" spans="1:5" x14ac:dyDescent="0.25">
      <c r="A46" t="str">
        <f>CONCATENATE(286865,",",ROW(BCLCTTRTT_06611!A46),"|",COLUMN(BCLCTTRTT_06611!A46),",0",",0")</f>
        <v>286865,46|1,0,0</v>
      </c>
      <c r="B46" t="str">
        <f>CONCATENATE(286966,",",ROW(BCLCTTRTT_06611!B46),"|",COLUMN(BCLCTTRTT_06611!B46),",0",",0")</f>
        <v>286966,46|2,0,0</v>
      </c>
      <c r="C46" t="str">
        <f>CONCATENATE(286911,",",ROW(BCLCTTRTT_06611!C46),"|",COLUMN(BCLCTTRTT_06611!C46),",0",",0")</f>
        <v>286911,46|3,0,0</v>
      </c>
      <c r="D46" t="str">
        <f>CONCATENATE(286776,",",ROW(BCLCTTRTT_06611!D46),"|",COLUMN(BCLCTTRTT_06611!D46),",0",",0")</f>
        <v>286776,46|4,0,0</v>
      </c>
      <c r="E46" t="str">
        <f>CONCATENATE(286818,",",ROW(BCLCTTRTT_06611!E46),"|",COLUMN(BCLCTTRTT_06611!E46),",0",",0")</f>
        <v>286818,46|5,0,0</v>
      </c>
    </row>
    <row r="47" spans="1:5" x14ac:dyDescent="0.25">
      <c r="A47" t="str">
        <f>CONCATENATE(286866,",",ROW(BCLCTTRTT_06611!A47),"|",COLUMN(BCLCTTRTT_06611!A47),",0",",0")</f>
        <v>286866,47|1,0,0</v>
      </c>
      <c r="B47" t="str">
        <f>CONCATENATE(286949,",",ROW(BCLCTTRTT_06611!B47),"|",COLUMN(BCLCTTRTT_06611!B47),",0",",0")</f>
        <v>286949,47|2,0,0</v>
      </c>
      <c r="C47" t="str">
        <f>CONCATENATE(286912,",",ROW(BCLCTTRTT_06611!C47),"|",COLUMN(BCLCTTRTT_06611!C47),",0",",0")</f>
        <v>286912,47|3,0,0</v>
      </c>
      <c r="D47" t="str">
        <f>CONCATENATE(286777,",",ROW(BCLCTTRTT_06611!D47),"|",COLUMN(BCLCTTRTT_06611!D47),",0",",0")</f>
        <v>286777,47|4,0,0</v>
      </c>
      <c r="E47" t="str">
        <f>CONCATENATE(286819,",",ROW(BCLCTTRTT_06611!E47),"|",COLUMN(BCLCTTRTT_06611!E47),",0",",0")</f>
        <v>286819,47|5,0,0</v>
      </c>
    </row>
    <row r="48" spans="1:5" x14ac:dyDescent="0.25">
      <c r="A48" t="str">
        <f>CONCATENATE(286959,",",ROW(BCLCTTRTT_06611!A48),"|",COLUMN(BCLCTTRTT_06611!A48),",0",",0")</f>
        <v>286959,48|1,0,0</v>
      </c>
      <c r="B48" t="str">
        <f>CONCATENATE(286950,",",ROW(BCLCTTRTT_06611!B48),"|",COLUMN(BCLCTTRTT_06611!B48),",0",",0")</f>
        <v>286950,48|2,0,0</v>
      </c>
      <c r="C48" t="str">
        <f>CONCATENATE(286923,",",ROW(BCLCTTRTT_06611!C48),"|",COLUMN(BCLCTTRTT_06611!C48),",0",",0")</f>
        <v>286923,48|3,0,0</v>
      </c>
      <c r="D48" t="str">
        <f>CONCATENATE(286787,",",ROW(BCLCTTRTT_06611!D48),"|",COLUMN(BCLCTTRTT_06611!D48),",0",",0")</f>
        <v>286787,48|4,0,0</v>
      </c>
      <c r="E48" t="str">
        <f>CONCATENATE(286829,",",ROW(BCLCTTRTT_06611!E48),"|",COLUMN(BCLCTTRTT_06611!E48),",0",",0")</f>
        <v>286829,48|5,0,0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9"/>
  <sheetViews>
    <sheetView zoomScaleNormal="100" workbookViewId="0">
      <selection sqref="A1:E1"/>
    </sheetView>
  </sheetViews>
  <sheetFormatPr defaultRowHeight="15" x14ac:dyDescent="0.25"/>
  <cols>
    <col min="1" max="1" width="31.28515625" bestFit="1" customWidth="1"/>
    <col min="2" max="3" width="26.140625" bestFit="1" customWidth="1"/>
    <col min="4" max="4" width="28.85546875" bestFit="1" customWidth="1"/>
    <col min="5" max="5" width="27.5703125" bestFit="1" customWidth="1"/>
  </cols>
  <sheetData>
    <row r="1" spans="1:5" ht="20.25" x14ac:dyDescent="0.3">
      <c r="A1" s="1998" t="s">
        <v>17</v>
      </c>
      <c r="B1" s="1998" t="s">
        <v>5</v>
      </c>
      <c r="C1" s="1998" t="s">
        <v>5</v>
      </c>
      <c r="D1" s="1998" t="s">
        <v>5</v>
      </c>
      <c r="E1" s="1998" t="s">
        <v>5</v>
      </c>
    </row>
    <row r="2" spans="1:5" ht="18.75" x14ac:dyDescent="0.3">
      <c r="A2" s="1999" t="s">
        <v>575</v>
      </c>
      <c r="B2" s="1999" t="s">
        <v>5</v>
      </c>
      <c r="C2" s="1999" t="s">
        <v>5</v>
      </c>
      <c r="D2" s="1999" t="s">
        <v>5</v>
      </c>
      <c r="E2" s="1999" t="s">
        <v>5</v>
      </c>
    </row>
    <row r="3" spans="1:5" ht="18.75" x14ac:dyDescent="0.25">
      <c r="A3" s="920" t="s">
        <v>38</v>
      </c>
      <c r="B3" s="920" t="s">
        <v>39</v>
      </c>
      <c r="C3" s="920" t="s">
        <v>40</v>
      </c>
      <c r="D3" s="920" t="s">
        <v>395</v>
      </c>
      <c r="E3" s="920" t="s">
        <v>396</v>
      </c>
    </row>
    <row r="4" spans="1:5" ht="16.5" x14ac:dyDescent="0.25">
      <c r="A4" s="932" t="s">
        <v>388</v>
      </c>
      <c r="B4" s="954" t="s">
        <v>597</v>
      </c>
      <c r="C4" s="974"/>
      <c r="D4" s="1017" t="s">
        <v>286</v>
      </c>
      <c r="E4" s="992" t="s">
        <v>5</v>
      </c>
    </row>
    <row r="5" spans="1:5" ht="66" x14ac:dyDescent="0.25">
      <c r="A5" s="989" t="s">
        <v>606</v>
      </c>
      <c r="B5" s="919" t="s">
        <v>5</v>
      </c>
      <c r="C5" s="973"/>
      <c r="D5" s="1896"/>
      <c r="E5" s="1896"/>
    </row>
    <row r="6" spans="1:5" ht="49.5" x14ac:dyDescent="0.25">
      <c r="A6" s="1018" t="s">
        <v>608</v>
      </c>
      <c r="B6" s="942" t="s">
        <v>286</v>
      </c>
      <c r="C6" s="994"/>
      <c r="D6" s="1941">
        <v>124293883746582</v>
      </c>
      <c r="E6" s="1941">
        <v>95632140848316</v>
      </c>
    </row>
    <row r="7" spans="1:5" ht="49.5" x14ac:dyDescent="0.25">
      <c r="A7" s="933" t="s">
        <v>587</v>
      </c>
      <c r="B7" s="965" t="s">
        <v>117</v>
      </c>
      <c r="C7" s="993"/>
      <c r="D7" s="1897">
        <v>-116069681847019</v>
      </c>
      <c r="E7" s="1897">
        <v>-92136133807140</v>
      </c>
    </row>
    <row r="8" spans="1:5" ht="49.5" x14ac:dyDescent="0.25">
      <c r="A8" s="979" t="s">
        <v>603</v>
      </c>
      <c r="B8" s="988" t="s">
        <v>348</v>
      </c>
      <c r="C8" s="995"/>
      <c r="D8" s="1898"/>
      <c r="E8" s="1898"/>
    </row>
    <row r="9" spans="1:5" ht="49.5" x14ac:dyDescent="0.25">
      <c r="A9" s="980" t="s">
        <v>604</v>
      </c>
      <c r="B9" s="966" t="s">
        <v>349</v>
      </c>
      <c r="C9" s="996"/>
      <c r="D9" s="1899"/>
      <c r="E9" s="1899"/>
    </row>
    <row r="10" spans="1:5" ht="49.5" x14ac:dyDescent="0.25">
      <c r="A10" s="1019" t="s">
        <v>609</v>
      </c>
      <c r="B10" s="984" t="s">
        <v>308</v>
      </c>
      <c r="C10" s="997"/>
      <c r="D10" s="1900"/>
      <c r="E10" s="1900"/>
    </row>
    <row r="11" spans="1:5" ht="49.5" x14ac:dyDescent="0.25">
      <c r="A11" s="955" t="s">
        <v>598</v>
      </c>
      <c r="B11" s="1016" t="s">
        <v>351</v>
      </c>
      <c r="C11" s="998"/>
      <c r="D11" s="1901"/>
      <c r="E11" s="1901"/>
    </row>
    <row r="12" spans="1:5" ht="49.5" x14ac:dyDescent="0.25">
      <c r="A12" s="990" t="s">
        <v>607</v>
      </c>
      <c r="B12" s="1025" t="s">
        <v>352</v>
      </c>
      <c r="C12" s="999"/>
      <c r="D12" s="1902">
        <v>-7816892673219</v>
      </c>
      <c r="E12" s="1902">
        <v>-3677004095298</v>
      </c>
    </row>
    <row r="13" spans="1:5" ht="66" x14ac:dyDescent="0.25">
      <c r="A13" s="927" t="s">
        <v>582</v>
      </c>
      <c r="B13" s="947" t="s">
        <v>309</v>
      </c>
      <c r="C13" s="1000"/>
      <c r="D13" s="1903"/>
      <c r="E13" s="1903"/>
    </row>
    <row r="14" spans="1:5" ht="49.5" x14ac:dyDescent="0.25">
      <c r="A14" s="928" t="s">
        <v>583</v>
      </c>
      <c r="B14" s="983" t="s">
        <v>371</v>
      </c>
      <c r="C14" s="1001"/>
      <c r="D14" s="1904">
        <v>-6560073032</v>
      </c>
      <c r="E14" s="1904">
        <v>-6622343641</v>
      </c>
    </row>
    <row r="15" spans="1:5" ht="49.5" x14ac:dyDescent="0.25">
      <c r="A15" s="929" t="s">
        <v>584</v>
      </c>
      <c r="B15" s="948" t="s">
        <v>367</v>
      </c>
      <c r="C15" s="1002"/>
      <c r="D15" s="1905"/>
      <c r="E15" s="1905"/>
    </row>
    <row r="16" spans="1:5" ht="49.5" x14ac:dyDescent="0.25">
      <c r="A16" s="1020" t="s">
        <v>610</v>
      </c>
      <c r="B16" s="949" t="s">
        <v>353</v>
      </c>
      <c r="C16" s="1003"/>
      <c r="D16" s="1906"/>
      <c r="E16" s="1906"/>
    </row>
    <row r="17" spans="1:5" ht="49.5" x14ac:dyDescent="0.25">
      <c r="A17" s="930" t="s">
        <v>585</v>
      </c>
      <c r="B17" s="950" t="s">
        <v>310</v>
      </c>
      <c r="C17" s="1004"/>
      <c r="D17" s="1907">
        <v>1976550315615</v>
      </c>
      <c r="E17" s="1907">
        <v>1647772577611</v>
      </c>
    </row>
    <row r="18" spans="1:5" ht="49.5" x14ac:dyDescent="0.25">
      <c r="A18" s="934" t="s">
        <v>588</v>
      </c>
      <c r="B18" s="943" t="s">
        <v>311</v>
      </c>
      <c r="C18" s="1005"/>
      <c r="D18" s="1908">
        <v>-1971151678605</v>
      </c>
      <c r="E18" s="1908">
        <v>-1610692319466</v>
      </c>
    </row>
    <row r="19" spans="1:5" ht="16.5" x14ac:dyDescent="0.25">
      <c r="A19" s="1926" t="s">
        <v>576</v>
      </c>
      <c r="B19" s="1927" t="s">
        <v>541</v>
      </c>
      <c r="C19" s="1926"/>
      <c r="D19" s="1955">
        <f>SUM(D6:D18)</f>
        <v>406147790322</v>
      </c>
      <c r="E19" s="1955">
        <f>SUM(E6:E18)</f>
        <v>-150539139618</v>
      </c>
    </row>
    <row r="20" spans="1:5" ht="66" x14ac:dyDescent="0.25">
      <c r="A20" s="935" t="s">
        <v>589</v>
      </c>
      <c r="B20" s="985" t="s">
        <v>551</v>
      </c>
      <c r="C20" s="1006"/>
      <c r="D20" s="1909">
        <f>+D21</f>
        <v>938847666218</v>
      </c>
      <c r="E20" s="1909">
        <f>+E21</f>
        <v>1089386805836</v>
      </c>
    </row>
    <row r="21" spans="1:5" ht="33" x14ac:dyDescent="0.25">
      <c r="A21" s="936" t="s">
        <v>590</v>
      </c>
      <c r="B21" s="944" t="s">
        <v>552</v>
      </c>
      <c r="C21" s="1007"/>
      <c r="D21" s="1910">
        <f>+D22+D24+D25+D26</f>
        <v>938847666218</v>
      </c>
      <c r="E21" s="1910">
        <f>+E22+E24+E25+E26</f>
        <v>1089386805836</v>
      </c>
    </row>
    <row r="22" spans="1:5" ht="49.5" x14ac:dyDescent="0.25">
      <c r="A22" s="937" t="s">
        <v>591</v>
      </c>
      <c r="B22" s="951" t="s">
        <v>542</v>
      </c>
      <c r="C22" s="1008"/>
      <c r="D22" s="1911">
        <v>530836444058</v>
      </c>
      <c r="E22" s="1911">
        <v>340173685859</v>
      </c>
    </row>
    <row r="23" spans="1:5" ht="33" x14ac:dyDescent="0.25">
      <c r="A23" s="938" t="s">
        <v>592</v>
      </c>
      <c r="B23" s="945" t="s">
        <v>542</v>
      </c>
      <c r="C23" s="1009"/>
      <c r="D23" s="1912"/>
      <c r="E23" s="1912"/>
    </row>
    <row r="24" spans="1:5" ht="49.5" x14ac:dyDescent="0.25">
      <c r="A24" s="987" t="s">
        <v>605</v>
      </c>
      <c r="B24" s="986" t="s">
        <v>539</v>
      </c>
      <c r="C24" s="1010"/>
      <c r="D24" s="1913"/>
      <c r="E24" s="1913"/>
    </row>
    <row r="25" spans="1:5" ht="33" x14ac:dyDescent="0.25">
      <c r="A25" s="1021" t="s">
        <v>611</v>
      </c>
      <c r="B25" s="946" t="s">
        <v>594</v>
      </c>
      <c r="C25" s="1011"/>
      <c r="D25" s="1914">
        <v>395900015767</v>
      </c>
      <c r="E25" s="1914">
        <v>703169849306</v>
      </c>
    </row>
    <row r="26" spans="1:5" ht="49.5" x14ac:dyDescent="0.25">
      <c r="A26" s="956" t="s">
        <v>593</v>
      </c>
      <c r="B26" s="962" t="s">
        <v>595</v>
      </c>
      <c r="C26" s="1012"/>
      <c r="D26" s="1915">
        <v>12111206393</v>
      </c>
      <c r="E26" s="1915">
        <v>46043270671</v>
      </c>
    </row>
    <row r="27" spans="1:5" ht="33" x14ac:dyDescent="0.25">
      <c r="A27" s="991" t="s">
        <v>592</v>
      </c>
      <c r="B27" s="952" t="s">
        <v>595</v>
      </c>
      <c r="C27" s="1013"/>
      <c r="D27" s="1916"/>
      <c r="E27" s="1916"/>
    </row>
    <row r="28" spans="1:5" ht="33" x14ac:dyDescent="0.25">
      <c r="A28" s="939" t="s">
        <v>565</v>
      </c>
      <c r="B28" s="1026" t="s">
        <v>612</v>
      </c>
      <c r="C28" s="1014"/>
      <c r="D28" s="1917"/>
      <c r="E28" s="1917"/>
    </row>
    <row r="29" spans="1:5" ht="49.5" x14ac:dyDescent="0.25">
      <c r="A29" s="958" t="s">
        <v>538</v>
      </c>
      <c r="B29" s="921" t="s">
        <v>577</v>
      </c>
      <c r="C29" s="975"/>
      <c r="D29" s="1918"/>
      <c r="E29" s="1918"/>
    </row>
    <row r="30" spans="1:5" ht="82.5" x14ac:dyDescent="0.25">
      <c r="A30" s="959" t="s">
        <v>600</v>
      </c>
      <c r="B30" s="922" t="s">
        <v>578</v>
      </c>
      <c r="C30" s="976"/>
      <c r="D30" s="1942">
        <f>+D19+D20</f>
        <v>1344995456540</v>
      </c>
      <c r="E30" s="1942">
        <f>+E19+E20</f>
        <v>938847666218</v>
      </c>
    </row>
    <row r="31" spans="1:5" ht="33" x14ac:dyDescent="0.25">
      <c r="A31" s="931" t="s">
        <v>586</v>
      </c>
      <c r="B31" s="957" t="s">
        <v>599</v>
      </c>
      <c r="C31" s="977"/>
      <c r="D31" s="1953">
        <f>+D32+D34+D35+D36</f>
        <v>1344995456540</v>
      </c>
      <c r="E31" s="1953">
        <f>+E32+E34+E35+E36</f>
        <v>938847666218</v>
      </c>
    </row>
    <row r="32" spans="1:5" ht="49.5" x14ac:dyDescent="0.25">
      <c r="A32" s="940" t="s">
        <v>591</v>
      </c>
      <c r="B32" s="923" t="s">
        <v>579</v>
      </c>
      <c r="C32" s="1015"/>
      <c r="D32" s="1954">
        <v>552781949486</v>
      </c>
      <c r="E32" s="1954">
        <v>530836444058</v>
      </c>
    </row>
    <row r="33" spans="1:5" ht="33" x14ac:dyDescent="0.25">
      <c r="A33" s="1022" t="s">
        <v>592</v>
      </c>
      <c r="B33" s="924" t="s">
        <v>579</v>
      </c>
      <c r="C33" s="981"/>
      <c r="D33" s="1919"/>
      <c r="E33" s="1919"/>
    </row>
    <row r="34" spans="1:5" ht="33" x14ac:dyDescent="0.25">
      <c r="A34" s="1024" t="s">
        <v>611</v>
      </c>
      <c r="B34" s="925" t="s">
        <v>580</v>
      </c>
      <c r="C34" s="967"/>
      <c r="D34" s="1919">
        <v>732124689414</v>
      </c>
      <c r="E34" s="1919">
        <v>395900015767</v>
      </c>
    </row>
    <row r="35" spans="1:5" ht="49.5" x14ac:dyDescent="0.25">
      <c r="A35" s="1023" t="s">
        <v>605</v>
      </c>
      <c r="B35" s="963" t="s">
        <v>601</v>
      </c>
      <c r="C35" s="968"/>
      <c r="D35" s="1920">
        <v>16711308842</v>
      </c>
      <c r="E35" s="1920"/>
    </row>
    <row r="36" spans="1:5" ht="49.5" x14ac:dyDescent="0.25">
      <c r="A36" s="941" t="s">
        <v>593</v>
      </c>
      <c r="B36" s="964" t="s">
        <v>602</v>
      </c>
      <c r="C36" s="969"/>
      <c r="D36" s="1921">
        <v>43377508798</v>
      </c>
      <c r="E36" s="1921">
        <v>12111206393</v>
      </c>
    </row>
    <row r="37" spans="1:5" ht="33" x14ac:dyDescent="0.25">
      <c r="A37" s="960" t="s">
        <v>592</v>
      </c>
      <c r="B37" s="978" t="s">
        <v>602</v>
      </c>
      <c r="C37" s="970"/>
      <c r="D37" s="1922"/>
      <c r="E37" s="1922"/>
    </row>
    <row r="38" spans="1:5" ht="33" x14ac:dyDescent="0.25">
      <c r="A38" s="961" t="s">
        <v>565</v>
      </c>
      <c r="B38" s="926" t="s">
        <v>581</v>
      </c>
      <c r="C38" s="971"/>
      <c r="D38" s="1923"/>
      <c r="E38" s="1923"/>
    </row>
    <row r="39" spans="1:5" ht="49.5" x14ac:dyDescent="0.25">
      <c r="A39" s="982" t="s">
        <v>538</v>
      </c>
      <c r="B39" s="953" t="s">
        <v>596</v>
      </c>
      <c r="C39" s="972"/>
      <c r="D39" s="1924"/>
      <c r="E39" s="1924"/>
    </row>
  </sheetData>
  <mergeCells count="2">
    <mergeCell ref="A1:E1"/>
    <mergeCell ref="A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E39"/>
  <sheetViews>
    <sheetView workbookViewId="0"/>
  </sheetViews>
  <sheetFormatPr defaultRowHeight="15" x14ac:dyDescent="0.25"/>
  <cols>
    <col min="1" max="1" width="1" style="40" bestFit="1" customWidth="1"/>
    <col min="2" max="5" width="1" bestFit="1" customWidth="1"/>
  </cols>
  <sheetData>
    <row r="4" spans="1:5" x14ac:dyDescent="0.25">
      <c r="A4" t="str">
        <f>CONCATENATE(286186,",",ROW(PLCTTHDMGUTCKHTT_06612!A4),"|",COLUMN(PLCTTHDMGUTCKHTT_06612!A4),",0",",0")</f>
        <v>286186,4|1,0,0</v>
      </c>
      <c r="B4" t="str">
        <f>CONCATENATE(286210,",",ROW(PLCTTHDMGUTCKHTT_06612!B4),"|",COLUMN(PLCTTHDMGUTCKHTT_06612!B4),",0",",0")</f>
        <v>286210,4|2,0,0</v>
      </c>
      <c r="C4" t="str">
        <f>CONCATENATE(286230,",",ROW(PLCTTHDMGUTCKHTT_06612!C4),"|",COLUMN(PLCTTHDMGUTCKHTT_06612!C4),",0",",0")</f>
        <v>286230,4|3,0,0</v>
      </c>
      <c r="D4" t="str">
        <f>CONCATENATE(286165,",",ROW(PLCTTHDMGUTCKHTT_06612!D4),"|",COLUMN(PLCTTHDMGUTCKHTT_06612!D4),",0",",0")</f>
        <v>286165,4|4,0,0</v>
      </c>
      <c r="E4" t="str">
        <f>CONCATENATE(286287,",",ROW(PLCTTHDMGUTCKHTT_06612!E4),"|",COLUMN(PLCTTHDMGUTCKHTT_06612!E4),",0",",0")</f>
        <v>286287,4|5,0,0</v>
      </c>
    </row>
    <row r="5" spans="1:5" x14ac:dyDescent="0.25">
      <c r="A5" t="str">
        <f>CONCATENATE(286251,",",ROW(PLCTTHDMGUTCKHTT_06612!A5),"|",COLUMN(PLCTTHDMGUTCKHTT_06612!A5),",0",",0")</f>
        <v>286251,5|1,0,0</v>
      </c>
      <c r="B5" t="s">
        <v>5</v>
      </c>
      <c r="C5" t="str">
        <f>CONCATENATE(286229,",",ROW(PLCTTHDMGUTCKHTT_06612!C5),"|",COLUMN(PLCTTHDMGUTCKHTT_06612!C5),",0",",0")</f>
        <v>286229,5|3,0,0</v>
      </c>
      <c r="D5" t="str">
        <f>CONCATENATE(286334,",",ROW(PLCTTHDMGUTCKHTT_06612!D5),"|",COLUMN(PLCTTHDMGUTCKHTT_06612!D5),",0",",0")</f>
        <v>286334,5|4,0,0</v>
      </c>
      <c r="E5" t="str">
        <f>CONCATENATE(286286,",",ROW(PLCTTHDMGUTCKHTT_06612!E5),"|",COLUMN(PLCTTHDMGUTCKHTT_06612!E5),",0",",0")</f>
        <v>286286,5|5,0,0</v>
      </c>
    </row>
    <row r="6" spans="1:5" x14ac:dyDescent="0.25">
      <c r="A6" t="str">
        <f>CONCATENATE(286166,",",ROW(PLCTTHDMGUTCKHTT_06612!A6),"|",COLUMN(PLCTTHDMGUTCKHTT_06612!A6),",0",",0")</f>
        <v>286166,6|1,0,0</v>
      </c>
      <c r="B6" t="str">
        <f>CONCATENATE(286198,",",ROW(PLCTTHDMGUTCKHTT_06612!B6),"|",COLUMN(PLCTTHDMGUTCKHTT_06612!B6),",0",",0")</f>
        <v>286198,6|2,0,0</v>
      </c>
      <c r="C6" t="str">
        <f>CONCATENATE(286289,",",ROW(PLCTTHDMGUTCKHTT_06612!C6),"|",COLUMN(PLCTTHDMGUTCKHTT_06612!C6),",0",",0")</f>
        <v>286289,6|3,0,0</v>
      </c>
      <c r="D6" t="str">
        <f>CONCATENATE(286231,",",ROW(PLCTTHDMGUTCKHTT_06612!D6),"|",COLUMN(PLCTTHDMGUTCKHTT_06612!D6),",0",",0")</f>
        <v>286231,6|4,0,0</v>
      </c>
      <c r="E6" t="str">
        <f>CONCATENATE(286254,",",ROW(PLCTTHDMGUTCKHTT_06612!E6),"|",COLUMN(PLCTTHDMGUTCKHTT_06612!E6),",0",",0")</f>
        <v>286254,6|5,0,0</v>
      </c>
    </row>
    <row r="7" spans="1:5" x14ac:dyDescent="0.25">
      <c r="A7" t="str">
        <f>CONCATENATE(286189,",",ROW(PLCTTHDMGUTCKHTT_06612!A7),"|",COLUMN(PLCTTHDMGUTCKHTT_06612!A7),",0",",0")</f>
        <v>286189,7|1,0,0</v>
      </c>
      <c r="B7" t="str">
        <f>CONCATENATE(286221,",",ROW(PLCTTHDMGUTCKHTT_06612!B7),"|",COLUMN(PLCTTHDMGUTCKHTT_06612!B7),",0",",0")</f>
        <v>286221,7|2,0,0</v>
      </c>
      <c r="C7" t="str">
        <f>CONCATENATE(286288,",",ROW(PLCTTHDMGUTCKHTT_06612!C7),"|",COLUMN(PLCTTHDMGUTCKHTT_06612!C7),",0",",0")</f>
        <v>286288,7|3,0,0</v>
      </c>
      <c r="D7" t="str">
        <f>CONCATENATE(286232,",",ROW(PLCTTHDMGUTCKHTT_06612!D7),"|",COLUMN(PLCTTHDMGUTCKHTT_06612!D7),",0",",0")</f>
        <v>286232,7|4,0,0</v>
      </c>
      <c r="E7" t="str">
        <f>CONCATENATE(286255,",",ROW(PLCTTHDMGUTCKHTT_06612!E7),"|",COLUMN(PLCTTHDMGUTCKHTT_06612!E7),",0",",0")</f>
        <v>286255,7|5,0,0</v>
      </c>
    </row>
    <row r="8" spans="1:5" x14ac:dyDescent="0.25">
      <c r="A8" t="str">
        <f>CONCATENATE(286247,",",ROW(PLCTTHDMGUTCKHTT_06612!A8),"|",COLUMN(PLCTTHDMGUTCKHTT_06612!A8),",0",",0")</f>
        <v>286247,8|1,0,0</v>
      </c>
      <c r="B8" t="str">
        <f>CONCATENATE(286250,",",ROW(PLCTTHDMGUTCKHTT_06612!B8),"|",COLUMN(PLCTTHDMGUTCKHTT_06612!B8),",0",",0")</f>
        <v>286250,8|2,0,0</v>
      </c>
      <c r="C8" t="str">
        <f>CONCATENATE(286290,",",ROW(PLCTTHDMGUTCKHTT_06612!C8),"|",COLUMN(PLCTTHDMGUTCKHTT_06612!C8),",0",",0")</f>
        <v>286290,8|3,0,0</v>
      </c>
      <c r="D8" t="str">
        <f>CONCATENATE(286233,",",ROW(PLCTTHDMGUTCKHTT_06612!D8),"|",COLUMN(PLCTTHDMGUTCKHTT_06612!D8),",0",",0")</f>
        <v>286233,8|4,0,0</v>
      </c>
      <c r="E8" t="str">
        <f>CONCATENATE(286256,",",ROW(PLCTTHDMGUTCKHTT_06612!E8),"|",COLUMN(PLCTTHDMGUTCKHTT_06612!E8),",0",",0")</f>
        <v>286256,8|5,0,0</v>
      </c>
    </row>
    <row r="9" spans="1:5" x14ac:dyDescent="0.25">
      <c r="A9" t="str">
        <f>CONCATENATE(286248,",",ROW(PLCTTHDMGUTCKHTT_06612!A9),"|",COLUMN(PLCTTHDMGUTCKHTT_06612!A9),",0",",0")</f>
        <v>286248,9|1,0,0</v>
      </c>
      <c r="B9" t="str">
        <f>CONCATENATE(286222,",",ROW(PLCTTHDMGUTCKHTT_06612!B9),"|",COLUMN(PLCTTHDMGUTCKHTT_06612!B9),",0",",0")</f>
        <v>286222,9|2,0,0</v>
      </c>
      <c r="C9" t="str">
        <f>CONCATENATE(286291,",",ROW(PLCTTHDMGUTCKHTT_06612!C9),"|",COLUMN(PLCTTHDMGUTCKHTT_06612!C9),",0",",0")</f>
        <v>286291,9|3,0,0</v>
      </c>
      <c r="D9" t="str">
        <f>CONCATENATE(286234,",",ROW(PLCTTHDMGUTCKHTT_06612!D9),"|",COLUMN(PLCTTHDMGUTCKHTT_06612!D9),",0",",0")</f>
        <v>286234,9|4,0,0</v>
      </c>
      <c r="E9" t="str">
        <f>CONCATENATE(286257,",",ROW(PLCTTHDMGUTCKHTT_06612!E9),"|",COLUMN(PLCTTHDMGUTCKHTT_06612!E9),",0",",0")</f>
        <v>286257,9|5,0,0</v>
      </c>
    </row>
    <row r="10" spans="1:5" x14ac:dyDescent="0.25">
      <c r="A10" t="str">
        <f>CONCATENATE(286167,",",ROW(PLCTTHDMGUTCKHTT_06612!A10),"|",COLUMN(PLCTTHDMGUTCKHTT_06612!A10),",0",",0")</f>
        <v>286167,10|1,0,0</v>
      </c>
      <c r="B10" t="str">
        <f>CONCATENATE(286338,",",ROW(PLCTTHDMGUTCKHTT_06612!B10),"|",COLUMN(PLCTTHDMGUTCKHTT_06612!B10),",0",",0")</f>
        <v>286338,10|2,0,0</v>
      </c>
      <c r="C10" t="str">
        <f>CONCATENATE(286292,",",ROW(PLCTTHDMGUTCKHTT_06612!C10),"|",COLUMN(PLCTTHDMGUTCKHTT_06612!C10),",0",",0")</f>
        <v>286292,10|3,0,0</v>
      </c>
      <c r="D10" t="str">
        <f>CONCATENATE(286235,",",ROW(PLCTTHDMGUTCKHTT_06612!D10),"|",COLUMN(PLCTTHDMGUTCKHTT_06612!D10),",0",",0")</f>
        <v>286235,10|4,0,0</v>
      </c>
      <c r="E10" t="str">
        <f>CONCATENATE(286258,",",ROW(PLCTTHDMGUTCKHTT_06612!E10),"|",COLUMN(PLCTTHDMGUTCKHTT_06612!E10),",0",",0")</f>
        <v>286258,10|5,0,0</v>
      </c>
    </row>
    <row r="11" spans="1:5" x14ac:dyDescent="0.25">
      <c r="A11" t="str">
        <f>CONCATENATE(286211,",",ROW(PLCTTHDMGUTCKHTT_06612!A11),"|",COLUMN(PLCTTHDMGUTCKHTT_06612!A11),",0",",0")</f>
        <v>286211,11|1,0,0</v>
      </c>
      <c r="B11" t="str">
        <f>CONCATENATE(286164,",",ROW(PLCTTHDMGUTCKHTT_06612!B11),"|",COLUMN(PLCTTHDMGUTCKHTT_06612!B11),",0",",0")</f>
        <v>286164,11|2,0,0</v>
      </c>
      <c r="C11" t="str">
        <f>CONCATENATE(286293,",",ROW(PLCTTHDMGUTCKHTT_06612!C11),"|",COLUMN(PLCTTHDMGUTCKHTT_06612!C11),",0",",0")</f>
        <v>286293,11|3,0,0</v>
      </c>
      <c r="D11" t="str">
        <f>CONCATENATE(286236,",",ROW(PLCTTHDMGUTCKHTT_06612!D11),"|",COLUMN(PLCTTHDMGUTCKHTT_06612!D11),",0",",0")</f>
        <v>286236,11|4,0,0</v>
      </c>
      <c r="E11" t="str">
        <f>CONCATENATE(286259,",",ROW(PLCTTHDMGUTCKHTT_06612!E11),"|",COLUMN(PLCTTHDMGUTCKHTT_06612!E11),",0",",0")</f>
        <v>286259,11|5,0,0</v>
      </c>
    </row>
    <row r="12" spans="1:5" x14ac:dyDescent="0.25">
      <c r="A12" t="str">
        <f>CONCATENATE(286252,",",ROW(PLCTTHDMGUTCKHTT_06612!A12),"|",COLUMN(PLCTTHDMGUTCKHTT_06612!A12),",0",",0")</f>
        <v>286252,12|1,0,0</v>
      </c>
      <c r="B12" t="str">
        <f>CONCATENATE(286173,",",ROW(PLCTTHDMGUTCKHTT_06612!B12),"|",COLUMN(PLCTTHDMGUTCKHTT_06612!B12),",0",",0")</f>
        <v>286173,12|2,0,0</v>
      </c>
      <c r="C12" t="str">
        <f>CONCATENATE(286294,",",ROW(PLCTTHDMGUTCKHTT_06612!C12),"|",COLUMN(PLCTTHDMGUTCKHTT_06612!C12),",0",",0")</f>
        <v>286294,12|3,0,0</v>
      </c>
      <c r="D12" t="str">
        <f>CONCATENATE(286237,",",ROW(PLCTTHDMGUTCKHTT_06612!D12),"|",COLUMN(PLCTTHDMGUTCKHTT_06612!D12),",0",",0")</f>
        <v>286237,12|4,0,0</v>
      </c>
      <c r="E12" t="str">
        <f>CONCATENATE(286260,",",ROW(PLCTTHDMGUTCKHTT_06612!E12),"|",COLUMN(PLCTTHDMGUTCKHTT_06612!E12),",0",",0")</f>
        <v>286260,12|5,0,0</v>
      </c>
    </row>
    <row r="13" spans="1:5" x14ac:dyDescent="0.25">
      <c r="A13" t="str">
        <f>CONCATENATE(286181,",",ROW(PLCTTHDMGUTCKHTT_06612!A13),"|",COLUMN(PLCTTHDMGUTCKHTT_06612!A13),",0",",0")</f>
        <v>286181,13|1,0,0</v>
      </c>
      <c r="B13" t="str">
        <f>CONCATENATE(286203,",",ROW(PLCTTHDMGUTCKHTT_06612!B13),"|",COLUMN(PLCTTHDMGUTCKHTT_06612!B13),",0",",0")</f>
        <v>286203,13|2,0,0</v>
      </c>
      <c r="C13" t="str">
        <f>CONCATENATE(286295,",",ROW(PLCTTHDMGUTCKHTT_06612!C13),"|",COLUMN(PLCTTHDMGUTCKHTT_06612!C13),",0",",0")</f>
        <v>286295,13|3,0,0</v>
      </c>
      <c r="D13" t="str">
        <f>CONCATENATE(286238,",",ROW(PLCTTHDMGUTCKHTT_06612!D13),"|",COLUMN(PLCTTHDMGUTCKHTT_06612!D13),",0",",0")</f>
        <v>286238,13|4,0,0</v>
      </c>
      <c r="E13" t="str">
        <f>CONCATENATE(286261,",",ROW(PLCTTHDMGUTCKHTT_06612!E13),"|",COLUMN(PLCTTHDMGUTCKHTT_06612!E13),",0",",0")</f>
        <v>286261,13|5,0,0</v>
      </c>
    </row>
    <row r="14" spans="1:5" x14ac:dyDescent="0.25">
      <c r="A14" t="str">
        <f>CONCATENATE(286182,",",ROW(PLCTTHDMGUTCKHTT_06612!A14),"|",COLUMN(PLCTTHDMGUTCKHTT_06612!A14),",0",",0")</f>
        <v>286182,14|1,0,0</v>
      </c>
      <c r="B14" t="str">
        <f>CONCATENATE(286337,",",ROW(PLCTTHDMGUTCKHTT_06612!B14),"|",COLUMN(PLCTTHDMGUTCKHTT_06612!B14),",0",",0")</f>
        <v>286337,14|2,0,0</v>
      </c>
      <c r="C14" t="str">
        <f>CONCATENATE(286296,",",ROW(PLCTTHDMGUTCKHTT_06612!C14),"|",COLUMN(PLCTTHDMGUTCKHTT_06612!C14),",0",",0")</f>
        <v>286296,14|3,0,0</v>
      </c>
      <c r="D14" t="str">
        <f>CONCATENATE(286239,",",ROW(PLCTTHDMGUTCKHTT_06612!D14),"|",COLUMN(PLCTTHDMGUTCKHTT_06612!D14),",0",",0")</f>
        <v>286239,14|4,0,0</v>
      </c>
      <c r="E14" t="str">
        <f>CONCATENATE(286262,",",ROW(PLCTTHDMGUTCKHTT_06612!E14),"|",COLUMN(PLCTTHDMGUTCKHTT_06612!E14),",0",",0")</f>
        <v>286262,14|5,0,0</v>
      </c>
    </row>
    <row r="15" spans="1:5" x14ac:dyDescent="0.25">
      <c r="A15" t="str">
        <f>CONCATENATE(286183,",",ROW(PLCTTHDMGUTCKHTT_06612!A15),"|",COLUMN(PLCTTHDMGUTCKHTT_06612!A15),",0",",0")</f>
        <v>286183,15|1,0,0</v>
      </c>
      <c r="B15" t="str">
        <f>CONCATENATE(286204,",",ROW(PLCTTHDMGUTCKHTT_06612!B15),"|",COLUMN(PLCTTHDMGUTCKHTT_06612!B15),",0",",0")</f>
        <v>286204,15|2,0,0</v>
      </c>
      <c r="C15" t="str">
        <f>CONCATENATE(286297,",",ROW(PLCTTHDMGUTCKHTT_06612!C15),"|",COLUMN(PLCTTHDMGUTCKHTT_06612!C15),",0",",0")</f>
        <v>286297,15|3,0,0</v>
      </c>
      <c r="D15" t="str">
        <f>CONCATENATE(286240,",",ROW(PLCTTHDMGUTCKHTT_06612!D15),"|",COLUMN(PLCTTHDMGUTCKHTT_06612!D15),",0",",0")</f>
        <v>286240,15|4,0,0</v>
      </c>
      <c r="E15" t="str">
        <f>CONCATENATE(286263,",",ROW(PLCTTHDMGUTCKHTT_06612!E15),"|",COLUMN(PLCTTHDMGUTCKHTT_06612!E15),",0",",0")</f>
        <v>286263,15|5,0,0</v>
      </c>
    </row>
    <row r="16" spans="1:5" x14ac:dyDescent="0.25">
      <c r="A16" t="str">
        <f>CONCATENATE(286168,",",ROW(PLCTTHDMGUTCKHTT_06612!A16),"|",COLUMN(PLCTTHDMGUTCKHTT_06612!A16),",0",",0")</f>
        <v>286168,16|1,0,0</v>
      </c>
      <c r="B16" t="str">
        <f>CONCATENATE(286205,",",ROW(PLCTTHDMGUTCKHTT_06612!B16),"|",COLUMN(PLCTTHDMGUTCKHTT_06612!B16),",0",",0")</f>
        <v>286205,16|2,0,0</v>
      </c>
      <c r="C16" t="str">
        <f>CONCATENATE(286298,",",ROW(PLCTTHDMGUTCKHTT_06612!C16),"|",COLUMN(PLCTTHDMGUTCKHTT_06612!C16),",0",",0")</f>
        <v>286298,16|3,0,0</v>
      </c>
      <c r="D16" t="str">
        <f>CONCATENATE(286241,",",ROW(PLCTTHDMGUTCKHTT_06612!D16),"|",COLUMN(PLCTTHDMGUTCKHTT_06612!D16),",0",",0")</f>
        <v>286241,16|4,0,0</v>
      </c>
      <c r="E16" t="str">
        <f>CONCATENATE(286264,",",ROW(PLCTTHDMGUTCKHTT_06612!E16),"|",COLUMN(PLCTTHDMGUTCKHTT_06612!E16),",0",",0")</f>
        <v>286264,16|5,0,0</v>
      </c>
    </row>
    <row r="17" spans="1:5" x14ac:dyDescent="0.25">
      <c r="A17" t="str">
        <f>CONCATENATE(286184,",",ROW(PLCTTHDMGUTCKHTT_06612!A17),"|",COLUMN(PLCTTHDMGUTCKHTT_06612!A17),",0",",0")</f>
        <v>286184,17|1,0,0</v>
      </c>
      <c r="B17" t="str">
        <f>CONCATENATE(286206,",",ROW(PLCTTHDMGUTCKHTT_06612!B17),"|",COLUMN(PLCTTHDMGUTCKHTT_06612!B17),",0",",0")</f>
        <v>286206,17|2,0,0</v>
      </c>
      <c r="C17" t="str">
        <f>CONCATENATE(286299,",",ROW(PLCTTHDMGUTCKHTT_06612!C17),"|",COLUMN(PLCTTHDMGUTCKHTT_06612!C17),",0",",0")</f>
        <v>286299,17|3,0,0</v>
      </c>
      <c r="D17" t="str">
        <f>CONCATENATE(286242,",",ROW(PLCTTHDMGUTCKHTT_06612!D17),"|",COLUMN(PLCTTHDMGUTCKHTT_06612!D17),",0",",0")</f>
        <v>286242,17|4,0,0</v>
      </c>
      <c r="E17" t="str">
        <f>CONCATENATE(286265,",",ROW(PLCTTHDMGUTCKHTT_06612!E17),"|",COLUMN(PLCTTHDMGUTCKHTT_06612!E17),",0",",0")</f>
        <v>286265,17|5,0,0</v>
      </c>
    </row>
    <row r="18" spans="1:5" x14ac:dyDescent="0.25">
      <c r="A18" t="str">
        <f>CONCATENATE(286190,",",ROW(PLCTTHDMGUTCKHTT_06612!A18),"|",COLUMN(PLCTTHDMGUTCKHTT_06612!A18),",0",",0")</f>
        <v>286190,18|1,0,0</v>
      </c>
      <c r="B18" t="str">
        <f>CONCATENATE(286199,",",ROW(PLCTTHDMGUTCKHTT_06612!B18),"|",COLUMN(PLCTTHDMGUTCKHTT_06612!B18),",0",",0")</f>
        <v>286199,18|2,0,0</v>
      </c>
      <c r="C18" t="str">
        <f>CONCATENATE(286300,",",ROW(PLCTTHDMGUTCKHTT_06612!C18),"|",COLUMN(PLCTTHDMGUTCKHTT_06612!C18),",0",",0")</f>
        <v>286300,18|3,0,0</v>
      </c>
      <c r="D18" t="str">
        <f>CONCATENATE(286243,",",ROW(PLCTTHDMGUTCKHTT_06612!D18),"|",COLUMN(PLCTTHDMGUTCKHTT_06612!D18),",0",",0")</f>
        <v>286243,18|4,0,0</v>
      </c>
      <c r="E18" t="str">
        <f>CONCATENATE(286266,",",ROW(PLCTTHDMGUTCKHTT_06612!E18),"|",COLUMN(PLCTTHDMGUTCKHTT_06612!E18),",0",",0")</f>
        <v>286266,18|5,0,0</v>
      </c>
    </row>
    <row r="19" spans="1:5" x14ac:dyDescent="0.25">
      <c r="A19" t="str">
        <f>CONCATENATE(302877,",",ROW(PLCTTHDMGUTCKHTT_06612!A19),"|",COLUMN(PLCTTHDMGUTCKHTT_06612!A19),",0",",0")</f>
        <v>302877,19|1,0,0</v>
      </c>
      <c r="B19" t="str">
        <f>CONCATENATE(302882,",",ROW(PLCTTHDMGUTCKHTT_06612!B19),"|",COLUMN(PLCTTHDMGUTCKHTT_06612!B19),",0",",0")</f>
        <v>302882,19|2,0,0</v>
      </c>
      <c r="C19" t="str">
        <f>CONCATENATE(302891,",",ROW(PLCTTHDMGUTCKHTT_06612!C19),"|",COLUMN(PLCTTHDMGUTCKHTT_06612!C19),",0",",0")</f>
        <v>302891,19|3,0,0</v>
      </c>
      <c r="D19" t="str">
        <f>CONCATENATE(302896,",",ROW(PLCTTHDMGUTCKHTT_06612!D19),"|",COLUMN(PLCTTHDMGUTCKHTT_06612!D19),",0",",0")</f>
        <v>302896,19|4,0,0</v>
      </c>
      <c r="E19" t="str">
        <f>CONCATENATE(302901,",",ROW(PLCTTHDMGUTCKHTT_06612!E19),"|",COLUMN(PLCTTHDMGUTCKHTT_06612!E19),",0",",0")</f>
        <v>302901,19|5,0,0</v>
      </c>
    </row>
    <row r="20" spans="1:5" x14ac:dyDescent="0.25">
      <c r="A20" t="str">
        <f>CONCATENATE(286191,",",ROW(PLCTTHDMGUTCKHTT_06612!A20),"|",COLUMN(PLCTTHDMGUTCKHTT_06612!A20),",0",",0")</f>
        <v>286191,20|1,0,0</v>
      </c>
      <c r="B20" t="str">
        <f>CONCATENATE(286339,",",ROW(PLCTTHDMGUTCKHTT_06612!B20),"|",COLUMN(PLCTTHDMGUTCKHTT_06612!B20),",0",",0")</f>
        <v>286339,20|2,0,0</v>
      </c>
      <c r="C20" t="str">
        <f>CONCATENATE(286301,",",ROW(PLCTTHDMGUTCKHTT_06612!C20),"|",COLUMN(PLCTTHDMGUTCKHTT_06612!C20),",0",",0")</f>
        <v>286301,20|3,0,0</v>
      </c>
      <c r="D20" t="str">
        <f>CONCATENATE(286244,",",ROW(PLCTTHDMGUTCKHTT_06612!D20),"|",COLUMN(PLCTTHDMGUTCKHTT_06612!D20),",0",",0")</f>
        <v>286244,20|4,0,0</v>
      </c>
      <c r="E20" t="str">
        <f>CONCATENATE(286267,",",ROW(PLCTTHDMGUTCKHTT_06612!E20),"|",COLUMN(PLCTTHDMGUTCKHTT_06612!E20),",0",",0")</f>
        <v>286267,20|5,0,0</v>
      </c>
    </row>
    <row r="21" spans="1:5" x14ac:dyDescent="0.25">
      <c r="A21" t="str">
        <f>CONCATENATE(286192,",",ROW(PLCTTHDMGUTCKHTT_06612!A21),"|",COLUMN(PLCTTHDMGUTCKHTT_06612!A21),",0",",0")</f>
        <v>286192,21|1,0,0</v>
      </c>
      <c r="B21" t="str">
        <f>CONCATENATE(286200,",",ROW(PLCTTHDMGUTCKHTT_06612!B21),"|",COLUMN(PLCTTHDMGUTCKHTT_06612!B21),",0",",0")</f>
        <v>286200,21|2,0,0</v>
      </c>
      <c r="C21" t="str">
        <f>CONCATENATE(286302,",",ROW(PLCTTHDMGUTCKHTT_06612!C21),"|",COLUMN(PLCTTHDMGUTCKHTT_06612!C21),",0",",0")</f>
        <v>286302,21|3,0,0</v>
      </c>
      <c r="D21" t="str">
        <f>CONCATENATE(286245,",",ROW(PLCTTHDMGUTCKHTT_06612!D21),"|",COLUMN(PLCTTHDMGUTCKHTT_06612!D21),",0",",0")</f>
        <v>286245,21|4,0,0</v>
      </c>
      <c r="E21" t="str">
        <f>CONCATENATE(286268,",",ROW(PLCTTHDMGUTCKHTT_06612!E21),"|",COLUMN(PLCTTHDMGUTCKHTT_06612!E21),",0",",0")</f>
        <v>286268,21|5,0,0</v>
      </c>
    </row>
    <row r="22" spans="1:5" x14ac:dyDescent="0.25">
      <c r="A22" t="str">
        <f>CONCATENATE(286193,",",ROW(PLCTTHDMGUTCKHTT_06612!A22),"|",COLUMN(PLCTTHDMGUTCKHTT_06612!A22),",0",",0")</f>
        <v>286193,22|1,0,0</v>
      </c>
      <c r="B22" t="str">
        <f>CONCATENATE(286207,",",ROW(PLCTTHDMGUTCKHTT_06612!B22),"|",COLUMN(PLCTTHDMGUTCKHTT_06612!B22),",0",",0")</f>
        <v>286207,22|2,0,0</v>
      </c>
      <c r="C22" t="str">
        <f>CONCATENATE(286303,",",ROW(PLCTTHDMGUTCKHTT_06612!C22),"|",COLUMN(PLCTTHDMGUTCKHTT_06612!C22),",0",",0")</f>
        <v>286303,22|3,0,0</v>
      </c>
      <c r="D22" t="str">
        <f>CONCATENATE(286316,",",ROW(PLCTTHDMGUTCKHTT_06612!D22),"|",COLUMN(PLCTTHDMGUTCKHTT_06612!D22),",0",",0")</f>
        <v>286316,22|4,0,0</v>
      </c>
      <c r="E22" t="str">
        <f>CONCATENATE(286269,",",ROW(PLCTTHDMGUTCKHTT_06612!E22),"|",COLUMN(PLCTTHDMGUTCKHTT_06612!E22),",0",",0")</f>
        <v>286269,22|5,0,0</v>
      </c>
    </row>
    <row r="23" spans="1:5" x14ac:dyDescent="0.25">
      <c r="A23" t="str">
        <f>CONCATENATE(286194,",",ROW(PLCTTHDMGUTCKHTT_06612!A23),"|",COLUMN(PLCTTHDMGUTCKHTT_06612!A23),",0",",0")</f>
        <v>286194,23|1,0,0</v>
      </c>
      <c r="B23" t="str">
        <f>CONCATENATE(286201,",",ROW(PLCTTHDMGUTCKHTT_06612!B23),"|",COLUMN(PLCTTHDMGUTCKHTT_06612!B23),",0",",0")</f>
        <v>286201,23|2,0,0</v>
      </c>
      <c r="C23" t="str">
        <f>CONCATENATE(286304,",",ROW(PLCTTHDMGUTCKHTT_06612!C23),"|",COLUMN(PLCTTHDMGUTCKHTT_06612!C23),",0",",0")</f>
        <v>286304,23|3,0,0</v>
      </c>
      <c r="D23" t="str">
        <f>CONCATENATE(286317,",",ROW(PLCTTHDMGUTCKHTT_06612!D23),"|",COLUMN(PLCTTHDMGUTCKHTT_06612!D23),",0",",0")</f>
        <v>286317,23|4,0,0</v>
      </c>
      <c r="E23" t="str">
        <f>CONCATENATE(286270,",",ROW(PLCTTHDMGUTCKHTT_06612!E23),"|",COLUMN(PLCTTHDMGUTCKHTT_06612!E23),",0",",0")</f>
        <v>286270,23|5,0,0</v>
      </c>
    </row>
    <row r="24" spans="1:5" x14ac:dyDescent="0.25">
      <c r="A24" t="str">
        <f>CONCATENATE(286249,",",ROW(PLCTTHDMGUTCKHTT_06612!A24),"|",COLUMN(PLCTTHDMGUTCKHTT_06612!A24),",0",",0")</f>
        <v>286249,24|1,0,0</v>
      </c>
      <c r="B24" t="str">
        <f>CONCATENATE(286340,",",ROW(PLCTTHDMGUTCKHTT_06612!B24),"|",COLUMN(PLCTTHDMGUTCKHTT_06612!B24),",0",",0")</f>
        <v>286340,24|2,0,0</v>
      </c>
      <c r="C24" t="str">
        <f>CONCATENATE(286305,",",ROW(PLCTTHDMGUTCKHTT_06612!C24),"|",COLUMN(PLCTTHDMGUTCKHTT_06612!C24),",0",",0")</f>
        <v>286305,24|3,0,0</v>
      </c>
      <c r="D24" t="str">
        <f>CONCATENATE(286318,",",ROW(PLCTTHDMGUTCKHTT_06612!D24),"|",COLUMN(PLCTTHDMGUTCKHTT_06612!D24),",0",",0")</f>
        <v>286318,24|4,0,0</v>
      </c>
      <c r="E24" t="str">
        <f>CONCATENATE(286271,",",ROW(PLCTTHDMGUTCKHTT_06612!E24),"|",COLUMN(PLCTTHDMGUTCKHTT_06612!E24),",0",",0")</f>
        <v>286271,24|5,0,0</v>
      </c>
    </row>
    <row r="25" spans="1:5" x14ac:dyDescent="0.25">
      <c r="A25" t="str">
        <f>CONCATENATE(286169,",",ROW(PLCTTHDMGUTCKHTT_06612!A25),"|",COLUMN(PLCTTHDMGUTCKHTT_06612!A25),",0",",0")</f>
        <v>286169,25|1,0,0</v>
      </c>
      <c r="B25" t="str">
        <f>CONCATENATE(286202,",",ROW(PLCTTHDMGUTCKHTT_06612!B25),"|",COLUMN(PLCTTHDMGUTCKHTT_06612!B25),",0",",0")</f>
        <v>286202,25|2,0,0</v>
      </c>
      <c r="C25" t="str">
        <f>CONCATENATE(286306,",",ROW(PLCTTHDMGUTCKHTT_06612!C25),"|",COLUMN(PLCTTHDMGUTCKHTT_06612!C25),",0",",0")</f>
        <v>286306,25|3,0,0</v>
      </c>
      <c r="D25" t="str">
        <f>CONCATENATE(286319,",",ROW(PLCTTHDMGUTCKHTT_06612!D25),"|",COLUMN(PLCTTHDMGUTCKHTT_06612!D25),",0",",0")</f>
        <v>286319,25|4,0,0</v>
      </c>
      <c r="E25" t="str">
        <f>CONCATENATE(286272,",",ROW(PLCTTHDMGUTCKHTT_06612!E25),"|",COLUMN(PLCTTHDMGUTCKHTT_06612!E25),",0",",0")</f>
        <v>286272,25|5,0,0</v>
      </c>
    </row>
    <row r="26" spans="1:5" x14ac:dyDescent="0.25">
      <c r="A26" t="str">
        <f>CONCATENATE(286212,",",ROW(PLCTTHDMGUTCKHTT_06612!A26),"|",COLUMN(PLCTTHDMGUTCKHTT_06612!A26),",0",",0")</f>
        <v>286212,26|1,0,0</v>
      </c>
      <c r="B26" t="str">
        <f>CONCATENATE(286218,",",ROW(PLCTTHDMGUTCKHTT_06612!B26),"|",COLUMN(PLCTTHDMGUTCKHTT_06612!B26),",0",",0")</f>
        <v>286218,26|2,0,0</v>
      </c>
      <c r="C26" t="str">
        <f>CONCATENATE(286307,",",ROW(PLCTTHDMGUTCKHTT_06612!C26),"|",COLUMN(PLCTTHDMGUTCKHTT_06612!C26),",0",",0")</f>
        <v>286307,26|3,0,0</v>
      </c>
      <c r="D26" t="str">
        <f>CONCATENATE(286320,",",ROW(PLCTTHDMGUTCKHTT_06612!D26),"|",COLUMN(PLCTTHDMGUTCKHTT_06612!D26),",0",",0")</f>
        <v>286320,26|4,0,0</v>
      </c>
      <c r="E26" t="str">
        <f>CONCATENATE(286273,",",ROW(PLCTTHDMGUTCKHTT_06612!E26),"|",COLUMN(PLCTTHDMGUTCKHTT_06612!E26),",0",",0")</f>
        <v>286273,26|5,0,0</v>
      </c>
    </row>
    <row r="27" spans="1:5" x14ac:dyDescent="0.25">
      <c r="A27" t="str">
        <f>CONCATENATE(286253,",",ROW(PLCTTHDMGUTCKHTT_06612!A27),"|",COLUMN(PLCTTHDMGUTCKHTT_06612!A27),",0",",0")</f>
        <v>286253,27|1,0,0</v>
      </c>
      <c r="B27" t="str">
        <f>CONCATENATE(286208,",",ROW(PLCTTHDMGUTCKHTT_06612!B27),"|",COLUMN(PLCTTHDMGUTCKHTT_06612!B27),",0",",0")</f>
        <v>286208,27|2,0,0</v>
      </c>
      <c r="C27" t="str">
        <f>CONCATENATE(286308,",",ROW(PLCTTHDMGUTCKHTT_06612!C27),"|",COLUMN(PLCTTHDMGUTCKHTT_06612!C27),",0",",0")</f>
        <v>286308,27|3,0,0</v>
      </c>
      <c r="D27" t="str">
        <f>CONCATENATE(286321,",",ROW(PLCTTHDMGUTCKHTT_06612!D27),"|",COLUMN(PLCTTHDMGUTCKHTT_06612!D27),",0",",0")</f>
        <v>286321,27|4,0,0</v>
      </c>
      <c r="E27" t="str">
        <f>CONCATENATE(286274,",",ROW(PLCTTHDMGUTCKHTT_06612!E27),"|",COLUMN(PLCTTHDMGUTCKHTT_06612!E27),",0",",0")</f>
        <v>286274,27|5,0,0</v>
      </c>
    </row>
    <row r="28" spans="1:5" x14ac:dyDescent="0.25">
      <c r="A28" t="str">
        <f>CONCATENATE(286195,",",ROW(PLCTTHDMGUTCKHTT_06612!A28),"|",COLUMN(PLCTTHDMGUTCKHTT_06612!A28),",0",",0")</f>
        <v>286195,28|1,0,0</v>
      </c>
      <c r="B28" t="str">
        <f>CONCATENATE(286174,",",ROW(PLCTTHDMGUTCKHTT_06612!B28),"|",COLUMN(PLCTTHDMGUTCKHTT_06612!B28),",0",",0")</f>
        <v>286174,28|2,0,0</v>
      </c>
      <c r="C28" t="str">
        <f>CONCATENATE(286309,",",ROW(PLCTTHDMGUTCKHTT_06612!C28),"|",COLUMN(PLCTTHDMGUTCKHTT_06612!C28),",0",",0")</f>
        <v>286309,28|3,0,0</v>
      </c>
      <c r="D28" t="str">
        <f>CONCATENATE(286322,",",ROW(PLCTTHDMGUTCKHTT_06612!D28),"|",COLUMN(PLCTTHDMGUTCKHTT_06612!D28),",0",",0")</f>
        <v>286322,28|4,0,0</v>
      </c>
      <c r="E28" t="str">
        <f>CONCATENATE(286275,",",ROW(PLCTTHDMGUTCKHTT_06612!E28),"|",COLUMN(PLCTTHDMGUTCKHTT_06612!E28),",0",",0")</f>
        <v>286275,28|5,0,0</v>
      </c>
    </row>
    <row r="29" spans="1:5" x14ac:dyDescent="0.25">
      <c r="A29" t="str">
        <f>CONCATENATE(286214,",",ROW(PLCTTHDMGUTCKHTT_06612!A29),"|",COLUMN(PLCTTHDMGUTCKHTT_06612!A29),",0",",0")</f>
        <v>286214,29|1,0,0</v>
      </c>
      <c r="B29" t="str">
        <f>CONCATENATE(286175,",",ROW(PLCTTHDMGUTCKHTT_06612!B29),"|",COLUMN(PLCTTHDMGUTCKHTT_06612!B29),",0",",0")</f>
        <v>286175,29|2,0,0</v>
      </c>
      <c r="C29" t="str">
        <f>CONCATENATE(286310,",",ROW(PLCTTHDMGUTCKHTT_06612!C29),"|",COLUMN(PLCTTHDMGUTCKHTT_06612!C29),",0",",0")</f>
        <v>286310,29|3,0,0</v>
      </c>
      <c r="D29" t="str">
        <f>CONCATENATE(286323,",",ROW(PLCTTHDMGUTCKHTT_06612!D29),"|",COLUMN(PLCTTHDMGUTCKHTT_06612!D29),",0",",0")</f>
        <v>286323,29|4,0,0</v>
      </c>
      <c r="E29" t="str">
        <f>CONCATENATE(286276,",",ROW(PLCTTHDMGUTCKHTT_06612!E29),"|",COLUMN(PLCTTHDMGUTCKHTT_06612!E29),",0",",0")</f>
        <v>286276,29|5,0,0</v>
      </c>
    </row>
    <row r="30" spans="1:5" x14ac:dyDescent="0.25">
      <c r="A30" t="str">
        <f>CONCATENATE(286215,",",ROW(PLCTTHDMGUTCKHTT_06612!A30),"|",COLUMN(PLCTTHDMGUTCKHTT_06612!A30),",0",",0")</f>
        <v>286215,30|1,0,0</v>
      </c>
      <c r="B30" t="str">
        <f>CONCATENATE(286176,",",ROW(PLCTTHDMGUTCKHTT_06612!B30),"|",COLUMN(PLCTTHDMGUTCKHTT_06612!B30),",0",",0")</f>
        <v>286176,30|2,0,0</v>
      </c>
      <c r="C30" t="str">
        <f>CONCATENATE(286311,",",ROW(PLCTTHDMGUTCKHTT_06612!C30),"|",COLUMN(PLCTTHDMGUTCKHTT_06612!C30),",0",",0")</f>
        <v>286311,30|3,0,0</v>
      </c>
      <c r="D30" t="str">
        <f>CONCATENATE(286324,",",ROW(PLCTTHDMGUTCKHTT_06612!D30),"|",COLUMN(PLCTTHDMGUTCKHTT_06612!D30),",0",",0")</f>
        <v>286324,30|4,0,0</v>
      </c>
      <c r="E30" t="str">
        <f>CONCATENATE(286313,",",ROW(PLCTTHDMGUTCKHTT_06612!E30),"|",COLUMN(PLCTTHDMGUTCKHTT_06612!E30),",0",",0")</f>
        <v>286313,30|5,0,0</v>
      </c>
    </row>
    <row r="31" spans="1:5" x14ac:dyDescent="0.25">
      <c r="A31" t="str">
        <f>CONCATENATE(286185,",",ROW(PLCTTHDMGUTCKHTT_06612!A31),"|",COLUMN(PLCTTHDMGUTCKHTT_06612!A31),",0",",0")</f>
        <v>286185,31|1,0,0</v>
      </c>
      <c r="B31" t="str">
        <f>CONCATENATE(286213,",",ROW(PLCTTHDMGUTCKHTT_06612!B31),"|",COLUMN(PLCTTHDMGUTCKHTT_06612!B31),",0",",0")</f>
        <v>286213,31|2,0,0</v>
      </c>
      <c r="C31" t="str">
        <f>CONCATENATE(286312,",",ROW(PLCTTHDMGUTCKHTT_06612!C31),"|",COLUMN(PLCTTHDMGUTCKHTT_06612!C31),",0",",0")</f>
        <v>286312,31|3,0,0</v>
      </c>
      <c r="D31" t="str">
        <f>CONCATENATE(286325,",",ROW(PLCTTHDMGUTCKHTT_06612!D31),"|",COLUMN(PLCTTHDMGUTCKHTT_06612!D31),",0",",0")</f>
        <v>286325,31|4,0,0</v>
      </c>
      <c r="E31" t="str">
        <f>CONCATENATE(286277,",",ROW(PLCTTHDMGUTCKHTT_06612!E31),"|",COLUMN(PLCTTHDMGUTCKHTT_06612!E31),",0",",0")</f>
        <v>286277,31|5,0,0</v>
      </c>
    </row>
    <row r="32" spans="1:5" x14ac:dyDescent="0.25">
      <c r="A32" t="str">
        <f>CONCATENATE(286196,",",ROW(PLCTTHDMGUTCKHTT_06612!A32),"|",COLUMN(PLCTTHDMGUTCKHTT_06612!A32),",0",",0")</f>
        <v>286196,32|1,0,0</v>
      </c>
      <c r="B32" t="str">
        <f>CONCATENATE(286177,",",ROW(PLCTTHDMGUTCKHTT_06612!B32),"|",COLUMN(PLCTTHDMGUTCKHTT_06612!B32),",0",",0")</f>
        <v>286177,32|2,0,0</v>
      </c>
      <c r="C32" t="str">
        <f>CONCATENATE(286314,",",ROW(PLCTTHDMGUTCKHTT_06612!C32),"|",COLUMN(PLCTTHDMGUTCKHTT_06612!C32),",0",",0")</f>
        <v>286314,32|3,0,0</v>
      </c>
      <c r="D32" t="str">
        <f>CONCATENATE(286326,",",ROW(PLCTTHDMGUTCKHTT_06612!D32),"|",COLUMN(PLCTTHDMGUTCKHTT_06612!D32),",0",",0")</f>
        <v>286326,32|4,0,0</v>
      </c>
      <c r="E32" t="str">
        <f>CONCATENATE(286278,",",ROW(PLCTTHDMGUTCKHTT_06612!E32),"|",COLUMN(PLCTTHDMGUTCKHTT_06612!E32),",0",",0")</f>
        <v>286278,32|5,0,0</v>
      </c>
    </row>
    <row r="33" spans="1:5" x14ac:dyDescent="0.25">
      <c r="A33" t="str">
        <f>CONCATENATE(286170,",",ROW(PLCTTHDMGUTCKHTT_06612!A33),"|",COLUMN(PLCTTHDMGUTCKHTT_06612!A33),",0",",0")</f>
        <v>286170,33|1,0,0</v>
      </c>
      <c r="B33" t="str">
        <f>CONCATENATE(286178,",",ROW(PLCTTHDMGUTCKHTT_06612!B33),"|",COLUMN(PLCTTHDMGUTCKHTT_06612!B33),",0",",0")</f>
        <v>286178,33|2,0,0</v>
      </c>
      <c r="C33" t="str">
        <f>CONCATENATE(286315,",",ROW(PLCTTHDMGUTCKHTT_06612!C33),"|",COLUMN(PLCTTHDMGUTCKHTT_06612!C33),",0",",0")</f>
        <v>286315,33|3,0,0</v>
      </c>
      <c r="D33" t="str">
        <f>CONCATENATE(286327,",",ROW(PLCTTHDMGUTCKHTT_06612!D33),"|",COLUMN(PLCTTHDMGUTCKHTT_06612!D33),",0",",0")</f>
        <v>286327,33|4,0,0</v>
      </c>
      <c r="E33" t="str">
        <f>CONCATENATE(286279,",",ROW(PLCTTHDMGUTCKHTT_06612!E33),"|",COLUMN(PLCTTHDMGUTCKHTT_06612!E33),",0",",0")</f>
        <v>286279,33|5,0,0</v>
      </c>
    </row>
    <row r="34" spans="1:5" x14ac:dyDescent="0.25">
      <c r="A34" t="str">
        <f>CONCATENATE(286172,",",ROW(PLCTTHDMGUTCKHTT_06612!A34),"|",COLUMN(PLCTTHDMGUTCKHTT_06612!A34),",0",",0")</f>
        <v>286172,34|1,0,0</v>
      </c>
      <c r="B34" t="str">
        <f>CONCATENATE(286179,",",ROW(PLCTTHDMGUTCKHTT_06612!B34),"|",COLUMN(PLCTTHDMGUTCKHTT_06612!B34),",0",",0")</f>
        <v>286179,34|2,0,0</v>
      </c>
      <c r="C34" t="str">
        <f>CONCATENATE(286223,",",ROW(PLCTTHDMGUTCKHTT_06612!C34),"|",COLUMN(PLCTTHDMGUTCKHTT_06612!C34),",0",",0")</f>
        <v>286223,34|3,0,0</v>
      </c>
      <c r="D34" t="str">
        <f>CONCATENATE(286328,",",ROW(PLCTTHDMGUTCKHTT_06612!D34),"|",COLUMN(PLCTTHDMGUTCKHTT_06612!D34),",0",",0")</f>
        <v>286328,34|4,0,0</v>
      </c>
      <c r="E34" t="str">
        <f>CONCATENATE(286280,",",ROW(PLCTTHDMGUTCKHTT_06612!E34),"|",COLUMN(PLCTTHDMGUTCKHTT_06612!E34),",0",",0")</f>
        <v>286280,34|5,0,0</v>
      </c>
    </row>
    <row r="35" spans="1:5" x14ac:dyDescent="0.25">
      <c r="A35" t="str">
        <f>CONCATENATE(286171,",",ROW(PLCTTHDMGUTCKHTT_06612!A35),"|",COLUMN(PLCTTHDMGUTCKHTT_06612!A35),",0",",0")</f>
        <v>286171,35|1,0,0</v>
      </c>
      <c r="B35" t="str">
        <f>CONCATENATE(286219,",",ROW(PLCTTHDMGUTCKHTT_06612!B35),"|",COLUMN(PLCTTHDMGUTCKHTT_06612!B35),",0",",0")</f>
        <v>286219,35|2,0,0</v>
      </c>
      <c r="C35" t="str">
        <f>CONCATENATE(286224,",",ROW(PLCTTHDMGUTCKHTT_06612!C35),"|",COLUMN(PLCTTHDMGUTCKHTT_06612!C35),",0",",0")</f>
        <v>286224,35|3,0,0</v>
      </c>
      <c r="D35" t="str">
        <f>CONCATENATE(286329,",",ROW(PLCTTHDMGUTCKHTT_06612!D35),"|",COLUMN(PLCTTHDMGUTCKHTT_06612!D35),",0",",0")</f>
        <v>286329,35|4,0,0</v>
      </c>
      <c r="E35" t="str">
        <f>CONCATENATE(286281,",",ROW(PLCTTHDMGUTCKHTT_06612!E35),"|",COLUMN(PLCTTHDMGUTCKHTT_06612!E35),",0",",0")</f>
        <v>286281,35|5,0,0</v>
      </c>
    </row>
    <row r="36" spans="1:5" x14ac:dyDescent="0.25">
      <c r="A36" t="str">
        <f>CONCATENATE(286197,",",ROW(PLCTTHDMGUTCKHTT_06612!A36),"|",COLUMN(PLCTTHDMGUTCKHTT_06612!A36),",0",",0")</f>
        <v>286197,36|1,0,0</v>
      </c>
      <c r="B36" t="str">
        <f>CONCATENATE(286220,",",ROW(PLCTTHDMGUTCKHTT_06612!B36),"|",COLUMN(PLCTTHDMGUTCKHTT_06612!B36),",0",",0")</f>
        <v>286220,36|2,0,0</v>
      </c>
      <c r="C36" t="str">
        <f>CONCATENATE(286225,",",ROW(PLCTTHDMGUTCKHTT_06612!C36),"|",COLUMN(PLCTTHDMGUTCKHTT_06612!C36),",0",",0")</f>
        <v>286225,36|3,0,0</v>
      </c>
      <c r="D36" t="str">
        <f>CONCATENATE(286330,",",ROW(PLCTTHDMGUTCKHTT_06612!D36),"|",COLUMN(PLCTTHDMGUTCKHTT_06612!D36),",0",",0")</f>
        <v>286330,36|4,0,0</v>
      </c>
      <c r="E36" t="str">
        <f>CONCATENATE(286282,",",ROW(PLCTTHDMGUTCKHTT_06612!E36),"|",COLUMN(PLCTTHDMGUTCKHTT_06612!E36),",0",",0")</f>
        <v>286282,36|5,0,0</v>
      </c>
    </row>
    <row r="37" spans="1:5" x14ac:dyDescent="0.25">
      <c r="A37" t="str">
        <f>CONCATENATE(286216,",",ROW(PLCTTHDMGUTCKHTT_06612!A37),"|",COLUMN(PLCTTHDMGUTCKHTT_06612!A37),",0",",0")</f>
        <v>286216,37|1,0,0</v>
      </c>
      <c r="B37" t="str">
        <f>CONCATENATE(286246,",",ROW(PLCTTHDMGUTCKHTT_06612!B37),"|",COLUMN(PLCTTHDMGUTCKHTT_06612!B37),",0",",0")</f>
        <v>286246,37|2,0,0</v>
      </c>
      <c r="C37" t="str">
        <f>CONCATENATE(286226,",",ROW(PLCTTHDMGUTCKHTT_06612!C37),"|",COLUMN(PLCTTHDMGUTCKHTT_06612!C37),",0",",0")</f>
        <v>286226,37|3,0,0</v>
      </c>
      <c r="D37" t="str">
        <f>CONCATENATE(286331,",",ROW(PLCTTHDMGUTCKHTT_06612!D37),"|",COLUMN(PLCTTHDMGUTCKHTT_06612!D37),",0",",0")</f>
        <v>286331,37|4,0,0</v>
      </c>
      <c r="E37" t="str">
        <f>CONCATENATE(286283,",",ROW(PLCTTHDMGUTCKHTT_06612!E37),"|",COLUMN(PLCTTHDMGUTCKHTT_06612!E37),",0",",0")</f>
        <v>286283,37|5,0,0</v>
      </c>
    </row>
    <row r="38" spans="1:5" x14ac:dyDescent="0.25">
      <c r="A38" t="str">
        <f>CONCATENATE(286217,",",ROW(PLCTTHDMGUTCKHTT_06612!A38),"|",COLUMN(PLCTTHDMGUTCKHTT_06612!A38),",0",",0")</f>
        <v>286217,38|1,0,0</v>
      </c>
      <c r="B38" t="str">
        <f>CONCATENATE(286180,",",ROW(PLCTTHDMGUTCKHTT_06612!B38),"|",COLUMN(PLCTTHDMGUTCKHTT_06612!B38),",0",",0")</f>
        <v>286180,38|2,0,0</v>
      </c>
      <c r="C38" t="str">
        <f>CONCATENATE(286227,",",ROW(PLCTTHDMGUTCKHTT_06612!C38),"|",COLUMN(PLCTTHDMGUTCKHTT_06612!C38),",0",",0")</f>
        <v>286227,38|3,0,0</v>
      </c>
      <c r="D38" t="str">
        <f>CONCATENATE(286332,",",ROW(PLCTTHDMGUTCKHTT_06612!D38),"|",COLUMN(PLCTTHDMGUTCKHTT_06612!D38),",0",",0")</f>
        <v>286332,38|4,0,0</v>
      </c>
      <c r="E38" t="str">
        <f>CONCATENATE(286284,",",ROW(PLCTTHDMGUTCKHTT_06612!E38),"|",COLUMN(PLCTTHDMGUTCKHTT_06612!E38),",0",",0")</f>
        <v>286284,38|5,0,0</v>
      </c>
    </row>
    <row r="39" spans="1:5" x14ac:dyDescent="0.25">
      <c r="A39" t="str">
        <f>CONCATENATE(286336,",",ROW(PLCTTHDMGUTCKHTT_06612!A39),"|",COLUMN(PLCTTHDMGUTCKHTT_06612!A39),",0",",0")</f>
        <v>286336,39|1,0,0</v>
      </c>
      <c r="B39" t="str">
        <f>CONCATENATE(286209,",",ROW(PLCTTHDMGUTCKHTT_06612!B39),"|",COLUMN(PLCTTHDMGUTCKHTT_06612!B39),",0",",0")</f>
        <v>286209,39|2,0,0</v>
      </c>
      <c r="C39" t="str">
        <f>CONCATENATE(286228,",",ROW(PLCTTHDMGUTCKHTT_06612!C39),"|",COLUMN(PLCTTHDMGUTCKHTT_06612!C39),",0",",0")</f>
        <v>286228,39|3,0,0</v>
      </c>
      <c r="D39" t="str">
        <f>CONCATENATE(286333,",",ROW(PLCTTHDMGUTCKHTT_06612!D39),"|",COLUMN(PLCTTHDMGUTCKHTT_06612!D39),",0",",0")</f>
        <v>286333,39|4,0,0</v>
      </c>
      <c r="E39" t="str">
        <f>CONCATENATE(286285,",",ROW(PLCTTHDMGUTCKHTT_06612!E39),"|",COLUMN(PLCTTHDMGUTCKHTT_06612!E39),",0",",0")</f>
        <v>286285,39|5,0,0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80"/>
  <sheetViews>
    <sheetView workbookViewId="0">
      <selection sqref="A1:E1"/>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5" ht="20.25" x14ac:dyDescent="0.3">
      <c r="A1" s="2000" t="s">
        <v>19</v>
      </c>
      <c r="B1" s="2000" t="s">
        <v>5</v>
      </c>
      <c r="C1" s="2000" t="s">
        <v>5</v>
      </c>
      <c r="D1" s="2000" t="s">
        <v>5</v>
      </c>
      <c r="E1" s="2000" t="s">
        <v>5</v>
      </c>
    </row>
    <row r="2" spans="1:5" ht="18.75" x14ac:dyDescent="0.3">
      <c r="A2" s="2001" t="s">
        <v>613</v>
      </c>
      <c r="B2" s="2001" t="s">
        <v>5</v>
      </c>
      <c r="C2" s="2001" t="s">
        <v>5</v>
      </c>
      <c r="D2" s="2001" t="s">
        <v>5</v>
      </c>
      <c r="E2" s="2001" t="s">
        <v>5</v>
      </c>
    </row>
    <row r="3" spans="1:5" ht="18.75" x14ac:dyDescent="0.3">
      <c r="A3" s="2001" t="s">
        <v>43</v>
      </c>
      <c r="B3" s="2001" t="s">
        <v>5</v>
      </c>
      <c r="C3" s="2001" t="s">
        <v>5</v>
      </c>
      <c r="D3" s="2001" t="s">
        <v>5</v>
      </c>
      <c r="E3" s="2001" t="s">
        <v>5</v>
      </c>
    </row>
    <row r="4" spans="1:5" ht="18.75" x14ac:dyDescent="0.25">
      <c r="A4" s="1028" t="s">
        <v>38</v>
      </c>
      <c r="B4" s="1028" t="s">
        <v>39</v>
      </c>
      <c r="C4" s="1028" t="s">
        <v>40</v>
      </c>
      <c r="D4" s="1028" t="s">
        <v>395</v>
      </c>
      <c r="E4" s="1028" t="s">
        <v>396</v>
      </c>
    </row>
    <row r="5" spans="1:5" ht="16.5" x14ac:dyDescent="0.25">
      <c r="A5" s="1347" t="s">
        <v>186</v>
      </c>
      <c r="B5" s="1176" t="s">
        <v>144</v>
      </c>
      <c r="C5" s="1348" t="s">
        <v>116</v>
      </c>
      <c r="D5" s="1349" t="s">
        <v>286</v>
      </c>
      <c r="E5" s="1195" t="s">
        <v>117</v>
      </c>
    </row>
    <row r="6" spans="1:5" ht="49.5" x14ac:dyDescent="0.25">
      <c r="A6" s="1180" t="s">
        <v>569</v>
      </c>
      <c r="B6" s="1027" t="s">
        <v>5</v>
      </c>
      <c r="C6" s="1144"/>
      <c r="D6" s="1093" t="s">
        <v>5</v>
      </c>
      <c r="E6" s="1370" t="s">
        <v>5</v>
      </c>
    </row>
    <row r="7" spans="1:5" ht="49.5" x14ac:dyDescent="0.25">
      <c r="A7" s="1350" t="s">
        <v>699</v>
      </c>
      <c r="B7" s="1405" t="s">
        <v>286</v>
      </c>
      <c r="C7" s="1252"/>
      <c r="D7" s="1060" t="s">
        <v>5</v>
      </c>
      <c r="E7" s="1263" t="s">
        <v>5</v>
      </c>
    </row>
    <row r="8" spans="1:5" ht="33" x14ac:dyDescent="0.25">
      <c r="A8" s="1181" t="s">
        <v>645</v>
      </c>
      <c r="B8" s="1336" t="s">
        <v>117</v>
      </c>
      <c r="C8" s="1253"/>
      <c r="D8" s="1061" t="s">
        <v>5</v>
      </c>
      <c r="E8" s="1264" t="s">
        <v>5</v>
      </c>
    </row>
    <row r="9" spans="1:5" ht="33" x14ac:dyDescent="0.25">
      <c r="A9" s="1166" t="s">
        <v>634</v>
      </c>
      <c r="B9" s="1047" t="s">
        <v>348</v>
      </c>
      <c r="C9" s="1254"/>
      <c r="D9" s="1062" t="s">
        <v>5</v>
      </c>
      <c r="E9" s="1265" t="s">
        <v>5</v>
      </c>
    </row>
    <row r="10" spans="1:5" ht="33" x14ac:dyDescent="0.25">
      <c r="A10" s="1218" t="s">
        <v>668</v>
      </c>
      <c r="B10" s="1194" t="s">
        <v>349</v>
      </c>
      <c r="C10" s="1255"/>
      <c r="D10" s="1063" t="s">
        <v>5</v>
      </c>
      <c r="E10" s="1266" t="s">
        <v>5</v>
      </c>
    </row>
    <row r="11" spans="1:5" ht="49.5" x14ac:dyDescent="0.25">
      <c r="A11" s="1167" t="s">
        <v>635</v>
      </c>
      <c r="B11" s="1197" t="s">
        <v>308</v>
      </c>
      <c r="C11" s="1256"/>
      <c r="D11" s="1064" t="s">
        <v>5</v>
      </c>
      <c r="E11" s="1267" t="s">
        <v>5</v>
      </c>
    </row>
    <row r="12" spans="1:5" ht="33" x14ac:dyDescent="0.25">
      <c r="A12" s="1351" t="s">
        <v>700</v>
      </c>
      <c r="B12" s="1217" t="s">
        <v>351</v>
      </c>
      <c r="C12" s="1124"/>
      <c r="D12" s="1065" t="s">
        <v>5</v>
      </c>
      <c r="E12" s="1268" t="s">
        <v>5</v>
      </c>
    </row>
    <row r="13" spans="1:5" ht="16.5" x14ac:dyDescent="0.25">
      <c r="A13" s="1177" t="s">
        <v>642</v>
      </c>
      <c r="B13" s="1198" t="s">
        <v>352</v>
      </c>
      <c r="C13" s="1125"/>
      <c r="D13" s="1074" t="s">
        <v>5</v>
      </c>
      <c r="E13" s="1269" t="s">
        <v>5</v>
      </c>
    </row>
    <row r="14" spans="1:5" ht="16.5" x14ac:dyDescent="0.25">
      <c r="A14" s="1219" t="s">
        <v>669</v>
      </c>
      <c r="B14" s="1337" t="s">
        <v>309</v>
      </c>
      <c r="C14" s="1126"/>
      <c r="D14" s="1075" t="s">
        <v>5</v>
      </c>
      <c r="E14" s="1270" t="s">
        <v>5</v>
      </c>
    </row>
    <row r="15" spans="1:5" ht="16.5" x14ac:dyDescent="0.25">
      <c r="A15" s="1070" t="s">
        <v>623</v>
      </c>
      <c r="B15" s="1325" t="s">
        <v>371</v>
      </c>
      <c r="C15" s="1127"/>
      <c r="D15" s="1076" t="s">
        <v>5</v>
      </c>
      <c r="E15" s="1352" t="s">
        <v>5</v>
      </c>
    </row>
    <row r="16" spans="1:5" ht="49.5" x14ac:dyDescent="0.25">
      <c r="A16" s="1182" t="s">
        <v>646</v>
      </c>
      <c r="B16" s="1338" t="s">
        <v>367</v>
      </c>
      <c r="C16" s="1128"/>
      <c r="D16" s="1077" t="s">
        <v>5</v>
      </c>
      <c r="E16" s="1353" t="s">
        <v>5</v>
      </c>
    </row>
    <row r="17" spans="1:5" ht="66" x14ac:dyDescent="0.25">
      <c r="A17" s="1183" t="s">
        <v>647</v>
      </c>
      <c r="B17" s="1298" t="s">
        <v>353</v>
      </c>
      <c r="C17" s="1129"/>
      <c r="D17" s="1078" t="s">
        <v>5</v>
      </c>
      <c r="E17" s="1355" t="s">
        <v>5</v>
      </c>
    </row>
    <row r="18" spans="1:5" ht="66" x14ac:dyDescent="0.25">
      <c r="A18" s="1096" t="s">
        <v>626</v>
      </c>
      <c r="B18" s="1041" t="s">
        <v>310</v>
      </c>
      <c r="C18" s="1130"/>
      <c r="D18" s="1079" t="s">
        <v>5</v>
      </c>
      <c r="E18" s="1356" t="s">
        <v>5</v>
      </c>
    </row>
    <row r="19" spans="1:5" ht="49.5" x14ac:dyDescent="0.25">
      <c r="A19" s="1066" t="s">
        <v>619</v>
      </c>
      <c r="B19" s="1040" t="s">
        <v>311</v>
      </c>
      <c r="C19" s="1131"/>
      <c r="D19" s="1080" t="s">
        <v>5</v>
      </c>
      <c r="E19" s="1357" t="s">
        <v>5</v>
      </c>
    </row>
    <row r="20" spans="1:5" ht="82.5" x14ac:dyDescent="0.25">
      <c r="A20" s="1196" t="s">
        <v>657</v>
      </c>
      <c r="B20" s="1326" t="s">
        <v>686</v>
      </c>
      <c r="C20" s="1132"/>
      <c r="D20" s="1081" t="s">
        <v>5</v>
      </c>
      <c r="E20" s="1358" t="s">
        <v>5</v>
      </c>
    </row>
    <row r="21" spans="1:5" ht="33" x14ac:dyDescent="0.25">
      <c r="A21" s="1067" t="s">
        <v>620</v>
      </c>
      <c r="B21" s="1299" t="s">
        <v>681</v>
      </c>
      <c r="C21" s="1133"/>
      <c r="D21" s="1082" t="s">
        <v>5</v>
      </c>
      <c r="E21" s="1359" t="s">
        <v>5</v>
      </c>
    </row>
    <row r="22" spans="1:5" ht="66" x14ac:dyDescent="0.25">
      <c r="A22" s="1097" t="s">
        <v>627</v>
      </c>
      <c r="B22" s="1327" t="s">
        <v>687</v>
      </c>
      <c r="C22" s="1134"/>
      <c r="D22" s="1083" t="s">
        <v>5</v>
      </c>
      <c r="E22" s="1360" t="s">
        <v>5</v>
      </c>
    </row>
    <row r="23" spans="1:5" ht="33" x14ac:dyDescent="0.25">
      <c r="A23" s="1068" t="s">
        <v>621</v>
      </c>
      <c r="B23" s="1199" t="s">
        <v>658</v>
      </c>
      <c r="C23" s="1135"/>
      <c r="D23" s="1084" t="s">
        <v>5</v>
      </c>
      <c r="E23" s="1361" t="s">
        <v>5</v>
      </c>
    </row>
    <row r="24" spans="1:5" ht="49.5" x14ac:dyDescent="0.25">
      <c r="A24" s="1069" t="s">
        <v>622</v>
      </c>
      <c r="B24" s="1339" t="s">
        <v>692</v>
      </c>
      <c r="C24" s="1136"/>
      <c r="D24" s="1085" t="s">
        <v>5</v>
      </c>
      <c r="E24" s="1362" t="s">
        <v>5</v>
      </c>
    </row>
    <row r="25" spans="1:5" ht="66" x14ac:dyDescent="0.25">
      <c r="A25" s="1098" t="s">
        <v>628</v>
      </c>
      <c r="B25" s="1340" t="s">
        <v>693</v>
      </c>
      <c r="C25" s="1137"/>
      <c r="D25" s="1086" t="s">
        <v>5</v>
      </c>
      <c r="E25" s="1363" t="s">
        <v>5</v>
      </c>
    </row>
    <row r="26" spans="1:5" ht="82.5" x14ac:dyDescent="0.25">
      <c r="A26" s="1398" t="s">
        <v>703</v>
      </c>
      <c r="B26" s="1042" t="s">
        <v>541</v>
      </c>
      <c r="C26" s="1138"/>
      <c r="D26" s="1087" t="s">
        <v>5</v>
      </c>
      <c r="E26" s="1364" t="s">
        <v>5</v>
      </c>
    </row>
    <row r="27" spans="1:5" ht="33" x14ac:dyDescent="0.25">
      <c r="A27" s="1399" t="s">
        <v>704</v>
      </c>
      <c r="B27" s="1228" t="s">
        <v>350</v>
      </c>
      <c r="C27" s="1250"/>
      <c r="D27" s="1058" t="s">
        <v>5</v>
      </c>
      <c r="E27" s="1261" t="s">
        <v>5</v>
      </c>
    </row>
    <row r="28" spans="1:5" ht="66" x14ac:dyDescent="0.25">
      <c r="A28" s="1185" t="s">
        <v>649</v>
      </c>
      <c r="B28" s="1300" t="s">
        <v>551</v>
      </c>
      <c r="C28" s="1139"/>
      <c r="D28" s="1088" t="s">
        <v>5</v>
      </c>
      <c r="E28" s="1365" t="s">
        <v>5</v>
      </c>
    </row>
    <row r="29" spans="1:5" ht="66" x14ac:dyDescent="0.25">
      <c r="A29" s="1099" t="s">
        <v>629</v>
      </c>
      <c r="B29" s="1354" t="s">
        <v>552</v>
      </c>
      <c r="C29" s="1140"/>
      <c r="D29" s="1089" t="s">
        <v>5</v>
      </c>
      <c r="E29" s="1366" t="s">
        <v>5</v>
      </c>
    </row>
    <row r="30" spans="1:5" ht="66" x14ac:dyDescent="0.25">
      <c r="A30" s="1214" t="s">
        <v>665</v>
      </c>
      <c r="B30" s="1043" t="s">
        <v>542</v>
      </c>
      <c r="C30" s="1031"/>
      <c r="D30" s="1147" t="s">
        <v>5</v>
      </c>
      <c r="E30" s="1104" t="s">
        <v>5</v>
      </c>
    </row>
    <row r="31" spans="1:5" ht="33" x14ac:dyDescent="0.25">
      <c r="A31" s="1215" t="s">
        <v>666</v>
      </c>
      <c r="B31" s="1200" t="s">
        <v>539</v>
      </c>
      <c r="C31" s="1272"/>
      <c r="D31" s="1148" t="s">
        <v>5</v>
      </c>
      <c r="E31" s="1105" t="s">
        <v>5</v>
      </c>
    </row>
    <row r="32" spans="1:5" ht="33" x14ac:dyDescent="0.25">
      <c r="A32" s="1178" t="s">
        <v>643</v>
      </c>
      <c r="B32" s="1328" t="s">
        <v>594</v>
      </c>
      <c r="C32" s="1141"/>
      <c r="D32" s="1090" t="s">
        <v>5</v>
      </c>
      <c r="E32" s="1367" t="s">
        <v>5</v>
      </c>
    </row>
    <row r="33" spans="1:5" ht="49.5" x14ac:dyDescent="0.25">
      <c r="A33" s="1168" t="s">
        <v>636</v>
      </c>
      <c r="B33" s="1230" t="s">
        <v>595</v>
      </c>
      <c r="C33" s="1251"/>
      <c r="D33" s="1059" t="s">
        <v>5</v>
      </c>
      <c r="E33" s="1262" t="s">
        <v>5</v>
      </c>
    </row>
    <row r="34" spans="1:5" ht="66" x14ac:dyDescent="0.25">
      <c r="A34" s="1186" t="s">
        <v>650</v>
      </c>
      <c r="B34" s="1201" t="s">
        <v>612</v>
      </c>
      <c r="C34" s="1142"/>
      <c r="D34" s="1091" t="s">
        <v>5</v>
      </c>
      <c r="E34" s="1368" t="s">
        <v>5</v>
      </c>
    </row>
    <row r="35" spans="1:5" ht="66" x14ac:dyDescent="0.25">
      <c r="A35" s="1187" t="s">
        <v>651</v>
      </c>
      <c r="B35" s="1202" t="s">
        <v>577</v>
      </c>
      <c r="C35" s="1143"/>
      <c r="D35" s="1092" t="s">
        <v>5</v>
      </c>
      <c r="E35" s="1369" t="s">
        <v>5</v>
      </c>
    </row>
    <row r="36" spans="1:5" ht="66" x14ac:dyDescent="0.25">
      <c r="A36" s="1188" t="s">
        <v>652</v>
      </c>
      <c r="B36" s="1044" t="s">
        <v>617</v>
      </c>
      <c r="C36" s="1274"/>
      <c r="D36" s="1150" t="s">
        <v>5</v>
      </c>
      <c r="E36" s="1107" t="s">
        <v>5</v>
      </c>
    </row>
    <row r="37" spans="1:5" ht="49.5" x14ac:dyDescent="0.25">
      <c r="A37" s="1189" t="s">
        <v>653</v>
      </c>
      <c r="B37" s="1203" t="s">
        <v>659</v>
      </c>
      <c r="C37" s="1275"/>
      <c r="D37" s="1151" t="s">
        <v>5</v>
      </c>
      <c r="E37" s="1108" t="s">
        <v>5</v>
      </c>
    </row>
    <row r="38" spans="1:5" ht="33" x14ac:dyDescent="0.25">
      <c r="A38" s="1216" t="s">
        <v>667</v>
      </c>
      <c r="B38" s="1301" t="s">
        <v>578</v>
      </c>
      <c r="C38" s="1273"/>
      <c r="D38" s="1149" t="s">
        <v>5</v>
      </c>
      <c r="E38" s="1106" t="s">
        <v>5</v>
      </c>
    </row>
    <row r="39" spans="1:5" ht="66" x14ac:dyDescent="0.25">
      <c r="A39" s="1221" t="s">
        <v>671</v>
      </c>
      <c r="B39" s="1204" t="s">
        <v>599</v>
      </c>
      <c r="C39" s="1276"/>
      <c r="D39" s="1152" t="s">
        <v>5</v>
      </c>
      <c r="E39" s="1109" t="s">
        <v>5</v>
      </c>
    </row>
    <row r="40" spans="1:5" ht="49.5" x14ac:dyDescent="0.25">
      <c r="A40" s="1100" t="s">
        <v>630</v>
      </c>
      <c r="B40" s="1231" t="s">
        <v>579</v>
      </c>
      <c r="C40" s="1277"/>
      <c r="D40" s="1153" t="s">
        <v>5</v>
      </c>
      <c r="E40" s="1110" t="s">
        <v>5</v>
      </c>
    </row>
    <row r="41" spans="1:5" ht="16.5" x14ac:dyDescent="0.25">
      <c r="A41" s="1400" t="s">
        <v>705</v>
      </c>
      <c r="B41" s="1329" t="s">
        <v>580</v>
      </c>
      <c r="C41" s="1278"/>
      <c r="D41" s="1257" t="s">
        <v>5</v>
      </c>
      <c r="E41" s="1111" t="s">
        <v>5</v>
      </c>
    </row>
    <row r="42" spans="1:5" ht="33" x14ac:dyDescent="0.25">
      <c r="A42" s="1222" t="s">
        <v>672</v>
      </c>
      <c r="B42" s="1045" t="s">
        <v>601</v>
      </c>
      <c r="C42" s="1279"/>
      <c r="D42" s="1258" t="s">
        <v>5</v>
      </c>
      <c r="E42" s="1112" t="s">
        <v>5</v>
      </c>
    </row>
    <row r="43" spans="1:5" ht="49.5" x14ac:dyDescent="0.25">
      <c r="A43" s="1101" t="s">
        <v>631</v>
      </c>
      <c r="B43" s="1205" t="s">
        <v>602</v>
      </c>
      <c r="C43" s="1280"/>
      <c r="D43" s="1029" t="s">
        <v>5</v>
      </c>
      <c r="E43" s="1113" t="s">
        <v>5</v>
      </c>
    </row>
    <row r="44" spans="1:5" ht="49.5" x14ac:dyDescent="0.25">
      <c r="A44" s="1102" t="s">
        <v>632</v>
      </c>
      <c r="B44" s="1330" t="s">
        <v>581</v>
      </c>
      <c r="C44" s="1281"/>
      <c r="D44" s="1030" t="s">
        <v>5</v>
      </c>
      <c r="E44" s="1114" t="s">
        <v>5</v>
      </c>
    </row>
    <row r="45" spans="1:5" ht="82.5" x14ac:dyDescent="0.25">
      <c r="A45" s="1190" t="s">
        <v>654</v>
      </c>
      <c r="B45" s="1206" t="s">
        <v>596</v>
      </c>
      <c r="C45" s="1282"/>
      <c r="D45" s="1401" t="s">
        <v>5</v>
      </c>
      <c r="E45" s="1115" t="s">
        <v>5</v>
      </c>
    </row>
    <row r="46" spans="1:5" ht="49.5" x14ac:dyDescent="0.25">
      <c r="A46" s="1223" t="s">
        <v>673</v>
      </c>
      <c r="B46" s="1046" t="s">
        <v>618</v>
      </c>
      <c r="C46" s="1283"/>
      <c r="D46" s="1375" t="s">
        <v>5</v>
      </c>
      <c r="E46" s="1116" t="s">
        <v>5</v>
      </c>
    </row>
    <row r="47" spans="1:5" ht="49.5" x14ac:dyDescent="0.25">
      <c r="A47" s="1210" t="s">
        <v>663</v>
      </c>
      <c r="B47" s="1207" t="s">
        <v>660</v>
      </c>
      <c r="C47" s="1284"/>
      <c r="D47" s="1376" t="s">
        <v>5</v>
      </c>
      <c r="E47" s="1117" t="s">
        <v>5</v>
      </c>
    </row>
    <row r="48" spans="1:5" ht="49.5" x14ac:dyDescent="0.25">
      <c r="A48" s="1224" t="s">
        <v>674</v>
      </c>
      <c r="B48" s="1335" t="s">
        <v>558</v>
      </c>
      <c r="C48" s="1285"/>
      <c r="D48" s="1377" t="s">
        <v>5</v>
      </c>
      <c r="E48" s="1118" t="s">
        <v>5</v>
      </c>
    </row>
    <row r="49" spans="1:5" ht="49.5" x14ac:dyDescent="0.25">
      <c r="A49" s="1191" t="s">
        <v>655</v>
      </c>
      <c r="B49" s="1232" t="s">
        <v>676</v>
      </c>
      <c r="C49" s="1286"/>
      <c r="D49" s="1378" t="s">
        <v>5</v>
      </c>
      <c r="E49" s="1119" t="s">
        <v>5</v>
      </c>
    </row>
    <row r="50" spans="1:5" ht="49.5" x14ac:dyDescent="0.25">
      <c r="A50" s="1332" t="s">
        <v>689</v>
      </c>
      <c r="B50" s="1341" t="s">
        <v>694</v>
      </c>
      <c r="C50" s="1287"/>
      <c r="D50" s="1379" t="s">
        <v>5</v>
      </c>
      <c r="E50" s="1229" t="s">
        <v>5</v>
      </c>
    </row>
    <row r="51" spans="1:5" ht="51.75" x14ac:dyDescent="0.25">
      <c r="A51" s="1033" t="s">
        <v>547</v>
      </c>
      <c r="B51" s="1342" t="s">
        <v>555</v>
      </c>
      <c r="C51" s="1288"/>
      <c r="D51" s="1380" t="s">
        <v>5</v>
      </c>
      <c r="E51" s="1120" t="s">
        <v>5</v>
      </c>
    </row>
    <row r="52" spans="1:5" ht="49.5" x14ac:dyDescent="0.25">
      <c r="A52" s="1211" t="s">
        <v>536</v>
      </c>
      <c r="B52" s="1027" t="s">
        <v>5</v>
      </c>
      <c r="C52" s="1289"/>
      <c r="D52" s="1381" t="s">
        <v>5</v>
      </c>
      <c r="E52" s="1121" t="s">
        <v>5</v>
      </c>
    </row>
    <row r="53" spans="1:5" ht="66" x14ac:dyDescent="0.25">
      <c r="A53" s="1333" t="s">
        <v>690</v>
      </c>
      <c r="B53" s="1302" t="s">
        <v>559</v>
      </c>
      <c r="C53" s="1290"/>
      <c r="D53" s="1382" t="s">
        <v>5</v>
      </c>
      <c r="E53" s="1122" t="s">
        <v>5</v>
      </c>
    </row>
    <row r="54" spans="1:5" ht="66" x14ac:dyDescent="0.25">
      <c r="A54" s="1225" t="s">
        <v>675</v>
      </c>
      <c r="B54" s="1303" t="s">
        <v>682</v>
      </c>
      <c r="C54" s="1291"/>
      <c r="D54" s="1383" t="s">
        <v>5</v>
      </c>
      <c r="E54" s="1123" t="s">
        <v>5</v>
      </c>
    </row>
    <row r="55" spans="1:5" ht="66" x14ac:dyDescent="0.25">
      <c r="A55" s="1192" t="s">
        <v>656</v>
      </c>
      <c r="B55" s="1208" t="s">
        <v>661</v>
      </c>
      <c r="C55" s="1292"/>
      <c r="D55" s="1384" t="s">
        <v>5</v>
      </c>
      <c r="E55" s="1154" t="s">
        <v>5</v>
      </c>
    </row>
    <row r="56" spans="1:5" ht="82.5" x14ac:dyDescent="0.25">
      <c r="A56" s="1220" t="s">
        <v>670</v>
      </c>
      <c r="B56" s="1343" t="s">
        <v>695</v>
      </c>
      <c r="C56" s="1293"/>
      <c r="D56" s="1385" t="s">
        <v>5</v>
      </c>
      <c r="E56" s="1155" t="s">
        <v>5</v>
      </c>
    </row>
    <row r="57" spans="1:5" ht="66" x14ac:dyDescent="0.25">
      <c r="A57" s="1402" t="s">
        <v>706</v>
      </c>
      <c r="B57" s="1344" t="s">
        <v>696</v>
      </c>
      <c r="C57" s="1294"/>
      <c r="D57" s="1386" t="s">
        <v>5</v>
      </c>
      <c r="E57" s="1156" t="s">
        <v>5</v>
      </c>
    </row>
    <row r="58" spans="1:5" ht="51.75" x14ac:dyDescent="0.25">
      <c r="A58" s="1226" t="s">
        <v>561</v>
      </c>
      <c r="B58" s="1179" t="s">
        <v>644</v>
      </c>
      <c r="C58" s="1295"/>
      <c r="D58" s="1387" t="s">
        <v>5</v>
      </c>
      <c r="E58" s="1157" t="s">
        <v>5</v>
      </c>
    </row>
    <row r="59" spans="1:5" ht="49.5" x14ac:dyDescent="0.25">
      <c r="A59" s="1172" t="s">
        <v>517</v>
      </c>
      <c r="B59" s="1027" t="s">
        <v>5</v>
      </c>
      <c r="C59" s="1296"/>
      <c r="D59" s="1388" t="s">
        <v>5</v>
      </c>
      <c r="E59" s="1158" t="s">
        <v>5</v>
      </c>
    </row>
    <row r="60" spans="1:5" ht="66" x14ac:dyDescent="0.25">
      <c r="A60" s="1173" t="s">
        <v>548</v>
      </c>
      <c r="B60" s="1209" t="s">
        <v>662</v>
      </c>
      <c r="C60" s="1308"/>
      <c r="D60" s="1389" t="s">
        <v>5</v>
      </c>
      <c r="E60" s="1159" t="s">
        <v>5</v>
      </c>
    </row>
    <row r="61" spans="1:5" ht="66" x14ac:dyDescent="0.25">
      <c r="A61" s="1034" t="s">
        <v>615</v>
      </c>
      <c r="B61" s="1304" t="s">
        <v>529</v>
      </c>
      <c r="C61" s="1309"/>
      <c r="D61" s="1390" t="s">
        <v>5</v>
      </c>
      <c r="E61" s="1160" t="s">
        <v>5</v>
      </c>
    </row>
    <row r="62" spans="1:5" ht="33" x14ac:dyDescent="0.25">
      <c r="A62" s="1334" t="s">
        <v>691</v>
      </c>
      <c r="B62" s="1233" t="s">
        <v>530</v>
      </c>
      <c r="C62" s="1310"/>
      <c r="D62" s="1391" t="s">
        <v>5</v>
      </c>
      <c r="E62" s="1161" t="s">
        <v>5</v>
      </c>
    </row>
    <row r="63" spans="1:5" ht="49.5" x14ac:dyDescent="0.25">
      <c r="A63" s="1403" t="s">
        <v>524</v>
      </c>
      <c r="B63" s="1305" t="s">
        <v>683</v>
      </c>
      <c r="C63" s="1311"/>
      <c r="D63" s="1392" t="s">
        <v>5</v>
      </c>
      <c r="E63" s="1162" t="s">
        <v>5</v>
      </c>
    </row>
    <row r="64" spans="1:5" ht="33" x14ac:dyDescent="0.25">
      <c r="A64" s="1035" t="s">
        <v>562</v>
      </c>
      <c r="B64" s="1345" t="s">
        <v>697</v>
      </c>
      <c r="C64" s="1312"/>
      <c r="D64" s="1393" t="s">
        <v>5</v>
      </c>
      <c r="E64" s="1163" t="s">
        <v>5</v>
      </c>
    </row>
    <row r="65" spans="1:5" ht="33" x14ac:dyDescent="0.25">
      <c r="A65" s="1036" t="s">
        <v>550</v>
      </c>
      <c r="B65" s="1331" t="s">
        <v>688</v>
      </c>
      <c r="C65" s="1313"/>
      <c r="D65" s="1394" t="s">
        <v>5</v>
      </c>
      <c r="E65" s="1164" t="s">
        <v>5</v>
      </c>
    </row>
    <row r="66" spans="1:5" ht="49.5" x14ac:dyDescent="0.25">
      <c r="A66" s="1037" t="s">
        <v>567</v>
      </c>
      <c r="B66" s="1071" t="s">
        <v>624</v>
      </c>
      <c r="C66" s="1314"/>
      <c r="D66" s="1395" t="s">
        <v>5</v>
      </c>
      <c r="E66" s="1165" t="s">
        <v>5</v>
      </c>
    </row>
    <row r="67" spans="1:5" ht="49.5" x14ac:dyDescent="0.25">
      <c r="A67" s="1038" t="s">
        <v>616</v>
      </c>
      <c r="B67" s="1306" t="s">
        <v>684</v>
      </c>
      <c r="C67" s="1315"/>
      <c r="D67" s="1396" t="s">
        <v>5</v>
      </c>
      <c r="E67" s="1260" t="s">
        <v>5</v>
      </c>
    </row>
    <row r="68" spans="1:5" ht="33" x14ac:dyDescent="0.25">
      <c r="A68" s="1212" t="s">
        <v>526</v>
      </c>
      <c r="B68" s="1184" t="s">
        <v>648</v>
      </c>
      <c r="C68" s="1316"/>
      <c r="D68" s="1397" t="s">
        <v>5</v>
      </c>
      <c r="E68" s="1235" t="s">
        <v>5</v>
      </c>
    </row>
    <row r="69" spans="1:5" ht="49.5" x14ac:dyDescent="0.25">
      <c r="A69" s="1244" t="s">
        <v>678</v>
      </c>
      <c r="B69" s="1346" t="s">
        <v>698</v>
      </c>
      <c r="C69" s="1317"/>
      <c r="D69" s="1048" t="s">
        <v>5</v>
      </c>
      <c r="E69" s="1236" t="s">
        <v>5</v>
      </c>
    </row>
    <row r="70" spans="1:5" ht="49.5" x14ac:dyDescent="0.25">
      <c r="A70" s="1193" t="s">
        <v>568</v>
      </c>
      <c r="B70" s="1234" t="s">
        <v>677</v>
      </c>
      <c r="C70" s="1318"/>
      <c r="D70" s="1049" t="s">
        <v>5</v>
      </c>
      <c r="E70" s="1237" t="s">
        <v>5</v>
      </c>
    </row>
    <row r="71" spans="1:5" ht="51.75" x14ac:dyDescent="0.25">
      <c r="A71" s="1039" t="s">
        <v>572</v>
      </c>
      <c r="B71" s="1072" t="s">
        <v>468</v>
      </c>
      <c r="C71" s="1319"/>
      <c r="D71" s="1050" t="s">
        <v>5</v>
      </c>
      <c r="E71" s="1238" t="s">
        <v>5</v>
      </c>
    </row>
    <row r="72" spans="1:5" ht="49.5" x14ac:dyDescent="0.25">
      <c r="A72" s="1323" t="s">
        <v>563</v>
      </c>
      <c r="B72" s="1073" t="s">
        <v>625</v>
      </c>
      <c r="C72" s="1320"/>
      <c r="D72" s="1051" t="s">
        <v>5</v>
      </c>
      <c r="E72" s="1239" t="s">
        <v>5</v>
      </c>
    </row>
    <row r="73" spans="1:5" ht="49.5" x14ac:dyDescent="0.25">
      <c r="A73" s="1324" t="s">
        <v>564</v>
      </c>
      <c r="B73" s="1169" t="s">
        <v>637</v>
      </c>
      <c r="C73" s="1321"/>
      <c r="D73" s="1052" t="s">
        <v>5</v>
      </c>
      <c r="E73" s="1240" t="s">
        <v>5</v>
      </c>
    </row>
    <row r="74" spans="1:5" ht="16.5" x14ac:dyDescent="0.25">
      <c r="A74" s="1174" t="s">
        <v>640</v>
      </c>
      <c r="B74" s="1307" t="s">
        <v>685</v>
      </c>
      <c r="C74" s="1322"/>
      <c r="D74" s="1053" t="s">
        <v>5</v>
      </c>
      <c r="E74" s="1241" t="s">
        <v>5</v>
      </c>
    </row>
    <row r="75" spans="1:5" ht="33" x14ac:dyDescent="0.25">
      <c r="A75" s="1404" t="s">
        <v>633</v>
      </c>
      <c r="B75" s="1032" t="s">
        <v>614</v>
      </c>
      <c r="C75" s="1246"/>
      <c r="D75" s="1054" t="s">
        <v>5</v>
      </c>
      <c r="E75" s="1242" t="s">
        <v>5</v>
      </c>
    </row>
    <row r="76" spans="1:5" ht="33" x14ac:dyDescent="0.25">
      <c r="A76" s="1297" t="s">
        <v>680</v>
      </c>
      <c r="B76" s="1213" t="s">
        <v>664</v>
      </c>
      <c r="C76" s="1248"/>
      <c r="D76" s="1056" t="s">
        <v>5</v>
      </c>
      <c r="E76" s="1245" t="s">
        <v>5</v>
      </c>
    </row>
    <row r="77" spans="1:5" ht="49.5" x14ac:dyDescent="0.25">
      <c r="A77" s="1175" t="s">
        <v>641</v>
      </c>
      <c r="B77" s="1171" t="s">
        <v>639</v>
      </c>
      <c r="C77" s="1249"/>
      <c r="D77" s="1057" t="s">
        <v>5</v>
      </c>
      <c r="E77" s="1271" t="s">
        <v>5</v>
      </c>
    </row>
    <row r="78" spans="1:5" ht="16.5" x14ac:dyDescent="0.25">
      <c r="A78" s="1227" t="s">
        <v>640</v>
      </c>
      <c r="B78" s="1170" t="s">
        <v>638</v>
      </c>
      <c r="C78" s="1247"/>
      <c r="D78" s="1055" t="s">
        <v>5</v>
      </c>
      <c r="E78" s="1243" t="s">
        <v>5</v>
      </c>
    </row>
    <row r="79" spans="1:5" ht="33" x14ac:dyDescent="0.25">
      <c r="A79" s="1103" t="s">
        <v>633</v>
      </c>
      <c r="B79" s="1259" t="s">
        <v>679</v>
      </c>
      <c r="C79" s="1145"/>
      <c r="D79" s="1094" t="s">
        <v>5</v>
      </c>
      <c r="E79" s="1371" t="s">
        <v>5</v>
      </c>
    </row>
    <row r="80" spans="1:5" ht="49.5" x14ac:dyDescent="0.25">
      <c r="A80" s="1373" t="s">
        <v>701</v>
      </c>
      <c r="B80" s="1374" t="s">
        <v>702</v>
      </c>
      <c r="C80" s="1146"/>
      <c r="D80" s="1095" t="s">
        <v>5</v>
      </c>
      <c r="E80" s="1372" t="s">
        <v>5</v>
      </c>
    </row>
  </sheetData>
  <mergeCells count="3">
    <mergeCell ref="A1:E1"/>
    <mergeCell ref="A2:E2"/>
    <mergeCell ref="A3:E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5:E80"/>
  <sheetViews>
    <sheetView workbookViewId="0"/>
  </sheetViews>
  <sheetFormatPr defaultRowHeight="15" x14ac:dyDescent="0.25"/>
  <cols>
    <col min="1" max="1" width="1" style="40" bestFit="1" customWidth="1"/>
    <col min="2" max="5" width="1" bestFit="1" customWidth="1"/>
  </cols>
  <sheetData>
    <row r="5" spans="1:5" x14ac:dyDescent="0.25">
      <c r="A5" t="str">
        <f>CONCATENATE(287540,",",ROW(BCLCTTRGT_06613!A5),"|",COLUMN(BCLCTTRGT_06613!A5),",0",",0")</f>
        <v>287540,5|1,0,0</v>
      </c>
      <c r="B5" t="str">
        <f>CONCATENATE(287513,",",ROW(BCLCTTRGT_06613!B5),"|",COLUMN(BCLCTTRGT_06613!B5),",0",",0")</f>
        <v>287513,5|2,0,0</v>
      </c>
      <c r="C5" t="str">
        <f>CONCATENATE(287541,",",ROW(BCLCTTRGT_06613!C5),"|",COLUMN(BCLCTTRGT_06613!C5),",0",",0")</f>
        <v>287541,5|3,0,0</v>
      </c>
      <c r="D5" t="str">
        <f>CONCATENATE(287542,",",ROW(BCLCTTRGT_06613!D5),"|",COLUMN(BCLCTTRGT_06613!D5),",0",",0")</f>
        <v>287542,5|4,0,0</v>
      </c>
      <c r="E5" t="str">
        <f>CONCATENATE(287412,",",ROW(BCLCTTRGT_06613!E5),"|",COLUMN(BCLCTTRGT_06613!E5),",0",",0")</f>
        <v>287412,5|5,0,0</v>
      </c>
    </row>
    <row r="6" spans="1:5" x14ac:dyDescent="0.25">
      <c r="A6" t="str">
        <f>CONCATENATE(287397,",",ROW(BCLCTTRGT_06613!A6),"|",COLUMN(BCLCTTRGT_06613!A6),",0",",0")</f>
        <v>287397,6|1,0,0</v>
      </c>
      <c r="B6" t="s">
        <v>5</v>
      </c>
      <c r="C6" t="str">
        <f>CONCATENATE(287565,",",ROW(BCLCTTRGT_06613!C6),"|",COLUMN(BCLCTTRGT_06613!C6),",0",",0")</f>
        <v>287565,6|3,0,0</v>
      </c>
      <c r="D6" t="str">
        <f>CONCATENATE(287393,",",ROW(BCLCTTRGT_06613!D6),"|",COLUMN(BCLCTTRGT_06613!D6),",0",",0")</f>
        <v>287393,6|4,0,0</v>
      </c>
      <c r="E6" t="str">
        <f>CONCATENATE(287264,",",ROW(BCLCTTRGT_06613!E6),"|",COLUMN(BCLCTTRGT_06613!E6),",0",",0")</f>
        <v>287264,6|5,0,0</v>
      </c>
    </row>
    <row r="7" spans="1:5" x14ac:dyDescent="0.25">
      <c r="A7" t="str">
        <f>CONCATENATE(287543,",",ROW(BCLCTTRGT_06613!A7),"|",COLUMN(BCLCTTRGT_06613!A7),",0",",0")</f>
        <v>287543,7|1,0,0</v>
      </c>
      <c r="B7" t="str">
        <f>CONCATENATE(287354,",",ROW(BCLCTTRGT_06613!B7),"|",COLUMN(BCLCTTRGT_06613!B7),",0",",0")</f>
        <v>287354,7|2,0,0</v>
      </c>
      <c r="C7" t="str">
        <f>CONCATENATE(287605,",",ROW(BCLCTTRGT_06613!C7),"|",COLUMN(BCLCTTRGT_06613!C7),",0",",0")</f>
        <v>287605,7|3,0,0</v>
      </c>
      <c r="D7" t="str">
        <f>CONCATENATE(287368,",",ROW(BCLCTTRGT_06613!D7),"|",COLUMN(BCLCTTRGT_06613!D7),",0",",0")</f>
        <v>287368,7|4,0,0</v>
      </c>
      <c r="E7" t="str">
        <f>CONCATENATE(287238,",",ROW(BCLCTTRGT_06613!E7),"|",COLUMN(BCLCTTRGT_06613!E7),",0",",0")</f>
        <v>287238,7|5,0,0</v>
      </c>
    </row>
    <row r="8" spans="1:5" x14ac:dyDescent="0.25">
      <c r="A8" t="str">
        <f>CONCATENATE(287398,",",ROW(BCLCTTRGT_06613!A8),"|",COLUMN(BCLCTTRGT_06613!A8),",0",",0")</f>
        <v>287398,8|1,0,0</v>
      </c>
      <c r="B8" t="str">
        <f>CONCATENATE(287529,",",ROW(BCLCTTRGT_06613!B8),"|",COLUMN(BCLCTTRGT_06613!B8),",0",",0")</f>
        <v>287529,8|2,0,0</v>
      </c>
      <c r="C8" t="str">
        <f>CONCATENATE(287606,",",ROW(BCLCTTRGT_06613!C8),"|",COLUMN(BCLCTTRGT_06613!C8),",0",",0")</f>
        <v>287606,8|3,0,0</v>
      </c>
      <c r="D8" t="str">
        <f>CONCATENATE(287369,",",ROW(BCLCTTRGT_06613!D8),"|",COLUMN(BCLCTTRGT_06613!D8),",0",",0")</f>
        <v>287369,8|4,0,0</v>
      </c>
      <c r="E8" t="str">
        <f>CONCATENATE(287239,",",ROW(BCLCTTRGT_06613!E8),"|",COLUMN(BCLCTTRGT_06613!E8),",0",",0")</f>
        <v>287239,8|5,0,0</v>
      </c>
    </row>
    <row r="9" spans="1:5" x14ac:dyDescent="0.25">
      <c r="A9" t="str">
        <f>CONCATENATE(287471,",",ROW(BCLCTTRGT_06613!A9),"|",COLUMN(BCLCTTRGT_06613!A9),",0",",0")</f>
        <v>287471,9|1,0,0</v>
      </c>
      <c r="B9" t="str">
        <f>CONCATENATE(287355,",",ROW(BCLCTTRGT_06613!B9),"|",COLUMN(BCLCTTRGT_06613!B9),",0",",0")</f>
        <v>287355,9|2,0,0</v>
      </c>
      <c r="C9" t="str">
        <f>CONCATENATE(287607,",",ROW(BCLCTTRGT_06613!C9),"|",COLUMN(BCLCTTRGT_06613!C9),",0",",0")</f>
        <v>287607,9|3,0,0</v>
      </c>
      <c r="D9" t="str">
        <f>CONCATENATE(287370,",",ROW(BCLCTTRGT_06613!D9),"|",COLUMN(BCLCTTRGT_06613!D9),",0",",0")</f>
        <v>287370,9|4,0,0</v>
      </c>
      <c r="E9" t="str">
        <f>CONCATENATE(287240,",",ROW(BCLCTTRGT_06613!E9),"|",COLUMN(BCLCTTRGT_06613!E9),",0",",0")</f>
        <v>287240,9|5,0,0</v>
      </c>
    </row>
    <row r="10" spans="1:5" x14ac:dyDescent="0.25">
      <c r="A10" t="str">
        <f>CONCATENATE(287435,",",ROW(BCLCTTRGT_06613!A10),"|",COLUMN(BCLCTTRGT_06613!A10),",0",",0")</f>
        <v>287435,10|1,0,0</v>
      </c>
      <c r="B10" t="str">
        <f>CONCATENATE(287411,",",ROW(BCLCTTRGT_06613!B10),"|",COLUMN(BCLCTTRGT_06613!B10),",0",",0")</f>
        <v>287411,10|2,0,0</v>
      </c>
      <c r="C10" t="str">
        <f>CONCATENATE(287608,",",ROW(BCLCTTRGT_06613!C10),"|",COLUMN(BCLCTTRGT_06613!C10),",0",",0")</f>
        <v>287608,10|3,0,0</v>
      </c>
      <c r="D10" t="str">
        <f>CONCATENATE(287371,",",ROW(BCLCTTRGT_06613!D10),"|",COLUMN(BCLCTTRGT_06613!D10),",0",",0")</f>
        <v>287371,10|4,0,0</v>
      </c>
      <c r="E10" t="str">
        <f>CONCATENATE(287241,",",ROW(BCLCTTRGT_06613!E10),"|",COLUMN(BCLCTTRGT_06613!E10),",0",",0")</f>
        <v>287241,10|5,0,0</v>
      </c>
    </row>
    <row r="11" spans="1:5" x14ac:dyDescent="0.25">
      <c r="A11" t="str">
        <f>CONCATENATE(287472,",",ROW(BCLCTTRGT_06613!A11),"|",COLUMN(BCLCTTRGT_06613!A11),",0",",0")</f>
        <v>287472,11|1,0,0</v>
      </c>
      <c r="B11" t="str">
        <f>CONCATENATE(287414,",",ROW(BCLCTTRGT_06613!B11),"|",COLUMN(BCLCTTRGT_06613!B11),",0",",0")</f>
        <v>287414,11|2,0,0</v>
      </c>
      <c r="C11" t="str">
        <f>CONCATENATE(287609,",",ROW(BCLCTTRGT_06613!C11),"|",COLUMN(BCLCTTRGT_06613!C11),",0",",0")</f>
        <v>287609,11|3,0,0</v>
      </c>
      <c r="D11" t="str">
        <f>CONCATENATE(287372,",",ROW(BCLCTTRGT_06613!D11),"|",COLUMN(BCLCTTRGT_06613!D11),",0",",0")</f>
        <v>287372,11|4,0,0</v>
      </c>
      <c r="E11" t="str">
        <f>CONCATENATE(287242,",",ROW(BCLCTTRGT_06613!E11),"|",COLUMN(BCLCTTRGT_06613!E11),",0",",0")</f>
        <v>287242,11|5,0,0</v>
      </c>
    </row>
    <row r="12" spans="1:5" x14ac:dyDescent="0.25">
      <c r="A12" t="str">
        <f>CONCATENATE(287544,",",ROW(BCLCTTRGT_06613!A12),"|",COLUMN(BCLCTTRGT_06613!A12),",0",",0")</f>
        <v>287544,12|1,0,0</v>
      </c>
      <c r="B12" t="str">
        <f>CONCATENATE(287434,",",ROW(BCLCTTRGT_06613!B12),"|",COLUMN(BCLCTTRGT_06613!B12),",0",",0")</f>
        <v>287434,12|2,0,0</v>
      </c>
      <c r="C12" t="str">
        <f>CONCATENATE(287545,",",ROW(BCLCTTRGT_06613!C12),"|",COLUMN(BCLCTTRGT_06613!C12),",0",",0")</f>
        <v>287545,12|3,0,0</v>
      </c>
      <c r="D12" t="str">
        <f>CONCATENATE(287373,",",ROW(BCLCTTRGT_06613!D12),"|",COLUMN(BCLCTTRGT_06613!D12),",0",",0")</f>
        <v>287373,12|4,0,0</v>
      </c>
      <c r="E12" t="str">
        <f>CONCATENATE(287243,",",ROW(BCLCTTRGT_06613!E12),"|",COLUMN(BCLCTTRGT_06613!E12),",0",",0")</f>
        <v>287243,12|5,0,0</v>
      </c>
    </row>
    <row r="13" spans="1:5" x14ac:dyDescent="0.25">
      <c r="A13" t="str">
        <f>CONCATENATE(287514,",",ROW(BCLCTTRGT_06613!A13),"|",COLUMN(BCLCTTRGT_06613!A13),",0",",0")</f>
        <v>287514,13|1,0,0</v>
      </c>
      <c r="B13" t="str">
        <f>CONCATENATE(287415,",",ROW(BCLCTTRGT_06613!B13),"|",COLUMN(BCLCTTRGT_06613!B13),",0",",0")</f>
        <v>287415,13|2,0,0</v>
      </c>
      <c r="C13" t="str">
        <f>CONCATENATE(287546,",",ROW(BCLCTTRGT_06613!C13),"|",COLUMN(BCLCTTRGT_06613!C13),",0",",0")</f>
        <v>287546,13|3,0,0</v>
      </c>
      <c r="D13" t="str">
        <f>CONCATENATE(287374,",",ROW(BCLCTTRGT_06613!D13),"|",COLUMN(BCLCTTRGT_06613!D13),",0",",0")</f>
        <v>287374,13|4,0,0</v>
      </c>
      <c r="E13" t="str">
        <f>CONCATENATE(287244,",",ROW(BCLCTTRGT_06613!E13),"|",COLUMN(BCLCTTRGT_06613!E13),",0",",0")</f>
        <v>287244,13|5,0,0</v>
      </c>
    </row>
    <row r="14" spans="1:5" x14ac:dyDescent="0.25">
      <c r="A14" t="str">
        <f>CONCATENATE(287436,",",ROW(BCLCTTRGT_06613!A14),"|",COLUMN(BCLCTTRGT_06613!A14),",0",",0")</f>
        <v>287436,14|1,0,0</v>
      </c>
      <c r="B14" t="str">
        <f>CONCATENATE(287530,",",ROW(BCLCTTRGT_06613!B14),"|",COLUMN(BCLCTTRGT_06613!B14),",0",",0")</f>
        <v>287530,14|2,0,0</v>
      </c>
      <c r="C14" t="str">
        <f>CONCATENATE(287547,",",ROW(BCLCTTRGT_06613!C14),"|",COLUMN(BCLCTTRGT_06613!C14),",0",",0")</f>
        <v>287547,14|3,0,0</v>
      </c>
      <c r="D14" t="str">
        <f>CONCATENATE(287375,",",ROW(BCLCTTRGT_06613!D14),"|",COLUMN(BCLCTTRGT_06613!D14),",0",",0")</f>
        <v>287375,14|4,0,0</v>
      </c>
      <c r="E14" t="str">
        <f>CONCATENATE(287245,",",ROW(BCLCTTRGT_06613!E14),"|",COLUMN(BCLCTTRGT_06613!E14),",0",",0")</f>
        <v>287245,14|5,0,0</v>
      </c>
    </row>
    <row r="15" spans="1:5" x14ac:dyDescent="0.25">
      <c r="A15" t="str">
        <f>CONCATENATE(287441,",",ROW(BCLCTTRGT_06613!A15),"|",COLUMN(BCLCTTRGT_06613!A15),",0",",0")</f>
        <v>287441,15|1,0,0</v>
      </c>
      <c r="B15" t="str">
        <f>CONCATENATE(287518,",",ROW(BCLCTTRGT_06613!B15),"|",COLUMN(BCLCTTRGT_06613!B15),",0",",0")</f>
        <v>287518,15|2,0,0</v>
      </c>
      <c r="C15" t="str">
        <f>CONCATENATE(287548,",",ROW(BCLCTTRGT_06613!C15),"|",COLUMN(BCLCTTRGT_06613!C15),",0",",0")</f>
        <v>287548,15|3,0,0</v>
      </c>
      <c r="D15" t="str">
        <f>CONCATENATE(287376,",",ROW(BCLCTTRGT_06613!D15),"|",COLUMN(BCLCTTRGT_06613!D15),",0",",0")</f>
        <v>287376,15|4,0,0</v>
      </c>
      <c r="E15" t="str">
        <f>CONCATENATE(287246,",",ROW(BCLCTTRGT_06613!E15),"|",COLUMN(BCLCTTRGT_06613!E15),",0",",0")</f>
        <v>287246,15|5,0,0</v>
      </c>
    </row>
    <row r="16" spans="1:5" x14ac:dyDescent="0.25">
      <c r="A16" t="str">
        <f>CONCATENATE(287399,",",ROW(BCLCTTRGT_06613!A16),"|",COLUMN(BCLCTTRGT_06613!A16),",0",",0")</f>
        <v>287399,16|1,0,0</v>
      </c>
      <c r="B16" t="str">
        <f>CONCATENATE(287531,",",ROW(BCLCTTRGT_06613!B16),"|",COLUMN(BCLCTTRGT_06613!B16),",0",",0")</f>
        <v>287531,16|2,0,0</v>
      </c>
      <c r="C16" t="str">
        <f>CONCATENATE(287549,",",ROW(BCLCTTRGT_06613!C16),"|",COLUMN(BCLCTTRGT_06613!C16),",0",",0")</f>
        <v>287549,16|3,0,0</v>
      </c>
      <c r="D16" t="str">
        <f>CONCATENATE(287377,",",ROW(BCLCTTRGT_06613!D16),"|",COLUMN(BCLCTTRGT_06613!D16),",0",",0")</f>
        <v>287377,16|4,0,0</v>
      </c>
      <c r="E16" t="str">
        <f>CONCATENATE(287247,",",ROW(BCLCTTRGT_06613!E16),"|",COLUMN(BCLCTTRGT_06613!E16),",0",",0")</f>
        <v>287247,16|5,0,0</v>
      </c>
    </row>
    <row r="17" spans="1:5" x14ac:dyDescent="0.25">
      <c r="A17" t="str">
        <f>CONCATENATE(287400,",",ROW(BCLCTTRGT_06613!A17),"|",COLUMN(BCLCTTRGT_06613!A17),",0",",0")</f>
        <v>287400,17|1,0,0</v>
      </c>
      <c r="B17" t="str">
        <f>CONCATENATE(287297,",",ROW(BCLCTTRGT_06613!B17),"|",COLUMN(BCLCTTRGT_06613!B17),",0",",0")</f>
        <v>287297,17|2,0,0</v>
      </c>
      <c r="C17" t="str">
        <f>CONCATENATE(287550,",",ROW(BCLCTTRGT_06613!C17),"|",COLUMN(BCLCTTRGT_06613!C17),",0",",0")</f>
        <v>287550,17|3,0,0</v>
      </c>
      <c r="D17" t="str">
        <f>CONCATENATE(287378,",",ROW(BCLCTTRGT_06613!D17),"|",COLUMN(BCLCTTRGT_06613!D17),",0",",0")</f>
        <v>287378,17|4,0,0</v>
      </c>
      <c r="E17" t="str">
        <f>CONCATENATE(287249,",",ROW(BCLCTTRGT_06613!E17),"|",COLUMN(BCLCTTRGT_06613!E17),",0",",0")</f>
        <v>287249,17|5,0,0</v>
      </c>
    </row>
    <row r="18" spans="1:5" x14ac:dyDescent="0.25">
      <c r="A18" t="str">
        <f>CONCATENATE(287442,",",ROW(BCLCTTRGT_06613!A18),"|",COLUMN(BCLCTTRGT_06613!A18),",0",",0")</f>
        <v>287442,18|1,0,0</v>
      </c>
      <c r="B18" t="str">
        <f>CONCATENATE(287496,",",ROW(BCLCTTRGT_06613!B18),"|",COLUMN(BCLCTTRGT_06613!B18),",0",",0")</f>
        <v>287496,18|2,0,0</v>
      </c>
      <c r="C18" t="str">
        <f>CONCATENATE(287551,",",ROW(BCLCTTRGT_06613!C18),"|",COLUMN(BCLCTTRGT_06613!C18),",0",",0")</f>
        <v>287551,18|3,0,0</v>
      </c>
      <c r="D18" t="str">
        <f>CONCATENATE(287379,",",ROW(BCLCTTRGT_06613!D18),"|",COLUMN(BCLCTTRGT_06613!D18),",0",",0")</f>
        <v>287379,18|4,0,0</v>
      </c>
      <c r="E18" t="str">
        <f>CONCATENATE(287250,",",ROW(BCLCTTRGT_06613!E18),"|",COLUMN(BCLCTTRGT_06613!E18),",0",",0")</f>
        <v>287250,18|5,0,0</v>
      </c>
    </row>
    <row r="19" spans="1:5" x14ac:dyDescent="0.25">
      <c r="A19" t="str">
        <f>CONCATENATE(287437,",",ROW(BCLCTTRGT_06613!A19),"|",COLUMN(BCLCTTRGT_06613!A19),",0",",0")</f>
        <v>287437,19|1,0,0</v>
      </c>
      <c r="B19" t="str">
        <f>CONCATENATE(287495,",",ROW(BCLCTTRGT_06613!B19),"|",COLUMN(BCLCTTRGT_06613!B19),",0",",0")</f>
        <v>287495,19|2,0,0</v>
      </c>
      <c r="C19" t="str">
        <f>CONCATENATE(287552,",",ROW(BCLCTTRGT_06613!C19),"|",COLUMN(BCLCTTRGT_06613!C19),",0",",0")</f>
        <v>287552,19|3,0,0</v>
      </c>
      <c r="D19" t="str">
        <f>CONCATENATE(287380,",",ROW(BCLCTTRGT_06613!D19),"|",COLUMN(BCLCTTRGT_06613!D19),",0",",0")</f>
        <v>287380,19|4,0,0</v>
      </c>
      <c r="E19" t="str">
        <f>CONCATENATE(287251,",",ROW(BCLCTTRGT_06613!E19),"|",COLUMN(BCLCTTRGT_06613!E19),",0",",0")</f>
        <v>287251,19|5,0,0</v>
      </c>
    </row>
    <row r="20" spans="1:5" x14ac:dyDescent="0.25">
      <c r="A20" t="str">
        <f>CONCATENATE(287413,",",ROW(BCLCTTRGT_06613!A20),"|",COLUMN(BCLCTTRGT_06613!A20),",0",",0")</f>
        <v>287413,20|1,0,0</v>
      </c>
      <c r="B20" t="str">
        <f>CONCATENATE(287519,",",ROW(BCLCTTRGT_06613!B20),"|",COLUMN(BCLCTTRGT_06613!B20),",0",",0")</f>
        <v>287519,20|2,0,0</v>
      </c>
      <c r="C20" t="str">
        <f>CONCATENATE(287553,",",ROW(BCLCTTRGT_06613!C20),"|",COLUMN(BCLCTTRGT_06613!C20),",0",",0")</f>
        <v>287553,20|3,0,0</v>
      </c>
      <c r="D20" t="str">
        <f>CONCATENATE(287381,",",ROW(BCLCTTRGT_06613!D20),"|",COLUMN(BCLCTTRGT_06613!D20),",0",",0")</f>
        <v>287381,20|4,0,0</v>
      </c>
      <c r="E20" t="str">
        <f>CONCATENATE(287252,",",ROW(BCLCTTRGT_06613!E20),"|",COLUMN(BCLCTTRGT_06613!E20),",0",",0")</f>
        <v>287252,20|5,0,0</v>
      </c>
    </row>
    <row r="21" spans="1:5" x14ac:dyDescent="0.25">
      <c r="A21" t="str">
        <f>CONCATENATE(287438,",",ROW(BCLCTTRGT_06613!A21),"|",COLUMN(BCLCTTRGT_06613!A21),",0",",0")</f>
        <v>287438,21|1,0,0</v>
      </c>
      <c r="B21" t="str">
        <f>CONCATENATE(287298,",",ROW(BCLCTTRGT_06613!B21),"|",COLUMN(BCLCTTRGT_06613!B21),",0",",0")</f>
        <v>287298,21|2,0,0</v>
      </c>
      <c r="C21" t="str">
        <f>CONCATENATE(287554,",",ROW(BCLCTTRGT_06613!C21),"|",COLUMN(BCLCTTRGT_06613!C21),",0",",0")</f>
        <v>287554,21|3,0,0</v>
      </c>
      <c r="D21" t="str">
        <f>CONCATENATE(287382,",",ROW(BCLCTTRGT_06613!D21),"|",COLUMN(BCLCTTRGT_06613!D21),",0",",0")</f>
        <v>287382,21|4,0,0</v>
      </c>
      <c r="E21" t="str">
        <f>CONCATENATE(287253,",",ROW(BCLCTTRGT_06613!E21),"|",COLUMN(BCLCTTRGT_06613!E21),",0",",0")</f>
        <v>287253,21|5,0,0</v>
      </c>
    </row>
    <row r="22" spans="1:5" x14ac:dyDescent="0.25">
      <c r="A22" t="str">
        <f>CONCATENATE(287443,",",ROW(BCLCTTRGT_06613!A22),"|",COLUMN(BCLCTTRGT_06613!A22),",0",",0")</f>
        <v>287443,22|1,0,0</v>
      </c>
      <c r="B22" t="str">
        <f>CONCATENATE(287520,",",ROW(BCLCTTRGT_06613!B22),"|",COLUMN(BCLCTTRGT_06613!B22),",0",",0")</f>
        <v>287520,22|2,0,0</v>
      </c>
      <c r="C22" t="str">
        <f>CONCATENATE(287555,",",ROW(BCLCTTRGT_06613!C22),"|",COLUMN(BCLCTTRGT_06613!C22),",0",",0")</f>
        <v>287555,22|3,0,0</v>
      </c>
      <c r="D22" t="str">
        <f>CONCATENATE(287383,",",ROW(BCLCTTRGT_06613!D22),"|",COLUMN(BCLCTTRGT_06613!D22),",0",",0")</f>
        <v>287383,22|4,0,0</v>
      </c>
      <c r="E22" t="str">
        <f>CONCATENATE(287254,",",ROW(BCLCTTRGT_06613!E22),"|",COLUMN(BCLCTTRGT_06613!E22),",0",",0")</f>
        <v>287254,22|5,0,0</v>
      </c>
    </row>
    <row r="23" spans="1:5" x14ac:dyDescent="0.25">
      <c r="A23" t="str">
        <f>CONCATENATE(287439,",",ROW(BCLCTTRGT_06613!A23),"|",COLUMN(BCLCTTRGT_06613!A23),",0",",0")</f>
        <v>287439,23|1,0,0</v>
      </c>
      <c r="B23" t="str">
        <f>CONCATENATE(287416,",",ROW(BCLCTTRGT_06613!B23),"|",COLUMN(BCLCTTRGT_06613!B23),",0",",0")</f>
        <v>287416,23|2,0,0</v>
      </c>
      <c r="C23" t="str">
        <f>CONCATENATE(287556,",",ROW(BCLCTTRGT_06613!C23),"|",COLUMN(BCLCTTRGT_06613!C23),",0",",0")</f>
        <v>287556,23|3,0,0</v>
      </c>
      <c r="D23" t="str">
        <f>CONCATENATE(287384,",",ROW(BCLCTTRGT_06613!D23),"|",COLUMN(BCLCTTRGT_06613!D23),",0",",0")</f>
        <v>287384,23|4,0,0</v>
      </c>
      <c r="E23" t="str">
        <f>CONCATENATE(287255,",",ROW(BCLCTTRGT_06613!E23),"|",COLUMN(BCLCTTRGT_06613!E23),",0",",0")</f>
        <v>287255,23|5,0,0</v>
      </c>
    </row>
    <row r="24" spans="1:5" x14ac:dyDescent="0.25">
      <c r="A24" t="str">
        <f>CONCATENATE(287440,",",ROW(BCLCTTRGT_06613!A24),"|",COLUMN(BCLCTTRGT_06613!A24),",0",",0")</f>
        <v>287440,24|1,0,0</v>
      </c>
      <c r="B24" t="str">
        <f>CONCATENATE(287532,",",ROW(BCLCTTRGT_06613!B24),"|",COLUMN(BCLCTTRGT_06613!B24),",0",",0")</f>
        <v>287532,24|2,0,0</v>
      </c>
      <c r="C24" t="str">
        <f>CONCATENATE(287557,",",ROW(BCLCTTRGT_06613!C24),"|",COLUMN(BCLCTTRGT_06613!C24),",0",",0")</f>
        <v>287557,24|3,0,0</v>
      </c>
      <c r="D24" t="str">
        <f>CONCATENATE(287385,",",ROW(BCLCTTRGT_06613!D24),"|",COLUMN(BCLCTTRGT_06613!D24),",0",",0")</f>
        <v>287385,24|4,0,0</v>
      </c>
      <c r="E24" t="str">
        <f>CONCATENATE(287256,",",ROW(BCLCTTRGT_06613!E24),"|",COLUMN(BCLCTTRGT_06613!E24),",0",",0")</f>
        <v>287256,24|5,0,0</v>
      </c>
    </row>
    <row r="25" spans="1:5" x14ac:dyDescent="0.25">
      <c r="A25" t="str">
        <f>CONCATENATE(287444,",",ROW(BCLCTTRGT_06613!A25),"|",COLUMN(BCLCTTRGT_06613!A25),",0",",0")</f>
        <v>287444,25|1,0,0</v>
      </c>
      <c r="B25" t="str">
        <f>CONCATENATE(287533,",",ROW(BCLCTTRGT_06613!B25),"|",COLUMN(BCLCTTRGT_06613!B25),",0",",0")</f>
        <v>287533,25|2,0,0</v>
      </c>
      <c r="C25" t="str">
        <f>CONCATENATE(287558,",",ROW(BCLCTTRGT_06613!C25),"|",COLUMN(BCLCTTRGT_06613!C25),",0",",0")</f>
        <v>287558,25|3,0,0</v>
      </c>
      <c r="D25" t="str">
        <f>CONCATENATE(287386,",",ROW(BCLCTTRGT_06613!D25),"|",COLUMN(BCLCTTRGT_06613!D25),",0",",0")</f>
        <v>287386,25|4,0,0</v>
      </c>
      <c r="E25" t="str">
        <f>CONCATENATE(287257,",",ROW(BCLCTTRGT_06613!E25),"|",COLUMN(BCLCTTRGT_06613!E25),",0",",0")</f>
        <v>287257,25|5,0,0</v>
      </c>
    </row>
    <row r="26" spans="1:5" x14ac:dyDescent="0.25">
      <c r="A26" t="str">
        <f>CONCATENATE(287348,",",ROW(BCLCTTRGT_06613!A26),"|",COLUMN(BCLCTTRGT_06613!A26),",0",",0")</f>
        <v>287348,26|1,0,0</v>
      </c>
      <c r="B26" t="str">
        <f>CONCATENATE(287497,",",ROW(BCLCTTRGT_06613!B26),"|",COLUMN(BCLCTTRGT_06613!B26),",0",",0")</f>
        <v>287497,26|2,0,0</v>
      </c>
      <c r="C26" t="str">
        <f>CONCATENATE(287559,",",ROW(BCLCTTRGT_06613!C26),"|",COLUMN(BCLCTTRGT_06613!C26),",0",",0")</f>
        <v>287559,26|3,0,0</v>
      </c>
      <c r="D26" t="str">
        <f>CONCATENATE(287387,",",ROW(BCLCTTRGT_06613!D26),"|",COLUMN(BCLCTTRGT_06613!D26),",0",",0")</f>
        <v>287387,26|4,0,0</v>
      </c>
      <c r="E26" t="str">
        <f>CONCATENATE(287258,",",ROW(BCLCTTRGT_06613!E26),"|",COLUMN(BCLCTTRGT_06613!E26),",0",",0")</f>
        <v>287258,26|5,0,0</v>
      </c>
    </row>
    <row r="27" spans="1:5" x14ac:dyDescent="0.25">
      <c r="A27" t="str">
        <f>CONCATENATE(287349,",",ROW(BCLCTTRGT_06613!A27),"|",COLUMN(BCLCTTRGT_06613!A27),",0",",0")</f>
        <v>287349,27|1,0,0</v>
      </c>
      <c r="B27" t="str">
        <f>CONCATENATE(287481,",",ROW(BCLCTTRGT_06613!B27),"|",COLUMN(BCLCTTRGT_06613!B27),",0",",0")</f>
        <v>287481,27|2,0,0</v>
      </c>
      <c r="C27" t="str">
        <f>CONCATENATE(287603,",",ROW(BCLCTTRGT_06613!C27),"|",COLUMN(BCLCTTRGT_06613!C27),",0",",0")</f>
        <v>287603,27|3,0,0</v>
      </c>
      <c r="D27" t="str">
        <f>CONCATENATE(287366,",",ROW(BCLCTTRGT_06613!D27),"|",COLUMN(BCLCTTRGT_06613!D27),",0",",0")</f>
        <v>287366,27|4,0,0</v>
      </c>
      <c r="E27" t="str">
        <f>CONCATENATE(287236,",",ROW(BCLCTTRGT_06613!E27),"|",COLUMN(BCLCTTRGT_06613!E27),",0",",0")</f>
        <v>287236,27|5,0,0</v>
      </c>
    </row>
    <row r="28" spans="1:5" x14ac:dyDescent="0.25">
      <c r="A28" t="str">
        <f>CONCATENATE(287402,",",ROW(BCLCTTRGT_06613!A28),"|",COLUMN(BCLCTTRGT_06613!A28),",0",",0")</f>
        <v>287402,28|1,0,0</v>
      </c>
      <c r="B28" t="str">
        <f>CONCATENATE(287299,",",ROW(BCLCTTRGT_06613!B28),"|",COLUMN(BCLCTTRGT_06613!B28),",0",",0")</f>
        <v>287299,28|2,0,0</v>
      </c>
      <c r="C28" t="str">
        <f>CONCATENATE(287560,",",ROW(BCLCTTRGT_06613!C28),"|",COLUMN(BCLCTTRGT_06613!C28),",0",",0")</f>
        <v>287560,28|3,0,0</v>
      </c>
      <c r="D28" t="str">
        <f>CONCATENATE(287388,",",ROW(BCLCTTRGT_06613!D28),"|",COLUMN(BCLCTTRGT_06613!D28),",0",",0")</f>
        <v>287388,28|4,0,0</v>
      </c>
      <c r="E28" t="str">
        <f>CONCATENATE(287259,",",ROW(BCLCTTRGT_06613!E28),"|",COLUMN(BCLCTTRGT_06613!E28),",0",",0")</f>
        <v>287259,28|5,0,0</v>
      </c>
    </row>
    <row r="29" spans="1:5" x14ac:dyDescent="0.25">
      <c r="A29" t="str">
        <f>CONCATENATE(287445,",",ROW(BCLCTTRGT_06613!A29),"|",COLUMN(BCLCTTRGT_06613!A29),",0",",0")</f>
        <v>287445,29|1,0,0</v>
      </c>
      <c r="B29" t="str">
        <f>CONCATENATE(287248,",",ROW(BCLCTTRGT_06613!B29),"|",COLUMN(BCLCTTRGT_06613!B29),",0",",0")</f>
        <v>287248,29|2,0,0</v>
      </c>
      <c r="C29" t="str">
        <f>CONCATENATE(287561,",",ROW(BCLCTTRGT_06613!C29),"|",COLUMN(BCLCTTRGT_06613!C29),",0",",0")</f>
        <v>287561,29|3,0,0</v>
      </c>
      <c r="D29" t="str">
        <f>CONCATENATE(287389,",",ROW(BCLCTTRGT_06613!D29),"|",COLUMN(BCLCTTRGT_06613!D29),",0",",0")</f>
        <v>287389,29|4,0,0</v>
      </c>
      <c r="E29" t="str">
        <f>CONCATENATE(287260,",",ROW(BCLCTTRGT_06613!E29),"|",COLUMN(BCLCTTRGT_06613!E29),",0",",0")</f>
        <v>287260,29|5,0,0</v>
      </c>
    </row>
    <row r="30" spans="1:5" x14ac:dyDescent="0.25">
      <c r="A30" t="str">
        <f>CONCATENATE(287431,",",ROW(BCLCTTRGT_06613!A30),"|",COLUMN(BCLCTTRGT_06613!A30),",0",",0")</f>
        <v>287431,30|1,0,0</v>
      </c>
      <c r="B30" t="str">
        <f>CONCATENATE(287498,",",ROW(BCLCTTRGT_06613!B30),"|",COLUMN(BCLCTTRGT_06613!B30),",0",",0")</f>
        <v>287498,30|2,0,0</v>
      </c>
      <c r="C30" t="str">
        <f>CONCATENATE(287269,",",ROW(BCLCTTRGT_06613!C30),"|",COLUMN(BCLCTTRGT_06613!C30),",0",",0")</f>
        <v>287269,30|3,0,0</v>
      </c>
      <c r="D30" t="str">
        <f>CONCATENATE(287568,",",ROW(BCLCTTRGT_06613!D30),"|",COLUMN(BCLCTTRGT_06613!D30),",0",",0")</f>
        <v>287568,30|4,0,0</v>
      </c>
      <c r="E30" t="str">
        <f>CONCATENATE(287450,",",ROW(BCLCTTRGT_06613!E30),"|",COLUMN(BCLCTTRGT_06613!E30),",0",",0")</f>
        <v>287450,30|5,0,0</v>
      </c>
    </row>
    <row r="31" spans="1:5" x14ac:dyDescent="0.25">
      <c r="A31" t="str">
        <f>CONCATENATE(287432,",",ROW(BCLCTTRGT_06613!A31),"|",COLUMN(BCLCTTRGT_06613!A31),",0",",0")</f>
        <v>287432,31|1,0,0</v>
      </c>
      <c r="B31" t="str">
        <f>CONCATENATE(287417,",",ROW(BCLCTTRGT_06613!B31),"|",COLUMN(BCLCTTRGT_06613!B31),",0",",0")</f>
        <v>287417,31|2,0,0</v>
      </c>
      <c r="C31" t="str">
        <f>CONCATENATE(287271,",",ROW(BCLCTTRGT_06613!C31),"|",COLUMN(BCLCTTRGT_06613!C31),",0",",0")</f>
        <v>287271,31|3,0,0</v>
      </c>
      <c r="D31" t="str">
        <f>CONCATENATE(287569,",",ROW(BCLCTTRGT_06613!D31),"|",COLUMN(BCLCTTRGT_06613!D31),",0",",0")</f>
        <v>287569,31|4,0,0</v>
      </c>
      <c r="E31" t="str">
        <f>CONCATENATE(287451,",",ROW(BCLCTTRGT_06613!E31),"|",COLUMN(BCLCTTRGT_06613!E31),",0",",0")</f>
        <v>287451,31|5,0,0</v>
      </c>
    </row>
    <row r="32" spans="1:5" x14ac:dyDescent="0.25">
      <c r="A32" t="str">
        <f>CONCATENATE(287515,",",ROW(BCLCTTRGT_06613!A32),"|",COLUMN(BCLCTTRGT_06613!A32),",0",",0")</f>
        <v>287515,32|1,0,0</v>
      </c>
      <c r="B32" t="str">
        <f>CONCATENATE(287521,",",ROW(BCLCTTRGT_06613!B32),"|",COLUMN(BCLCTTRGT_06613!B32),",0",",0")</f>
        <v>287521,32|2,0,0</v>
      </c>
      <c r="C32" t="str">
        <f>CONCATENATE(287562,",",ROW(BCLCTTRGT_06613!C32),"|",COLUMN(BCLCTTRGT_06613!C32),",0",",0")</f>
        <v>287562,32|3,0,0</v>
      </c>
      <c r="D32" t="str">
        <f>CONCATENATE(287390,",",ROW(BCLCTTRGT_06613!D32),"|",COLUMN(BCLCTTRGT_06613!D32),",0",",0")</f>
        <v>287390,32|4,0,0</v>
      </c>
      <c r="E32" t="str">
        <f>CONCATENATE(287261,",",ROW(BCLCTTRGT_06613!E32),"|",COLUMN(BCLCTTRGT_06613!E32),",0",",0")</f>
        <v>287261,32|5,0,0</v>
      </c>
    </row>
    <row r="33" spans="1:5" x14ac:dyDescent="0.25">
      <c r="A33" t="str">
        <f>CONCATENATE(287473,",",ROW(BCLCTTRGT_06613!A33),"|",COLUMN(BCLCTTRGT_06613!A33),",0",",0")</f>
        <v>287473,33|1,0,0</v>
      </c>
      <c r="B33" t="str">
        <f>CONCATENATE(287482,",",ROW(BCLCTTRGT_06613!B33),"|",COLUMN(BCLCTTRGT_06613!B33),",0",",0")</f>
        <v>287482,33|2,0,0</v>
      </c>
      <c r="C33" t="str">
        <f>CONCATENATE(287604,",",ROW(BCLCTTRGT_06613!C33),"|",COLUMN(BCLCTTRGT_06613!C33),",0",",0")</f>
        <v>287604,33|3,0,0</v>
      </c>
      <c r="D33" t="str">
        <f>CONCATENATE(287367,",",ROW(BCLCTTRGT_06613!D33),"|",COLUMN(BCLCTTRGT_06613!D33),",0",",0")</f>
        <v>287367,33|4,0,0</v>
      </c>
      <c r="E33" t="str">
        <f>CONCATENATE(287237,",",ROW(BCLCTTRGT_06613!E33),"|",COLUMN(BCLCTTRGT_06613!E33),",0",",0")</f>
        <v>287237,33|5,0,0</v>
      </c>
    </row>
    <row r="34" spans="1:5" x14ac:dyDescent="0.25">
      <c r="A34" t="str">
        <f>CONCATENATE(287403,",",ROW(BCLCTTRGT_06613!A34),"|",COLUMN(BCLCTTRGT_06613!A34),",0",",0")</f>
        <v>287403,34|1,0,0</v>
      </c>
      <c r="B34" t="str">
        <f>CONCATENATE(287418,",",ROW(BCLCTTRGT_06613!B34),"|",COLUMN(BCLCTTRGT_06613!B34),",0",",0")</f>
        <v>287418,34|2,0,0</v>
      </c>
      <c r="C34" t="str">
        <f>CONCATENATE(287563,",",ROW(BCLCTTRGT_06613!C34),"|",COLUMN(BCLCTTRGT_06613!C34),",0",",0")</f>
        <v>287563,34|3,0,0</v>
      </c>
      <c r="D34" t="str">
        <f>CONCATENATE(287391,",",ROW(BCLCTTRGT_06613!D34),"|",COLUMN(BCLCTTRGT_06613!D34),",0",",0")</f>
        <v>287391,34|4,0,0</v>
      </c>
      <c r="E34" t="str">
        <f>CONCATENATE(287262,",",ROW(BCLCTTRGT_06613!E34),"|",COLUMN(BCLCTTRGT_06613!E34),",0",",0")</f>
        <v>287262,34|5,0,0</v>
      </c>
    </row>
    <row r="35" spans="1:5" x14ac:dyDescent="0.25">
      <c r="A35" t="str">
        <f>CONCATENATE(287404,",",ROW(BCLCTTRGT_06613!A35),"|",COLUMN(BCLCTTRGT_06613!A35),",0",",0")</f>
        <v>287404,35|1,0,0</v>
      </c>
      <c r="B35" t="str">
        <f>CONCATENATE(287419,",",ROW(BCLCTTRGT_06613!B35),"|",COLUMN(BCLCTTRGT_06613!B35),",0",",0")</f>
        <v>287419,35|2,0,0</v>
      </c>
      <c r="C35" t="str">
        <f>CONCATENATE(287564,",",ROW(BCLCTTRGT_06613!C35),"|",COLUMN(BCLCTTRGT_06613!C35),",0",",0")</f>
        <v>287564,35|3,0,0</v>
      </c>
      <c r="D35" t="str">
        <f>CONCATENATE(287392,",",ROW(BCLCTTRGT_06613!D35),"|",COLUMN(BCLCTTRGT_06613!D35),",0",",0")</f>
        <v>287392,35|4,0,0</v>
      </c>
      <c r="E35" t="str">
        <f>CONCATENATE(287263,",",ROW(BCLCTTRGT_06613!E35),"|",COLUMN(BCLCTTRGT_06613!E35),",0",",0")</f>
        <v>287263,35|5,0,0</v>
      </c>
    </row>
    <row r="36" spans="1:5" x14ac:dyDescent="0.25">
      <c r="A36" t="str">
        <f>CONCATENATE(287405,",",ROW(BCLCTTRGT_06613!A36),"|",COLUMN(BCLCTTRGT_06613!A36),",0",",0")</f>
        <v>287405,36|1,0,0</v>
      </c>
      <c r="B36" t="str">
        <f>CONCATENATE(287499,",",ROW(BCLCTTRGT_06613!B36),"|",COLUMN(BCLCTTRGT_06613!B36),",0",",0")</f>
        <v>287499,36|2,0,0</v>
      </c>
      <c r="C36" t="str">
        <f>CONCATENATE(287273,",",ROW(BCLCTTRGT_06613!C36),"|",COLUMN(BCLCTTRGT_06613!C36),",0",",0")</f>
        <v>287273,36|3,0,0</v>
      </c>
      <c r="D36" t="str">
        <f>CONCATENATE(287571,",",ROW(BCLCTTRGT_06613!D36),"|",COLUMN(BCLCTTRGT_06613!D36),",0",",0")</f>
        <v>287571,36|4,0,0</v>
      </c>
      <c r="E36" t="str">
        <f>CONCATENATE(287453,",",ROW(BCLCTTRGT_06613!E36),"|",COLUMN(BCLCTTRGT_06613!E36),",0",",0")</f>
        <v>287453,36|5,0,0</v>
      </c>
    </row>
    <row r="37" spans="1:5" x14ac:dyDescent="0.25">
      <c r="A37" t="str">
        <f>CONCATENATE(287406,",",ROW(BCLCTTRGT_06613!A37),"|",COLUMN(BCLCTTRGT_06613!A37),",0",",0")</f>
        <v>287406,37|1,0,0</v>
      </c>
      <c r="B37" t="str">
        <f>CONCATENATE(287420,",",ROW(BCLCTTRGT_06613!B37),"|",COLUMN(BCLCTTRGT_06613!B37),",0",",0")</f>
        <v>287420,37|2,0,0</v>
      </c>
      <c r="C37" t="str">
        <f>CONCATENATE(287274,",",ROW(BCLCTTRGT_06613!C37),"|",COLUMN(BCLCTTRGT_06613!C37),",0",",0")</f>
        <v>287274,37|3,0,0</v>
      </c>
      <c r="D37" t="str">
        <f>CONCATENATE(287572,",",ROW(BCLCTTRGT_06613!D37),"|",COLUMN(BCLCTTRGT_06613!D37),",0",",0")</f>
        <v>287572,37|4,0,0</v>
      </c>
      <c r="E37" t="str">
        <f>CONCATENATE(287454,",",ROW(BCLCTTRGT_06613!E37),"|",COLUMN(BCLCTTRGT_06613!E37),",0",",0")</f>
        <v>287454,37|5,0,0</v>
      </c>
    </row>
    <row r="38" spans="1:5" x14ac:dyDescent="0.25">
      <c r="A38" t="str">
        <f>CONCATENATE(287433,",",ROW(BCLCTTRGT_06613!A38),"|",COLUMN(BCLCTTRGT_06613!A38),",0",",0")</f>
        <v>287433,38|1,0,0</v>
      </c>
      <c r="B38" t="str">
        <f>CONCATENATE(287300,",",ROW(BCLCTTRGT_06613!B38),"|",COLUMN(BCLCTTRGT_06613!B38),",0",",0")</f>
        <v>287300,38|2,0,0</v>
      </c>
      <c r="C38" t="str">
        <f>CONCATENATE(287272,",",ROW(BCLCTTRGT_06613!C38),"|",COLUMN(BCLCTTRGT_06613!C38),",0",",0")</f>
        <v>287272,38|3,0,0</v>
      </c>
      <c r="D38" t="str">
        <f>CONCATENATE(287570,",",ROW(BCLCTTRGT_06613!D38),"|",COLUMN(BCLCTTRGT_06613!D38),",0",",0")</f>
        <v>287570,38|4,0,0</v>
      </c>
      <c r="E38" t="str">
        <f>CONCATENATE(287452,",",ROW(BCLCTTRGT_06613!E38),"|",COLUMN(BCLCTTRGT_06613!E38),",0",",0")</f>
        <v>287452,38|5,0,0</v>
      </c>
    </row>
    <row r="39" spans="1:5" x14ac:dyDescent="0.25">
      <c r="A39" t="str">
        <f>CONCATENATE(287474,",",ROW(BCLCTTRGT_06613!A39),"|",COLUMN(BCLCTTRGT_06613!A39),",0",",0")</f>
        <v>287474,39|1,0,0</v>
      </c>
      <c r="B39" t="str">
        <f>CONCATENATE(287421,",",ROW(BCLCTTRGT_06613!B39),"|",COLUMN(BCLCTTRGT_06613!B39),",0",",0")</f>
        <v>287421,39|2,0,0</v>
      </c>
      <c r="C39" t="str">
        <f>CONCATENATE(287275,",",ROW(BCLCTTRGT_06613!C39),"|",COLUMN(BCLCTTRGT_06613!C39),",0",",0")</f>
        <v>287275,39|3,0,0</v>
      </c>
      <c r="D39" t="str">
        <f>CONCATENATE(287573,",",ROW(BCLCTTRGT_06613!D39),"|",COLUMN(BCLCTTRGT_06613!D39),",0",",0")</f>
        <v>287573,39|4,0,0</v>
      </c>
      <c r="E39" t="str">
        <f>CONCATENATE(287455,",",ROW(BCLCTTRGT_06613!E39),"|",COLUMN(BCLCTTRGT_06613!E39),",0",",0")</f>
        <v>287455,39|5,0,0</v>
      </c>
    </row>
    <row r="40" spans="1:5" x14ac:dyDescent="0.25">
      <c r="A40" t="str">
        <f>CONCATENATE(287446,",",ROW(BCLCTTRGT_06613!A40),"|",COLUMN(BCLCTTRGT_06613!A40),",0",",0")</f>
        <v>287446,40|1,0,0</v>
      </c>
      <c r="B40" t="str">
        <f>CONCATENATE(287483,",",ROW(BCLCTTRGT_06613!B40),"|",COLUMN(BCLCTTRGT_06613!B40),",0",",0")</f>
        <v>287483,40|2,0,0</v>
      </c>
      <c r="C40" t="str">
        <f>CONCATENATE(287276,",",ROW(BCLCTTRGT_06613!C40),"|",COLUMN(BCLCTTRGT_06613!C40),",0",",0")</f>
        <v>287276,40|3,0,0</v>
      </c>
      <c r="D40" t="str">
        <f>CONCATENATE(287574,",",ROW(BCLCTTRGT_06613!D40),"|",COLUMN(BCLCTTRGT_06613!D40),",0",",0")</f>
        <v>287574,40|4,0,0</v>
      </c>
      <c r="E40" t="str">
        <f>CONCATENATE(287456,",",ROW(BCLCTTRGT_06613!E40),"|",COLUMN(BCLCTTRGT_06613!E40),",0",",0")</f>
        <v>287456,40|5,0,0</v>
      </c>
    </row>
    <row r="41" spans="1:5" x14ac:dyDescent="0.25">
      <c r="A41" t="str">
        <f>CONCATENATE(287350,",",ROW(BCLCTTRGT_06613!A41),"|",COLUMN(BCLCTTRGT_06613!A41),",0",",0")</f>
        <v>287350,41|1,0,0</v>
      </c>
      <c r="B41" t="str">
        <f>CONCATENATE(287522,",",ROW(BCLCTTRGT_06613!B41),"|",COLUMN(BCLCTTRGT_06613!B41),",0",",0")</f>
        <v>287522,41|2,0,0</v>
      </c>
      <c r="C41" t="str">
        <f>CONCATENATE(287277,",",ROW(BCLCTTRGT_06613!C41),"|",COLUMN(BCLCTTRGT_06613!C41),",0",",0")</f>
        <v>287277,41|3,0,0</v>
      </c>
      <c r="D41" t="str">
        <f>CONCATENATE(287610,",",ROW(BCLCTTRGT_06613!D41),"|",COLUMN(BCLCTTRGT_06613!D41),",0",",0")</f>
        <v>287610,41|4,0,0</v>
      </c>
      <c r="E41" t="str">
        <f>CONCATENATE(287457,",",ROW(BCLCTTRGT_06613!E41),"|",COLUMN(BCLCTTRGT_06613!E41),",0",",0")</f>
        <v>287457,41|5,0,0</v>
      </c>
    </row>
    <row r="42" spans="1:5" x14ac:dyDescent="0.25">
      <c r="A42" t="str">
        <f>CONCATENATE(287475,",",ROW(BCLCTTRGT_06613!A42),"|",COLUMN(BCLCTTRGT_06613!A42),",0",",0")</f>
        <v>287475,42|1,0,0</v>
      </c>
      <c r="B42" t="str">
        <f>CONCATENATE(287500,",",ROW(BCLCTTRGT_06613!B42),"|",COLUMN(BCLCTTRGT_06613!B42),",0",",0")</f>
        <v>287500,42|2,0,0</v>
      </c>
      <c r="C42" t="str">
        <f>CONCATENATE(287278,",",ROW(BCLCTTRGT_06613!C42),"|",COLUMN(BCLCTTRGT_06613!C42),",0",",0")</f>
        <v>287278,42|3,0,0</v>
      </c>
      <c r="D42" t="str">
        <f>CONCATENATE(287611,",",ROW(BCLCTTRGT_06613!D42),"|",COLUMN(BCLCTTRGT_06613!D42),",0",",0")</f>
        <v>287611,42|4,0,0</v>
      </c>
      <c r="E42" t="str">
        <f>CONCATENATE(287458,",",ROW(BCLCTTRGT_06613!E42),"|",COLUMN(BCLCTTRGT_06613!E42),",0",",0")</f>
        <v>287458,42|5,0,0</v>
      </c>
    </row>
    <row r="43" spans="1:5" x14ac:dyDescent="0.25">
      <c r="A43" t="str">
        <f>CONCATENATE(287447,",",ROW(BCLCTTRGT_06613!A43),"|",COLUMN(BCLCTTRGT_06613!A43),",0",",0")</f>
        <v>287447,43|1,0,0</v>
      </c>
      <c r="B43" t="str">
        <f>CONCATENATE(287422,",",ROW(BCLCTTRGT_06613!B43),"|",COLUMN(BCLCTTRGT_06613!B43),",0",",0")</f>
        <v>287422,43|2,0,0</v>
      </c>
      <c r="C43" t="str">
        <f>CONCATENATE(287279,",",ROW(BCLCTTRGT_06613!C43),"|",COLUMN(BCLCTTRGT_06613!C43),",0",",0")</f>
        <v>287279,43|3,0,0</v>
      </c>
      <c r="D43" t="str">
        <f>CONCATENATE(287322,",",ROW(BCLCTTRGT_06613!D43),"|",COLUMN(BCLCTTRGT_06613!D43),",0",",0")</f>
        <v>287322,43|4,0,0</v>
      </c>
      <c r="E43" t="str">
        <f>CONCATENATE(287459,",",ROW(BCLCTTRGT_06613!E43),"|",COLUMN(BCLCTTRGT_06613!E43),",0",",0")</f>
        <v>287459,43|5,0,0</v>
      </c>
    </row>
    <row r="44" spans="1:5" x14ac:dyDescent="0.25">
      <c r="A44" t="str">
        <f>CONCATENATE(287448,",",ROW(BCLCTTRGT_06613!A44),"|",COLUMN(BCLCTTRGT_06613!A44),",0",",0")</f>
        <v>287448,44|1,0,0</v>
      </c>
      <c r="B44" t="str">
        <f>CONCATENATE(287523,",",ROW(BCLCTTRGT_06613!B44),"|",COLUMN(BCLCTTRGT_06613!B44),",0",",0")</f>
        <v>287523,44|2,0,0</v>
      </c>
      <c r="C44" t="str">
        <f>CONCATENATE(287280,",",ROW(BCLCTTRGT_06613!C44),"|",COLUMN(BCLCTTRGT_06613!C44),",0",",0")</f>
        <v>287280,44|3,0,0</v>
      </c>
      <c r="D44" t="str">
        <f>CONCATENATE(287323,",",ROW(BCLCTTRGT_06613!D44),"|",COLUMN(BCLCTTRGT_06613!D44),",0",",0")</f>
        <v>287323,44|4,0,0</v>
      </c>
      <c r="E44" t="str">
        <f>CONCATENATE(287460,",",ROW(BCLCTTRGT_06613!E44),"|",COLUMN(BCLCTTRGT_06613!E44),",0",",0")</f>
        <v>287460,44|5,0,0</v>
      </c>
    </row>
    <row r="45" spans="1:5" x14ac:dyDescent="0.25">
      <c r="A45" t="str">
        <f>CONCATENATE(287407,",",ROW(BCLCTTRGT_06613!A45),"|",COLUMN(BCLCTTRGT_06613!A45),",0",",0")</f>
        <v>287407,45|1,0,0</v>
      </c>
      <c r="B45" t="str">
        <f>CONCATENATE(287423,",",ROW(BCLCTTRGT_06613!B45),"|",COLUMN(BCLCTTRGT_06613!B45),",0",",0")</f>
        <v>287423,45|2,0,0</v>
      </c>
      <c r="C45" t="str">
        <f>CONCATENATE(287281,",",ROW(BCLCTTRGT_06613!C45),"|",COLUMN(BCLCTTRGT_06613!C45),",0",",0")</f>
        <v>287281,45|3,0,0</v>
      </c>
      <c r="D45" t="str">
        <f>CONCATENATE(287324,",",ROW(BCLCTTRGT_06613!D45),"|",COLUMN(BCLCTTRGT_06613!D45),",0",",0")</f>
        <v>287324,45|4,0,0</v>
      </c>
      <c r="E45" t="str">
        <f>CONCATENATE(287461,",",ROW(BCLCTTRGT_06613!E45),"|",COLUMN(BCLCTTRGT_06613!E45),",0",",0")</f>
        <v>287461,45|5,0,0</v>
      </c>
    </row>
    <row r="46" spans="1:5" x14ac:dyDescent="0.25">
      <c r="A46" t="str">
        <f>CONCATENATE(287476,",",ROW(BCLCTTRGT_06613!A46),"|",COLUMN(BCLCTTRGT_06613!A46),",0",",0")</f>
        <v>287476,46|1,0,0</v>
      </c>
      <c r="B46" t="str">
        <f>CONCATENATE(287501,",",ROW(BCLCTTRGT_06613!B46),"|",COLUMN(BCLCTTRGT_06613!B46),",0",",0")</f>
        <v>287501,46|2,0,0</v>
      </c>
      <c r="C46" t="str">
        <f>CONCATENATE(287282,",",ROW(BCLCTTRGT_06613!C46),"|",COLUMN(BCLCTTRGT_06613!C46),",0",",0")</f>
        <v>287282,46|3,0,0</v>
      </c>
      <c r="D46" t="str">
        <f>CONCATENATE(287325,",",ROW(BCLCTTRGT_06613!D46),"|",COLUMN(BCLCTTRGT_06613!D46),",0",",0")</f>
        <v>287325,46|4,0,0</v>
      </c>
      <c r="E46" t="str">
        <f>CONCATENATE(287462,",",ROW(BCLCTTRGT_06613!E46),"|",COLUMN(BCLCTTRGT_06613!E46),",0",",0")</f>
        <v>287462,46|5,0,0</v>
      </c>
    </row>
    <row r="47" spans="1:5" x14ac:dyDescent="0.25">
      <c r="A47" t="str">
        <f>CONCATENATE(287427,",",ROW(BCLCTTRGT_06613!A47),"|",COLUMN(BCLCTTRGT_06613!A47),",0",",0")</f>
        <v>287427,47|1,0,0</v>
      </c>
      <c r="B47" t="str">
        <f>CONCATENATE(287424,",",ROW(BCLCTTRGT_06613!B47),"|",COLUMN(BCLCTTRGT_06613!B47),",0",",0")</f>
        <v>287424,47|2,0,0</v>
      </c>
      <c r="C47" t="str">
        <f>CONCATENATE(287283,",",ROW(BCLCTTRGT_06613!C47),"|",COLUMN(BCLCTTRGT_06613!C47),",0",",0")</f>
        <v>287283,47|3,0,0</v>
      </c>
      <c r="D47" t="str">
        <f>CONCATENATE(287326,",",ROW(BCLCTTRGT_06613!D47),"|",COLUMN(BCLCTTRGT_06613!D47),",0",",0")</f>
        <v>287326,47|4,0,0</v>
      </c>
      <c r="E47" t="str">
        <f>CONCATENATE(287463,",",ROW(BCLCTTRGT_06613!E47),"|",COLUMN(BCLCTTRGT_06613!E47),",0",",0")</f>
        <v>287463,47|5,0,0</v>
      </c>
    </row>
    <row r="48" spans="1:5" x14ac:dyDescent="0.25">
      <c r="A48" t="str">
        <f>CONCATENATE(287477,",",ROW(BCLCTTRGT_06613!A48),"|",COLUMN(BCLCTTRGT_06613!A48),",0",",0")</f>
        <v>287477,48|1,0,0</v>
      </c>
      <c r="B48" t="str">
        <f>CONCATENATE(287528,",",ROW(BCLCTTRGT_06613!B48),"|",COLUMN(BCLCTTRGT_06613!B48),",0",",0")</f>
        <v>287528,48|2,0,0</v>
      </c>
      <c r="C48" t="str">
        <f>CONCATENATE(287284,",",ROW(BCLCTTRGT_06613!C48),"|",COLUMN(BCLCTTRGT_06613!C48),",0",",0")</f>
        <v>287284,48|3,0,0</v>
      </c>
      <c r="D48" t="str">
        <f>CONCATENATE(287327,",",ROW(BCLCTTRGT_06613!D48),"|",COLUMN(BCLCTTRGT_06613!D48),",0",",0")</f>
        <v>287327,48|4,0,0</v>
      </c>
      <c r="E48" t="str">
        <f>CONCATENATE(287464,",",ROW(BCLCTTRGT_06613!E48),"|",COLUMN(BCLCTTRGT_06613!E48),",0",",0")</f>
        <v>287464,48|5,0,0</v>
      </c>
    </row>
    <row r="49" spans="1:5" x14ac:dyDescent="0.25">
      <c r="A49" t="str">
        <f>CONCATENATE(287408,",",ROW(BCLCTTRGT_06613!A49),"|",COLUMN(BCLCTTRGT_06613!A49),",0",",0")</f>
        <v>287408,49|1,0,0</v>
      </c>
      <c r="B49" t="str">
        <f>CONCATENATE(287484,",",ROW(BCLCTTRGT_06613!B49),"|",COLUMN(BCLCTTRGT_06613!B49),",0",",0")</f>
        <v>287484,49|2,0,0</v>
      </c>
      <c r="C49" t="str">
        <f>CONCATENATE(287285,",",ROW(BCLCTTRGT_06613!C49),"|",COLUMN(BCLCTTRGT_06613!C49),",0",",0")</f>
        <v>287285,49|3,0,0</v>
      </c>
      <c r="D49" t="str">
        <f>CONCATENATE(287328,",",ROW(BCLCTTRGT_06613!D49),"|",COLUMN(BCLCTTRGT_06613!D49),",0",",0")</f>
        <v>287328,49|4,0,0</v>
      </c>
      <c r="E49" t="str">
        <f>CONCATENATE(287465,",",ROW(BCLCTTRGT_06613!E49),"|",COLUMN(BCLCTTRGT_06613!E49),",0",",0")</f>
        <v>287465,49|5,0,0</v>
      </c>
    </row>
    <row r="50" spans="1:5" x14ac:dyDescent="0.25">
      <c r="A50" t="str">
        <f>CONCATENATE(287525,",",ROW(BCLCTTRGT_06613!A50),"|",COLUMN(BCLCTTRGT_06613!A50),",0",",0")</f>
        <v>287525,50|1,0,0</v>
      </c>
      <c r="B50" t="str">
        <f>CONCATENATE(287534,",",ROW(BCLCTTRGT_06613!B50),"|",COLUMN(BCLCTTRGT_06613!B50),",0",",0")</f>
        <v>287534,50|2,0,0</v>
      </c>
      <c r="C50" t="str">
        <f>CONCATENATE(287286,",",ROW(BCLCTTRGT_06613!C50),"|",COLUMN(BCLCTTRGT_06613!C50),",0",",0")</f>
        <v>287286,50|3,0,0</v>
      </c>
      <c r="D50" t="str">
        <f>CONCATENATE(287329,",",ROW(BCLCTTRGT_06613!D50),"|",COLUMN(BCLCTTRGT_06613!D50),",0",",0")</f>
        <v>287329,50|4,0,0</v>
      </c>
      <c r="E50" t="str">
        <f>CONCATENATE(287466,",",ROW(BCLCTTRGT_06613!E50),"|",COLUMN(BCLCTTRGT_06613!E50),",0",",0")</f>
        <v>287466,50|5,0,0</v>
      </c>
    </row>
    <row r="51" spans="1:5" x14ac:dyDescent="0.25">
      <c r="A51" t="str">
        <f>CONCATENATE(287488,",",ROW(BCLCTTRGT_06613!A51),"|",COLUMN(BCLCTTRGT_06613!A51),",0",",0")</f>
        <v>287488,51|1,0,0</v>
      </c>
      <c r="B51" t="str">
        <f>CONCATENATE(287535,",",ROW(BCLCTTRGT_06613!B51),"|",COLUMN(BCLCTTRGT_06613!B51),",0",",0")</f>
        <v>287535,51|2,0,0</v>
      </c>
      <c r="C51" t="str">
        <f>CONCATENATE(287287,",",ROW(BCLCTTRGT_06613!C51),"|",COLUMN(BCLCTTRGT_06613!C51),",0",",0")</f>
        <v>287287,51|3,0,0</v>
      </c>
      <c r="D51" t="str">
        <f>CONCATENATE(287330,",",ROW(BCLCTTRGT_06613!D51),"|",COLUMN(BCLCTTRGT_06613!D51),",0",",0")</f>
        <v>287330,51|4,0,0</v>
      </c>
      <c r="E51" t="str">
        <f>CONCATENATE(287467,",",ROW(BCLCTTRGT_06613!E51),"|",COLUMN(BCLCTTRGT_06613!E51),",0",",0")</f>
        <v>287467,51|5,0,0</v>
      </c>
    </row>
    <row r="52" spans="1:5" x14ac:dyDescent="0.25">
      <c r="A52" t="str">
        <f>CONCATENATE(287428,",",ROW(BCLCTTRGT_06613!A52),"|",COLUMN(BCLCTTRGT_06613!A52),",0",",0")</f>
        <v>287428,52|1,0,0</v>
      </c>
      <c r="B52" t="s">
        <v>5</v>
      </c>
      <c r="C52" t="str">
        <f>CONCATENATE(287288,",",ROW(BCLCTTRGT_06613!C52),"|",COLUMN(BCLCTTRGT_06613!C52),",0",",0")</f>
        <v>287288,52|3,0,0</v>
      </c>
      <c r="D52" t="str">
        <f>CONCATENATE(287331,",",ROW(BCLCTTRGT_06613!D52),"|",COLUMN(BCLCTTRGT_06613!D52),",0",",0")</f>
        <v>287331,52|4,0,0</v>
      </c>
      <c r="E52" t="str">
        <f>CONCATENATE(287468,",",ROW(BCLCTTRGT_06613!E52),"|",COLUMN(BCLCTTRGT_06613!E52),",0",",0")</f>
        <v>287468,52|5,0,0</v>
      </c>
    </row>
    <row r="53" spans="1:5" x14ac:dyDescent="0.25">
      <c r="A53" t="str">
        <f>CONCATENATE(287526,",",ROW(BCLCTTRGT_06613!A53),"|",COLUMN(BCLCTTRGT_06613!A53),",0",",0")</f>
        <v>287526,53|1,0,0</v>
      </c>
      <c r="B53" t="str">
        <f>CONCATENATE(287301,",",ROW(BCLCTTRGT_06613!B53),"|",COLUMN(BCLCTTRGT_06613!B53),",0",",0")</f>
        <v>287301,53|2,0,0</v>
      </c>
      <c r="C53" t="str">
        <f>CONCATENATE(287289,",",ROW(BCLCTTRGT_06613!C53),"|",COLUMN(BCLCTTRGT_06613!C53),",0",",0")</f>
        <v>287289,53|3,0,0</v>
      </c>
      <c r="D53" t="str">
        <f>CONCATENATE(287332,",",ROW(BCLCTTRGT_06613!D53),"|",COLUMN(BCLCTTRGT_06613!D53),",0",",0")</f>
        <v>287332,53|4,0,0</v>
      </c>
      <c r="E53" t="str">
        <f>CONCATENATE(287469,",",ROW(BCLCTTRGT_06613!E53),"|",COLUMN(BCLCTTRGT_06613!E53),",0",",0")</f>
        <v>287469,53|5,0,0</v>
      </c>
    </row>
    <row r="54" spans="1:5" x14ac:dyDescent="0.25">
      <c r="A54" t="str">
        <f>CONCATENATE(287478,",",ROW(BCLCTTRGT_06613!A54),"|",COLUMN(BCLCTTRGT_06613!A54),",0",",0")</f>
        <v>287478,54|1,0,0</v>
      </c>
      <c r="B54" t="str">
        <f>CONCATENATE(287302,",",ROW(BCLCTTRGT_06613!B54),"|",COLUMN(BCLCTTRGT_06613!B54),",0",",0")</f>
        <v>287302,54|2,0,0</v>
      </c>
      <c r="C54" t="str">
        <f>CONCATENATE(287290,",",ROW(BCLCTTRGT_06613!C54),"|",COLUMN(BCLCTTRGT_06613!C54),",0",",0")</f>
        <v>287290,54|3,0,0</v>
      </c>
      <c r="D54" t="str">
        <f>CONCATENATE(287333,",",ROW(BCLCTTRGT_06613!D54),"|",COLUMN(BCLCTTRGT_06613!D54),",0",",0")</f>
        <v>287333,54|4,0,0</v>
      </c>
      <c r="E54" t="str">
        <f>CONCATENATE(287470,",",ROW(BCLCTTRGT_06613!E54),"|",COLUMN(BCLCTTRGT_06613!E54),",0",",0")</f>
        <v>287470,54|5,0,0</v>
      </c>
    </row>
    <row r="55" spans="1:5" x14ac:dyDescent="0.25">
      <c r="A55" t="str">
        <f>CONCATENATE(287409,",",ROW(BCLCTTRGT_06613!A55),"|",COLUMN(BCLCTTRGT_06613!A55),",0",",0")</f>
        <v>287409,55|1,0,0</v>
      </c>
      <c r="B55" t="str">
        <f>CONCATENATE(287425,",",ROW(BCLCTTRGT_06613!B55),"|",COLUMN(BCLCTTRGT_06613!B55),",0",",0")</f>
        <v>287425,55|2,0,0</v>
      </c>
      <c r="C55" t="str">
        <f>CONCATENATE(287291,",",ROW(BCLCTTRGT_06613!C55),"|",COLUMN(BCLCTTRGT_06613!C55),",0",",0")</f>
        <v>287291,55|3,0,0</v>
      </c>
      <c r="D55" t="str">
        <f>CONCATENATE(287334,",",ROW(BCLCTTRGT_06613!D55),"|",COLUMN(BCLCTTRGT_06613!D55),",0",",0")</f>
        <v>287334,55|4,0,0</v>
      </c>
      <c r="E55" t="str">
        <f>CONCATENATE(287575,",",ROW(BCLCTTRGT_06613!E55),"|",COLUMN(BCLCTTRGT_06613!E55),",0",",0")</f>
        <v>287575,55|5,0,0</v>
      </c>
    </row>
    <row r="56" spans="1:5" x14ac:dyDescent="0.25">
      <c r="A56" t="str">
        <f>CONCATENATE(287396,",",ROW(BCLCTTRGT_06613!A56),"|",COLUMN(BCLCTTRGT_06613!A56),",0",",0")</f>
        <v>287396,56|1,0,0</v>
      </c>
      <c r="B56" t="str">
        <f>CONCATENATE(287536,",",ROW(BCLCTTRGT_06613!B56),"|",COLUMN(BCLCTTRGT_06613!B56),",0",",0")</f>
        <v>287536,56|2,0,0</v>
      </c>
      <c r="C56" t="str">
        <f>CONCATENATE(287292,",",ROW(BCLCTTRGT_06613!C56),"|",COLUMN(BCLCTTRGT_06613!C56),",0",",0")</f>
        <v>287292,56|3,0,0</v>
      </c>
      <c r="D56" t="str">
        <f>CONCATENATE(287335,",",ROW(BCLCTTRGT_06613!D56),"|",COLUMN(BCLCTTRGT_06613!D56),",0",",0")</f>
        <v>287335,56|4,0,0</v>
      </c>
      <c r="E56" t="str">
        <f>CONCATENATE(287576,",",ROW(BCLCTTRGT_06613!E56),"|",COLUMN(BCLCTTRGT_06613!E56),",0",",0")</f>
        <v>287576,56|5,0,0</v>
      </c>
    </row>
    <row r="57" spans="1:5" x14ac:dyDescent="0.25">
      <c r="A57" t="str">
        <f>CONCATENATE(287351,",",ROW(BCLCTTRGT_06613!A57),"|",COLUMN(BCLCTTRGT_06613!A57),",0",",0")</f>
        <v>287351,57|1,0,0</v>
      </c>
      <c r="B57" t="str">
        <f>CONCATENATE(287537,",",ROW(BCLCTTRGT_06613!B57),"|",COLUMN(BCLCTTRGT_06613!B57),",0",",0")</f>
        <v>287537,57|2,0,0</v>
      </c>
      <c r="C57" t="str">
        <f>CONCATENATE(287293,",",ROW(BCLCTTRGT_06613!C57),"|",COLUMN(BCLCTTRGT_06613!C57),",0",",0")</f>
        <v>287293,57|3,0,0</v>
      </c>
      <c r="D57" t="str">
        <f>CONCATENATE(287336,",",ROW(BCLCTTRGT_06613!D57),"|",COLUMN(BCLCTTRGT_06613!D57),",0",",0")</f>
        <v>287336,57|4,0,0</v>
      </c>
      <c r="E57" t="str">
        <f>CONCATENATE(287577,",",ROW(BCLCTTRGT_06613!E57),"|",COLUMN(BCLCTTRGT_06613!E57),",0",",0")</f>
        <v>287577,57|5,0,0</v>
      </c>
    </row>
    <row r="58" spans="1:5" x14ac:dyDescent="0.25">
      <c r="A58" t="str">
        <f>CONCATENATE(287479,",",ROW(BCLCTTRGT_06613!A58),"|",COLUMN(BCLCTTRGT_06613!A58),",0",",0")</f>
        <v>287479,58|1,0,0</v>
      </c>
      <c r="B58" t="str">
        <f>CONCATENATE(287502,",",ROW(BCLCTTRGT_06613!B58),"|",COLUMN(BCLCTTRGT_06613!B58),",0",",0")</f>
        <v>287502,58|2,0,0</v>
      </c>
      <c r="C58" t="str">
        <f>CONCATENATE(287294,",",ROW(BCLCTTRGT_06613!C58),"|",COLUMN(BCLCTTRGT_06613!C58),",0",",0")</f>
        <v>287294,58|3,0,0</v>
      </c>
      <c r="D58" t="str">
        <f>CONCATENATE(287337,",",ROW(BCLCTTRGT_06613!D58),"|",COLUMN(BCLCTTRGT_06613!D58),",0",",0")</f>
        <v>287337,58|4,0,0</v>
      </c>
      <c r="E58" t="str">
        <f>CONCATENATE(287578,",",ROW(BCLCTTRGT_06613!E58),"|",COLUMN(BCLCTTRGT_06613!E58),",0",",0")</f>
        <v>287578,58|5,0,0</v>
      </c>
    </row>
    <row r="59" spans="1:5" x14ac:dyDescent="0.25">
      <c r="A59" t="str">
        <f>CONCATENATE(287509,",",ROW(BCLCTTRGT_06613!A59),"|",COLUMN(BCLCTTRGT_06613!A59),",0",",0")</f>
        <v>287509,59|1,0,0</v>
      </c>
      <c r="B59" t="s">
        <v>5</v>
      </c>
      <c r="C59" t="str">
        <f>CONCATENATE(287295,",",ROW(BCLCTTRGT_06613!C59),"|",COLUMN(BCLCTTRGT_06613!C59),",0",",0")</f>
        <v>287295,59|3,0,0</v>
      </c>
      <c r="D59" t="str">
        <f>CONCATENATE(287338,",",ROW(BCLCTTRGT_06613!D59),"|",COLUMN(BCLCTTRGT_06613!D59),",0",",0")</f>
        <v>287338,59|4,0,0</v>
      </c>
      <c r="E59" t="str">
        <f>CONCATENATE(287579,",",ROW(BCLCTTRGT_06613!E59),"|",COLUMN(BCLCTTRGT_06613!E59),",0",",0")</f>
        <v>287579,59|5,0,0</v>
      </c>
    </row>
    <row r="60" spans="1:5" x14ac:dyDescent="0.25">
      <c r="A60" t="str">
        <f>CONCATENATE(287510,",",ROW(BCLCTTRGT_06613!A60),"|",COLUMN(BCLCTTRGT_06613!A60),",0",",0")</f>
        <v>287510,60|1,0,0</v>
      </c>
      <c r="B60" t="str">
        <f>CONCATENATE(287426,",",ROW(BCLCTTRGT_06613!B60),"|",COLUMN(BCLCTTRGT_06613!B60),",0",",0")</f>
        <v>287426,60|2,0,0</v>
      </c>
      <c r="C60" t="str">
        <f>CONCATENATE(287307,",",ROW(BCLCTTRGT_06613!C60),"|",COLUMN(BCLCTTRGT_06613!C60),",0",",0")</f>
        <v>287307,60|3,0,0</v>
      </c>
      <c r="D60" t="str">
        <f>CONCATENATE(287339,",",ROW(BCLCTTRGT_06613!D60),"|",COLUMN(BCLCTTRGT_06613!D60),",0",",0")</f>
        <v>287339,60|4,0,0</v>
      </c>
      <c r="E60" t="str">
        <f>CONCATENATE(287580,",",ROW(BCLCTTRGT_06613!E60),"|",COLUMN(BCLCTTRGT_06613!E60),",0",",0")</f>
        <v>287580,60|5,0,0</v>
      </c>
    </row>
    <row r="61" spans="1:5" x14ac:dyDescent="0.25">
      <c r="A61" t="str">
        <f>CONCATENATE(287489,",",ROW(BCLCTTRGT_06613!A61),"|",COLUMN(BCLCTTRGT_06613!A61),",0",",0")</f>
        <v>287489,61|1,0,0</v>
      </c>
      <c r="B61" t="str">
        <f>CONCATENATE(287303,",",ROW(BCLCTTRGT_06613!B61),"|",COLUMN(BCLCTTRGT_06613!B61),",0",",0")</f>
        <v>287303,61|2,0,0</v>
      </c>
      <c r="C61" t="str">
        <f>CONCATENATE(287308,",",ROW(BCLCTTRGT_06613!C61),"|",COLUMN(BCLCTTRGT_06613!C61),",0",",0")</f>
        <v>287308,61|3,0,0</v>
      </c>
      <c r="D61" t="str">
        <f>CONCATENATE(287340,",",ROW(BCLCTTRGT_06613!D61),"|",COLUMN(BCLCTTRGT_06613!D61),",0",",0")</f>
        <v>287340,61|4,0,0</v>
      </c>
      <c r="E61" t="str">
        <f>CONCATENATE(287581,",",ROW(BCLCTTRGT_06613!E61),"|",COLUMN(BCLCTTRGT_06613!E61),",0",",0")</f>
        <v>287581,61|5,0,0</v>
      </c>
    </row>
    <row r="62" spans="1:5" x14ac:dyDescent="0.25">
      <c r="A62" t="str">
        <f>CONCATENATE(287527,",",ROW(BCLCTTRGT_06613!A62),"|",COLUMN(BCLCTTRGT_06613!A62),",0",",0")</f>
        <v>287527,62|1,0,0</v>
      </c>
      <c r="B62" t="str">
        <f>CONCATENATE(287485,",",ROW(BCLCTTRGT_06613!B62),"|",COLUMN(BCLCTTRGT_06613!B62),",0",",0")</f>
        <v>287485,62|2,0,0</v>
      </c>
      <c r="C62" t="str">
        <f>CONCATENATE(287309,",",ROW(BCLCTTRGT_06613!C62),"|",COLUMN(BCLCTTRGT_06613!C62),",0",",0")</f>
        <v>287309,62|3,0,0</v>
      </c>
      <c r="D62" t="str">
        <f>CONCATENATE(287341,",",ROW(BCLCTTRGT_06613!D62),"|",COLUMN(BCLCTTRGT_06613!D62),",0",",0")</f>
        <v>287341,62|4,0,0</v>
      </c>
      <c r="E62" t="str">
        <f>CONCATENATE(287582,",",ROW(BCLCTTRGT_06613!E62),"|",COLUMN(BCLCTTRGT_06613!E62),",0",",0")</f>
        <v>287582,62|5,0,0</v>
      </c>
    </row>
    <row r="63" spans="1:5" x14ac:dyDescent="0.25">
      <c r="A63" t="str">
        <f>CONCATENATE(287352,",",ROW(BCLCTTRGT_06613!A63),"|",COLUMN(BCLCTTRGT_06613!A63),",0",",0")</f>
        <v>287352,63|1,0,0</v>
      </c>
      <c r="B63" t="str">
        <f>CONCATENATE(287304,",",ROW(BCLCTTRGT_06613!B63),"|",COLUMN(BCLCTTRGT_06613!B63),",0",",0")</f>
        <v>287304,63|2,0,0</v>
      </c>
      <c r="C63" t="str">
        <f>CONCATENATE(287310,",",ROW(BCLCTTRGT_06613!C63),"|",COLUMN(BCLCTTRGT_06613!C63),",0",",0")</f>
        <v>287310,63|3,0,0</v>
      </c>
      <c r="D63" t="str">
        <f>CONCATENATE(287342,",",ROW(BCLCTTRGT_06613!D63),"|",COLUMN(BCLCTTRGT_06613!D63),",0",",0")</f>
        <v>287342,63|4,0,0</v>
      </c>
      <c r="E63" t="str">
        <f>CONCATENATE(287583,",",ROW(BCLCTTRGT_06613!E63),"|",COLUMN(BCLCTTRGT_06613!E63),",0",",0")</f>
        <v>287583,63|5,0,0</v>
      </c>
    </row>
    <row r="64" spans="1:5" x14ac:dyDescent="0.25">
      <c r="A64" t="str">
        <f>CONCATENATE(287490,",",ROW(BCLCTTRGT_06613!A64),"|",COLUMN(BCLCTTRGT_06613!A64),",0",",0")</f>
        <v>287490,64|1,0,0</v>
      </c>
      <c r="B64" t="str">
        <f>CONCATENATE(287538,",",ROW(BCLCTTRGT_06613!B64),"|",COLUMN(BCLCTTRGT_06613!B64),",0",",0")</f>
        <v>287538,64|2,0,0</v>
      </c>
      <c r="C64" t="str">
        <f>CONCATENATE(287311,",",ROW(BCLCTTRGT_06613!C64),"|",COLUMN(BCLCTTRGT_06613!C64),",0",",0")</f>
        <v>287311,64|3,0,0</v>
      </c>
      <c r="D64" t="str">
        <f>CONCATENATE(287343,",",ROW(BCLCTTRGT_06613!D64),"|",COLUMN(BCLCTTRGT_06613!D64),",0",",0")</f>
        <v>287343,64|4,0,0</v>
      </c>
      <c r="E64" t="str">
        <f>CONCATENATE(287584,",",ROW(BCLCTTRGT_06613!E64),"|",COLUMN(BCLCTTRGT_06613!E64),",0",",0")</f>
        <v>287584,64|5,0,0</v>
      </c>
    </row>
    <row r="65" spans="1:5" x14ac:dyDescent="0.25">
      <c r="A65" t="str">
        <f>CONCATENATE(287491,",",ROW(BCLCTTRGT_06613!A65),"|",COLUMN(BCLCTTRGT_06613!A65),",0",",0")</f>
        <v>287491,65|1,0,0</v>
      </c>
      <c r="B65" t="str">
        <f>CONCATENATE(287524,",",ROW(BCLCTTRGT_06613!B65),"|",COLUMN(BCLCTTRGT_06613!B65),",0",",0")</f>
        <v>287524,65|2,0,0</v>
      </c>
      <c r="C65" t="str">
        <f>CONCATENATE(287312,",",ROW(BCLCTTRGT_06613!C65),"|",COLUMN(BCLCTTRGT_06613!C65),",0",",0")</f>
        <v>287312,65|3,0,0</v>
      </c>
      <c r="D65" t="str">
        <f>CONCATENATE(287344,",",ROW(BCLCTTRGT_06613!D65),"|",COLUMN(BCLCTTRGT_06613!D65),",0",",0")</f>
        <v>287344,65|4,0,0</v>
      </c>
      <c r="E65" t="str">
        <f>CONCATENATE(287585,",",ROW(BCLCTTRGT_06613!E65),"|",COLUMN(BCLCTTRGT_06613!E65),",0",",0")</f>
        <v>287585,65|5,0,0</v>
      </c>
    </row>
    <row r="66" spans="1:5" x14ac:dyDescent="0.25">
      <c r="A66" t="str">
        <f>CONCATENATE(287492,",",ROW(BCLCTTRGT_06613!A66),"|",COLUMN(BCLCTTRGT_06613!A66),",0",",0")</f>
        <v>287492,66|1,0,0</v>
      </c>
      <c r="B66" t="str">
        <f>CONCATENATE(287503,",",ROW(BCLCTTRGT_06613!B66),"|",COLUMN(BCLCTTRGT_06613!B66),",0",",0")</f>
        <v>287503,66|2,0,0</v>
      </c>
      <c r="C66" t="str">
        <f>CONCATENATE(287313,",",ROW(BCLCTTRGT_06613!C66),"|",COLUMN(BCLCTTRGT_06613!C66),",0",",0")</f>
        <v>287313,66|3,0,0</v>
      </c>
      <c r="D66" t="str">
        <f>CONCATENATE(287345,",",ROW(BCLCTTRGT_06613!D66),"|",COLUMN(BCLCTTRGT_06613!D66),",0",",0")</f>
        <v>287345,66|4,0,0</v>
      </c>
      <c r="E66" t="str">
        <f>CONCATENATE(287586,",",ROW(BCLCTTRGT_06613!E66),"|",COLUMN(BCLCTTRGT_06613!E66),",0",",0")</f>
        <v>287586,66|5,0,0</v>
      </c>
    </row>
    <row r="67" spans="1:5" x14ac:dyDescent="0.25">
      <c r="A67" t="str">
        <f>CONCATENATE(287493,",",ROW(BCLCTTRGT_06613!A67),"|",COLUMN(BCLCTTRGT_06613!A67),",0",",0")</f>
        <v>287493,67|1,0,0</v>
      </c>
      <c r="B67" t="str">
        <f>CONCATENATE(287305,",",ROW(BCLCTTRGT_06613!B67),"|",COLUMN(BCLCTTRGT_06613!B67),",0",",0")</f>
        <v>287305,67|2,0,0</v>
      </c>
      <c r="C67" t="str">
        <f>CONCATENATE(287314,",",ROW(BCLCTTRGT_06613!C67),"|",COLUMN(BCLCTTRGT_06613!C67),",0",",0")</f>
        <v>287314,67|3,0,0</v>
      </c>
      <c r="D67" t="str">
        <f>CONCATENATE(287346,",",ROW(BCLCTTRGT_06613!D67),"|",COLUMN(BCLCTTRGT_06613!D67),",0",",0")</f>
        <v>287346,67|4,0,0</v>
      </c>
      <c r="E67" t="str">
        <f>CONCATENATE(287587,",",ROW(BCLCTTRGT_06613!E67),"|",COLUMN(BCLCTTRGT_06613!E67),",0",",0")</f>
        <v>287587,67|5,0,0</v>
      </c>
    </row>
    <row r="68" spans="1:5" x14ac:dyDescent="0.25">
      <c r="A68" t="str">
        <f>CONCATENATE(287429,",",ROW(BCLCTTRGT_06613!A68),"|",COLUMN(BCLCTTRGT_06613!A68),",0",",0")</f>
        <v>287429,68|1,0,0</v>
      </c>
      <c r="B68" t="str">
        <f>CONCATENATE(287401,",",ROW(BCLCTTRGT_06613!B68),"|",COLUMN(BCLCTTRGT_06613!B68),",0",",0")</f>
        <v>287401,68|2,0,0</v>
      </c>
      <c r="C68" t="str">
        <f>CONCATENATE(287315,",",ROW(BCLCTTRGT_06613!C68),"|",COLUMN(BCLCTTRGT_06613!C68),",0",",0")</f>
        <v>287315,68|3,0,0</v>
      </c>
      <c r="D68" t="str">
        <f>CONCATENATE(287347,",",ROW(BCLCTTRGT_06613!D68),"|",COLUMN(BCLCTTRGT_06613!D68),",0",",0")</f>
        <v>287347,68|4,0,0</v>
      </c>
      <c r="E68" t="str">
        <f>CONCATENATE(287588,",",ROW(BCLCTTRGT_06613!E68),"|",COLUMN(BCLCTTRGT_06613!E68),",0",",0")</f>
        <v>287588,68|5,0,0</v>
      </c>
    </row>
    <row r="69" spans="1:5" x14ac:dyDescent="0.25">
      <c r="A69" t="str">
        <f>CONCATENATE(287597,",",ROW(BCLCTTRGT_06613!A69),"|",COLUMN(BCLCTTRGT_06613!A69),",0",",0")</f>
        <v>287597,69|1,0,0</v>
      </c>
      <c r="B69" t="str">
        <f>CONCATENATE(287539,",",ROW(BCLCTTRGT_06613!B69),"|",COLUMN(BCLCTTRGT_06613!B69),",0",",0")</f>
        <v>287539,69|2,0,0</v>
      </c>
      <c r="C69" t="str">
        <f>CONCATENATE(287316,",",ROW(BCLCTTRGT_06613!C69),"|",COLUMN(BCLCTTRGT_06613!C69),",0",",0")</f>
        <v>287316,69|3,0,0</v>
      </c>
      <c r="D69" t="str">
        <f>CONCATENATE(287356,",",ROW(BCLCTTRGT_06613!D69),"|",COLUMN(BCLCTTRGT_06613!D69),",0",",0")</f>
        <v>287356,69|4,0,0</v>
      </c>
      <c r="E69" t="str">
        <f>CONCATENATE(287589,",",ROW(BCLCTTRGT_06613!E69),"|",COLUMN(BCLCTTRGT_06613!E69),",0",",0")</f>
        <v>287589,69|5,0,0</v>
      </c>
    </row>
    <row r="70" spans="1:5" x14ac:dyDescent="0.25">
      <c r="A70" t="str">
        <f>CONCATENATE(287410,",",ROW(BCLCTTRGT_06613!A70),"|",COLUMN(BCLCTTRGT_06613!A70),",0",",0")</f>
        <v>287410,70|1,0,0</v>
      </c>
      <c r="B70" t="str">
        <f>CONCATENATE(287486,",",ROW(BCLCTTRGT_06613!B70),"|",COLUMN(BCLCTTRGT_06613!B70),",0",",0")</f>
        <v>287486,70|2,0,0</v>
      </c>
      <c r="C70" t="str">
        <f>CONCATENATE(287317,",",ROW(BCLCTTRGT_06613!C70),"|",COLUMN(BCLCTTRGT_06613!C70),",0",",0")</f>
        <v>287317,70|3,0,0</v>
      </c>
      <c r="D70" t="str">
        <f>CONCATENATE(287357,",",ROW(BCLCTTRGT_06613!D70),"|",COLUMN(BCLCTTRGT_06613!D70),",0",",0")</f>
        <v>287357,70|4,0,0</v>
      </c>
      <c r="E70" t="str">
        <f>CONCATENATE(287590,",",ROW(BCLCTTRGT_06613!E70),"|",COLUMN(BCLCTTRGT_06613!E70),",0",",0")</f>
        <v>287590,70|5,0,0</v>
      </c>
    </row>
    <row r="71" spans="1:5" x14ac:dyDescent="0.25">
      <c r="A71" t="str">
        <f>CONCATENATE(287494,",",ROW(BCLCTTRGT_06613!A71),"|",COLUMN(BCLCTTRGT_06613!A71),",0",",0")</f>
        <v>287494,71|1,0,0</v>
      </c>
      <c r="B71" t="str">
        <f>CONCATENATE(287504,",",ROW(BCLCTTRGT_06613!B71),"|",COLUMN(BCLCTTRGT_06613!B71),",0",",0")</f>
        <v>287504,71|2,0,0</v>
      </c>
      <c r="C71" t="str">
        <f>CONCATENATE(287318,",",ROW(BCLCTTRGT_06613!C71),"|",COLUMN(BCLCTTRGT_06613!C71),",0",",0")</f>
        <v>287318,71|3,0,0</v>
      </c>
      <c r="D71" t="str">
        <f>CONCATENATE(287358,",",ROW(BCLCTTRGT_06613!D71),"|",COLUMN(BCLCTTRGT_06613!D71),",0",",0")</f>
        <v>287358,71|4,0,0</v>
      </c>
      <c r="E71" t="str">
        <f>CONCATENATE(287591,",",ROW(BCLCTTRGT_06613!E71),"|",COLUMN(BCLCTTRGT_06613!E71),",0",",0")</f>
        <v>287591,71|5,0,0</v>
      </c>
    </row>
    <row r="72" spans="1:5" x14ac:dyDescent="0.25">
      <c r="A72" t="str">
        <f>CONCATENATE(287516,",",ROW(BCLCTTRGT_06613!A72),"|",COLUMN(BCLCTTRGT_06613!A72),",0",",0")</f>
        <v>287516,72|1,0,0</v>
      </c>
      <c r="B72" t="str">
        <f>CONCATENATE(287505,",",ROW(BCLCTTRGT_06613!B72),"|",COLUMN(BCLCTTRGT_06613!B72),",0",",0")</f>
        <v>287505,72|2,0,0</v>
      </c>
      <c r="C72" t="str">
        <f>CONCATENATE(287319,",",ROW(BCLCTTRGT_06613!C72),"|",COLUMN(BCLCTTRGT_06613!C72),",0",",0")</f>
        <v>287319,72|3,0,0</v>
      </c>
      <c r="D72" t="str">
        <f>CONCATENATE(287359,",",ROW(BCLCTTRGT_06613!D72),"|",COLUMN(BCLCTTRGT_06613!D72),",0",",0")</f>
        <v>287359,72|4,0,0</v>
      </c>
      <c r="E72" t="str">
        <f>CONCATENATE(287592,",",ROW(BCLCTTRGT_06613!E72),"|",COLUMN(BCLCTTRGT_06613!E72),",0",",0")</f>
        <v>287592,72|5,0,0</v>
      </c>
    </row>
    <row r="73" spans="1:5" x14ac:dyDescent="0.25">
      <c r="A73" t="str">
        <f>CONCATENATE(287517,",",ROW(BCLCTTRGT_06613!A73),"|",COLUMN(BCLCTTRGT_06613!A73),",0",",0")</f>
        <v>287517,73|1,0,0</v>
      </c>
      <c r="B73" t="str">
        <f>CONCATENATE(287506,",",ROW(BCLCTTRGT_06613!B73),"|",COLUMN(BCLCTTRGT_06613!B73),",0",",0")</f>
        <v>287506,73|2,0,0</v>
      </c>
      <c r="C73" t="str">
        <f>CONCATENATE(287320,",",ROW(BCLCTTRGT_06613!C73),"|",COLUMN(BCLCTTRGT_06613!C73),",0",",0")</f>
        <v>287320,73|3,0,0</v>
      </c>
      <c r="D73" t="str">
        <f>CONCATENATE(287360,",",ROW(BCLCTTRGT_06613!D73),"|",COLUMN(BCLCTTRGT_06613!D73),",0",",0")</f>
        <v>287360,73|4,0,0</v>
      </c>
      <c r="E73" t="str">
        <f>CONCATENATE(287593,",",ROW(BCLCTTRGT_06613!E73),"|",COLUMN(BCLCTTRGT_06613!E73),",0",",0")</f>
        <v>287593,73|5,0,0</v>
      </c>
    </row>
    <row r="74" spans="1:5" x14ac:dyDescent="0.25">
      <c r="A74" t="str">
        <f>CONCATENATE(287511,",",ROW(BCLCTTRGT_06613!A74),"|",COLUMN(BCLCTTRGT_06613!A74),",0",",0")</f>
        <v>287511,74|1,0,0</v>
      </c>
      <c r="B74" t="str">
        <f>CONCATENATE(287306,",",ROW(BCLCTTRGT_06613!B74),"|",COLUMN(BCLCTTRGT_06613!B74),",0",",0")</f>
        <v>287306,74|2,0,0</v>
      </c>
      <c r="C74" t="str">
        <f>CONCATENATE(287321,",",ROW(BCLCTTRGT_06613!C74),"|",COLUMN(BCLCTTRGT_06613!C74),",0",",0")</f>
        <v>287321,74|3,0,0</v>
      </c>
      <c r="D74" t="str">
        <f>CONCATENATE(287361,",",ROW(BCLCTTRGT_06613!D74),"|",COLUMN(BCLCTTRGT_06613!D74),",0",",0")</f>
        <v>287361,74|4,0,0</v>
      </c>
      <c r="E74" t="str">
        <f>CONCATENATE(287594,",",ROW(BCLCTTRGT_06613!E74),"|",COLUMN(BCLCTTRGT_06613!E74),",0",",0")</f>
        <v>287594,74|5,0,0</v>
      </c>
    </row>
    <row r="75" spans="1:5" x14ac:dyDescent="0.25">
      <c r="A75" t="str">
        <f>CONCATENATE(287353,",",ROW(BCLCTTRGT_06613!A75),"|",COLUMN(BCLCTTRGT_06613!A75),",0",",0")</f>
        <v>287353,75|1,0,0</v>
      </c>
      <c r="B75" t="str">
        <f>CONCATENATE(287487,",",ROW(BCLCTTRGT_06613!B75),"|",COLUMN(BCLCTTRGT_06613!B75),",0",",0")</f>
        <v>287487,75|2,0,0</v>
      </c>
      <c r="C75" t="str">
        <f>CONCATENATE(287599,",",ROW(BCLCTTRGT_06613!C75),"|",COLUMN(BCLCTTRGT_06613!C75),",0",",0")</f>
        <v>287599,75|3,0,0</v>
      </c>
      <c r="D75" t="str">
        <f>CONCATENATE(287362,",",ROW(BCLCTTRGT_06613!D75),"|",COLUMN(BCLCTTRGT_06613!D75),",0",",0")</f>
        <v>287362,75|4,0,0</v>
      </c>
      <c r="E75" t="str">
        <f>CONCATENATE(287595,",",ROW(BCLCTTRGT_06613!E75),"|",COLUMN(BCLCTTRGT_06613!E75),",0",",0")</f>
        <v>287595,75|5,0,0</v>
      </c>
    </row>
    <row r="76" spans="1:5" x14ac:dyDescent="0.25">
      <c r="A76" t="str">
        <f>CONCATENATE(287296,",",ROW(BCLCTTRGT_06613!A76),"|",COLUMN(BCLCTTRGT_06613!A76),",0",",0")</f>
        <v>287296,76|1,0,0</v>
      </c>
      <c r="B76" t="str">
        <f>CONCATENATE(287430,",",ROW(BCLCTTRGT_06613!B76),"|",COLUMN(BCLCTTRGT_06613!B76),",0",",0")</f>
        <v>287430,76|2,0,0</v>
      </c>
      <c r="C76" t="str">
        <f>CONCATENATE(287601,",",ROW(BCLCTTRGT_06613!C76),"|",COLUMN(BCLCTTRGT_06613!C76),",0",",0")</f>
        <v>287601,76|3,0,0</v>
      </c>
      <c r="D76" t="str">
        <f>CONCATENATE(287364,",",ROW(BCLCTTRGT_06613!D76),"|",COLUMN(BCLCTTRGT_06613!D76),",0",",0")</f>
        <v>287364,76|4,0,0</v>
      </c>
      <c r="E76" t="str">
        <f>CONCATENATE(287598,",",ROW(BCLCTTRGT_06613!E76),"|",COLUMN(BCLCTTRGT_06613!E76),",0",",0")</f>
        <v>287598,76|5,0,0</v>
      </c>
    </row>
    <row r="77" spans="1:5" x14ac:dyDescent="0.25">
      <c r="A77" t="str">
        <f>CONCATENATE(287512,",",ROW(BCLCTTRGT_06613!A77),"|",COLUMN(BCLCTTRGT_06613!A77),",0",",0")</f>
        <v>287512,77|1,0,0</v>
      </c>
      <c r="B77" t="str">
        <f>CONCATENATE(287508,",",ROW(BCLCTTRGT_06613!B77),"|",COLUMN(BCLCTTRGT_06613!B77),",0",",0")</f>
        <v>287508,77|2,0,0</v>
      </c>
      <c r="C77" t="str">
        <f>CONCATENATE(287602,",",ROW(BCLCTTRGT_06613!C77),"|",COLUMN(BCLCTTRGT_06613!C77),",0",",0")</f>
        <v>287602,77|3,0,0</v>
      </c>
      <c r="D77" t="str">
        <f>CONCATENATE(287365,",",ROW(BCLCTTRGT_06613!D77),"|",COLUMN(BCLCTTRGT_06613!D77),",0",",0")</f>
        <v>287365,77|4,0,0</v>
      </c>
      <c r="E77" t="str">
        <f>CONCATENATE(287270,",",ROW(BCLCTTRGT_06613!E77),"|",COLUMN(BCLCTTRGT_06613!E77),",0",",0")</f>
        <v>287270,77|5,0,0</v>
      </c>
    </row>
    <row r="78" spans="1:5" x14ac:dyDescent="0.25">
      <c r="A78" t="str">
        <f>CONCATENATE(287480,",",ROW(BCLCTTRGT_06613!A78),"|",COLUMN(BCLCTTRGT_06613!A78),",0",",0")</f>
        <v>287480,78|1,0,0</v>
      </c>
      <c r="B78" t="str">
        <f>CONCATENATE(287507,",",ROW(BCLCTTRGT_06613!B78),"|",COLUMN(BCLCTTRGT_06613!B78),",0",",0")</f>
        <v>287507,78|2,0,0</v>
      </c>
      <c r="C78" t="str">
        <f>CONCATENATE(287600,",",ROW(BCLCTTRGT_06613!C78),"|",COLUMN(BCLCTTRGT_06613!C78),",0",",0")</f>
        <v>287600,78|3,0,0</v>
      </c>
      <c r="D78" t="str">
        <f>CONCATENATE(287363,",",ROW(BCLCTTRGT_06613!D78),"|",COLUMN(BCLCTTRGT_06613!D78),",0",",0")</f>
        <v>287363,78|4,0,0</v>
      </c>
      <c r="E78" t="str">
        <f>CONCATENATE(287596,",",ROW(BCLCTTRGT_06613!E78),"|",COLUMN(BCLCTTRGT_06613!E78),",0",",0")</f>
        <v>287596,78|5,0,0</v>
      </c>
    </row>
    <row r="79" spans="1:5" x14ac:dyDescent="0.25">
      <c r="A79" t="str">
        <f>CONCATENATE(287449,",",ROW(BCLCTTRGT_06613!A79),"|",COLUMN(BCLCTTRGT_06613!A79),",0",",0")</f>
        <v>287449,79|1,0,0</v>
      </c>
      <c r="B79" t="str">
        <f>CONCATENATE(287612,",",ROW(BCLCTTRGT_06613!B79),"|",COLUMN(BCLCTTRGT_06613!B79),",0",",0")</f>
        <v>287612,79|2,0,0</v>
      </c>
      <c r="C79" t="str">
        <f>CONCATENATE(287566,",",ROW(BCLCTTRGT_06613!C79),"|",COLUMN(BCLCTTRGT_06613!C79),",0",",0")</f>
        <v>287566,79|3,0,0</v>
      </c>
      <c r="D79" t="str">
        <f>CONCATENATE(287394,",",ROW(BCLCTTRGT_06613!D79),"|",COLUMN(BCLCTTRGT_06613!D79),",0",",0")</f>
        <v>287394,79|4,0,0</v>
      </c>
      <c r="E79" t="str">
        <f>CONCATENATE(287265,",",ROW(BCLCTTRGT_06613!E79),"|",COLUMN(BCLCTTRGT_06613!E79),",0",",0")</f>
        <v>287265,79|5,0,0</v>
      </c>
    </row>
    <row r="80" spans="1:5" x14ac:dyDescent="0.25">
      <c r="A80" t="str">
        <f>CONCATENATE(287267,",",ROW(BCLCTTRGT_06613!A80),"|",COLUMN(BCLCTTRGT_06613!A80),",0",",0")</f>
        <v>287267,80|1,0,0</v>
      </c>
      <c r="B80" t="str">
        <f>CONCATENATE(287268,",",ROW(BCLCTTRGT_06613!B80),"|",COLUMN(BCLCTTRGT_06613!B80),",0",",0")</f>
        <v>287268,80|2,0,0</v>
      </c>
      <c r="C80" t="str">
        <f>CONCATENATE(287567,",",ROW(BCLCTTRGT_06613!C80),"|",COLUMN(BCLCTTRGT_06613!C80),",0",",0")</f>
        <v>287567,80|3,0,0</v>
      </c>
      <c r="D80" t="str">
        <f>CONCATENATE(287395,",",ROW(BCLCTTRGT_06613!D80),"|",COLUMN(BCLCTTRGT_06613!D80),",0",",0")</f>
        <v>287395,80|4,0,0</v>
      </c>
      <c r="E80" t="str">
        <f>CONCATENATE(287266,",",ROW(BCLCTTRGT_06613!E80),"|",COLUMN(BCLCTTRGT_06613!E80),",0",",0")</f>
        <v>287266,80|5,0,0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40"/>
  <sheetViews>
    <sheetView workbookViewId="0">
      <selection sqref="A1:E1"/>
    </sheetView>
  </sheetViews>
  <sheetFormatPr defaultRowHeight="15" x14ac:dyDescent="0.25"/>
  <cols>
    <col min="1" max="1" width="31.28515625" bestFit="1" customWidth="1"/>
    <col min="2" max="5" width="26.140625" bestFit="1" customWidth="1"/>
  </cols>
  <sheetData>
    <row r="1" spans="1:5" ht="20.25" x14ac:dyDescent="0.3">
      <c r="A1" s="2002" t="s">
        <v>21</v>
      </c>
      <c r="B1" s="2002" t="s">
        <v>5</v>
      </c>
      <c r="C1" s="2002" t="s">
        <v>5</v>
      </c>
      <c r="D1" s="2002" t="s">
        <v>5</v>
      </c>
      <c r="E1" s="2002" t="s">
        <v>5</v>
      </c>
    </row>
    <row r="2" spans="1:5" ht="18.75" x14ac:dyDescent="0.25">
      <c r="A2" s="1407" t="s">
        <v>394</v>
      </c>
      <c r="B2" s="1407" t="s">
        <v>39</v>
      </c>
      <c r="C2" s="1407" t="s">
        <v>40</v>
      </c>
      <c r="D2" s="1407" t="s">
        <v>395</v>
      </c>
      <c r="E2" s="1407" t="s">
        <v>396</v>
      </c>
    </row>
    <row r="3" spans="1:5" ht="16.5" x14ac:dyDescent="0.25">
      <c r="A3" s="1533" t="s">
        <v>186</v>
      </c>
      <c r="B3" s="1527" t="s">
        <v>144</v>
      </c>
      <c r="C3" s="1455" t="s">
        <v>116</v>
      </c>
      <c r="D3" s="1457" t="s">
        <v>286</v>
      </c>
      <c r="E3" s="1529" t="s">
        <v>117</v>
      </c>
    </row>
    <row r="4" spans="1:5" ht="66" x14ac:dyDescent="0.25">
      <c r="A4" s="1515" t="s">
        <v>606</v>
      </c>
      <c r="B4" s="1406" t="s">
        <v>5</v>
      </c>
      <c r="C4" s="1583"/>
      <c r="D4" s="1541" t="s">
        <v>5</v>
      </c>
      <c r="E4" s="1569" t="s">
        <v>5</v>
      </c>
    </row>
    <row r="5" spans="1:5" ht="49.5" x14ac:dyDescent="0.25">
      <c r="A5" s="1493" t="s">
        <v>608</v>
      </c>
      <c r="B5" s="1477" t="s">
        <v>286</v>
      </c>
      <c r="C5" s="1424"/>
      <c r="D5" s="1562" t="s">
        <v>5</v>
      </c>
      <c r="E5" s="1553" t="s">
        <v>5</v>
      </c>
    </row>
    <row r="6" spans="1:5" ht="49.5" x14ac:dyDescent="0.25">
      <c r="A6" s="1436" t="s">
        <v>587</v>
      </c>
      <c r="B6" s="1454" t="s">
        <v>117</v>
      </c>
      <c r="C6" s="1422"/>
      <c r="D6" s="1518" t="s">
        <v>5</v>
      </c>
      <c r="E6" s="1499" t="s">
        <v>5</v>
      </c>
    </row>
    <row r="7" spans="1:5" ht="49.5" x14ac:dyDescent="0.25">
      <c r="A7" s="1437" t="s">
        <v>603</v>
      </c>
      <c r="B7" s="1456" t="s">
        <v>348</v>
      </c>
      <c r="C7" s="1423"/>
      <c r="D7" s="1519" t="s">
        <v>5</v>
      </c>
      <c r="E7" s="1500" t="s">
        <v>5</v>
      </c>
    </row>
    <row r="8" spans="1:5" ht="49.5" x14ac:dyDescent="0.25">
      <c r="A8" s="1438" t="s">
        <v>708</v>
      </c>
      <c r="B8" s="1442" t="s">
        <v>349</v>
      </c>
      <c r="C8" s="1572"/>
      <c r="D8" s="1557" t="s">
        <v>5</v>
      </c>
      <c r="E8" s="1548" t="s">
        <v>5</v>
      </c>
    </row>
    <row r="9" spans="1:5" ht="49.5" x14ac:dyDescent="0.25">
      <c r="A9" s="1459" t="s">
        <v>609</v>
      </c>
      <c r="B9" s="1448" t="s">
        <v>308</v>
      </c>
      <c r="C9" s="1573"/>
      <c r="D9" s="1558" t="s">
        <v>5</v>
      </c>
      <c r="E9" s="1549" t="s">
        <v>5</v>
      </c>
    </row>
    <row r="10" spans="1:5" ht="49.5" x14ac:dyDescent="0.25">
      <c r="A10" s="1460" t="s">
        <v>598</v>
      </c>
      <c r="B10" s="1449" t="s">
        <v>351</v>
      </c>
      <c r="C10" s="1574"/>
      <c r="D10" s="1559" t="s">
        <v>5</v>
      </c>
      <c r="E10" s="1550" t="s">
        <v>5</v>
      </c>
    </row>
    <row r="11" spans="1:5" ht="49.5" x14ac:dyDescent="0.25">
      <c r="A11" s="1470" t="s">
        <v>607</v>
      </c>
      <c r="B11" s="1464" t="s">
        <v>352</v>
      </c>
      <c r="C11" s="1579"/>
      <c r="D11" s="1565" t="s">
        <v>5</v>
      </c>
      <c r="E11" s="1556" t="s">
        <v>5</v>
      </c>
    </row>
    <row r="12" spans="1:5" ht="66" x14ac:dyDescent="0.25">
      <c r="A12" s="1461" t="s">
        <v>710</v>
      </c>
      <c r="B12" s="1450" t="s">
        <v>309</v>
      </c>
      <c r="C12" s="1575"/>
      <c r="D12" s="1560" t="s">
        <v>5</v>
      </c>
      <c r="E12" s="1551" t="s">
        <v>5</v>
      </c>
    </row>
    <row r="13" spans="1:5" ht="66" x14ac:dyDescent="0.25">
      <c r="A13" s="1530" t="s">
        <v>718</v>
      </c>
      <c r="B13" s="1465" t="s">
        <v>371</v>
      </c>
      <c r="C13" s="1427"/>
      <c r="D13" s="1522" t="s">
        <v>5</v>
      </c>
      <c r="E13" s="1542" t="s">
        <v>5</v>
      </c>
    </row>
    <row r="14" spans="1:5" ht="49.5" x14ac:dyDescent="0.25">
      <c r="A14" s="1471" t="s">
        <v>713</v>
      </c>
      <c r="B14" s="1466" t="s">
        <v>367</v>
      </c>
      <c r="C14" s="1580"/>
      <c r="D14" s="1538" t="s">
        <v>5</v>
      </c>
      <c r="E14" s="1566" t="s">
        <v>5</v>
      </c>
    </row>
    <row r="15" spans="1:5" ht="33" x14ac:dyDescent="0.25">
      <c r="A15" s="1462" t="s">
        <v>711</v>
      </c>
      <c r="B15" s="1451" t="s">
        <v>353</v>
      </c>
      <c r="C15" s="1576"/>
      <c r="D15" s="1561" t="s">
        <v>5</v>
      </c>
      <c r="E15" s="1552" t="s">
        <v>5</v>
      </c>
    </row>
    <row r="16" spans="1:5" ht="49.5" x14ac:dyDescent="0.25">
      <c r="A16" s="1472" t="s">
        <v>714</v>
      </c>
      <c r="B16" s="1432" t="s">
        <v>310</v>
      </c>
      <c r="C16" s="1494"/>
      <c r="D16" s="1488" t="s">
        <v>5</v>
      </c>
      <c r="E16" s="1544" t="s">
        <v>5</v>
      </c>
    </row>
    <row r="17" spans="1:5" ht="49.5" x14ac:dyDescent="0.25">
      <c r="A17" s="1473" t="s">
        <v>715</v>
      </c>
      <c r="B17" s="1481" t="s">
        <v>311</v>
      </c>
      <c r="C17" s="1582"/>
      <c r="D17" s="1540" t="s">
        <v>5</v>
      </c>
      <c r="E17" s="1568" t="s">
        <v>5</v>
      </c>
    </row>
    <row r="18" spans="1:5" ht="49.5" x14ac:dyDescent="0.25">
      <c r="A18" s="1525" t="s">
        <v>717</v>
      </c>
      <c r="B18" s="1491" t="s">
        <v>686</v>
      </c>
      <c r="C18" s="1425"/>
      <c r="D18" s="1520" t="s">
        <v>5</v>
      </c>
      <c r="E18" s="1501" t="s">
        <v>5</v>
      </c>
    </row>
    <row r="19" spans="1:5" ht="49.5" x14ac:dyDescent="0.25">
      <c r="A19" s="1463" t="s">
        <v>712</v>
      </c>
      <c r="B19" s="1492" t="s">
        <v>681</v>
      </c>
      <c r="C19" s="1426"/>
      <c r="D19" s="1521" t="s">
        <v>5</v>
      </c>
      <c r="E19" s="1502" t="s">
        <v>5</v>
      </c>
    </row>
    <row r="20" spans="1:5" ht="51.75" x14ac:dyDescent="0.25">
      <c r="A20" s="1534" t="s">
        <v>719</v>
      </c>
      <c r="B20" s="1486" t="s">
        <v>541</v>
      </c>
      <c r="C20" s="1419"/>
      <c r="D20" s="1514" t="s">
        <v>5</v>
      </c>
      <c r="E20" s="1595" t="s">
        <v>5</v>
      </c>
    </row>
    <row r="21" spans="1:5" ht="66" x14ac:dyDescent="0.25">
      <c r="A21" s="1535" t="s">
        <v>589</v>
      </c>
      <c r="B21" s="1467" t="s">
        <v>551</v>
      </c>
      <c r="C21" s="1581"/>
      <c r="D21" s="1539" t="s">
        <v>5</v>
      </c>
      <c r="E21" s="1567" t="s">
        <v>5</v>
      </c>
    </row>
    <row r="22" spans="1:5" ht="33" x14ac:dyDescent="0.25">
      <c r="A22" s="1536" t="s">
        <v>590</v>
      </c>
      <c r="B22" s="1433" t="s">
        <v>552</v>
      </c>
      <c r="C22" s="1495"/>
      <c r="D22" s="1489" t="s">
        <v>5</v>
      </c>
      <c r="E22" s="1545" t="s">
        <v>5</v>
      </c>
    </row>
    <row r="23" spans="1:5" ht="49.5" x14ac:dyDescent="0.25">
      <c r="A23" s="1458" t="s">
        <v>591</v>
      </c>
      <c r="B23" s="1434" t="s">
        <v>542</v>
      </c>
      <c r="C23" s="1496"/>
      <c r="D23" s="1490" t="s">
        <v>5</v>
      </c>
      <c r="E23" s="1546" t="s">
        <v>5</v>
      </c>
    </row>
    <row r="24" spans="1:5" ht="33" x14ac:dyDescent="0.25">
      <c r="A24" s="1528" t="s">
        <v>592</v>
      </c>
      <c r="B24" s="1452" t="s">
        <v>542</v>
      </c>
      <c r="C24" s="1420"/>
      <c r="D24" s="1516" t="s">
        <v>5</v>
      </c>
      <c r="E24" s="1497" t="s">
        <v>5</v>
      </c>
    </row>
    <row r="25" spans="1:5" ht="33" x14ac:dyDescent="0.25">
      <c r="A25" s="1439" t="s">
        <v>611</v>
      </c>
      <c r="B25" s="1468" t="s">
        <v>539</v>
      </c>
      <c r="C25" s="1577"/>
      <c r="D25" s="1563" t="s">
        <v>5</v>
      </c>
      <c r="E25" s="1554" t="s">
        <v>5</v>
      </c>
    </row>
    <row r="26" spans="1:5" ht="49.5" x14ac:dyDescent="0.25">
      <c r="A26" s="1474" t="s">
        <v>605</v>
      </c>
      <c r="B26" s="1435" t="s">
        <v>594</v>
      </c>
      <c r="C26" s="1571"/>
      <c r="D26" s="1570" t="s">
        <v>5</v>
      </c>
      <c r="E26" s="1547" t="s">
        <v>5</v>
      </c>
    </row>
    <row r="27" spans="1:5" ht="49.5" x14ac:dyDescent="0.25">
      <c r="A27" s="1453" t="s">
        <v>709</v>
      </c>
      <c r="B27" s="1482" t="s">
        <v>595</v>
      </c>
      <c r="C27" s="1421"/>
      <c r="D27" s="1517" t="s">
        <v>5</v>
      </c>
      <c r="E27" s="1498" t="s">
        <v>5</v>
      </c>
    </row>
    <row r="28" spans="1:5" ht="33" x14ac:dyDescent="0.25">
      <c r="A28" s="1531" t="s">
        <v>592</v>
      </c>
      <c r="B28" s="1485" t="s">
        <v>595</v>
      </c>
      <c r="C28" s="1418"/>
      <c r="D28" s="1513" t="s">
        <v>5</v>
      </c>
      <c r="E28" s="1594" t="s">
        <v>5</v>
      </c>
    </row>
    <row r="29" spans="1:5" ht="33" x14ac:dyDescent="0.25">
      <c r="A29" s="1440" t="s">
        <v>565</v>
      </c>
      <c r="B29" s="1469" t="s">
        <v>612</v>
      </c>
      <c r="C29" s="1578"/>
      <c r="D29" s="1564" t="s">
        <v>5</v>
      </c>
      <c r="E29" s="1555" t="s">
        <v>5</v>
      </c>
    </row>
    <row r="30" spans="1:5" ht="49.5" x14ac:dyDescent="0.25">
      <c r="A30" s="1429" t="s">
        <v>538</v>
      </c>
      <c r="B30" s="1478" t="s">
        <v>577</v>
      </c>
      <c r="C30" s="1428"/>
      <c r="D30" s="1487" t="s">
        <v>5</v>
      </c>
      <c r="E30" s="1543" t="s">
        <v>5</v>
      </c>
    </row>
    <row r="31" spans="1:5" ht="66" x14ac:dyDescent="0.25">
      <c r="A31" s="1430" t="s">
        <v>707</v>
      </c>
      <c r="B31" s="1523" t="s">
        <v>578</v>
      </c>
      <c r="C31" s="1408"/>
      <c r="D31" s="1503" t="s">
        <v>5</v>
      </c>
      <c r="E31" s="1584" t="s">
        <v>5</v>
      </c>
    </row>
    <row r="32" spans="1:5" ht="33" x14ac:dyDescent="0.25">
      <c r="A32" s="1441" t="s">
        <v>586</v>
      </c>
      <c r="B32" s="1479" t="s">
        <v>599</v>
      </c>
      <c r="C32" s="1409"/>
      <c r="D32" s="1504" t="s">
        <v>5</v>
      </c>
      <c r="E32" s="1585" t="s">
        <v>5</v>
      </c>
    </row>
    <row r="33" spans="1:5" ht="49.5" x14ac:dyDescent="0.25">
      <c r="A33" s="1443" t="s">
        <v>591</v>
      </c>
      <c r="B33" s="1483" t="s">
        <v>579</v>
      </c>
      <c r="C33" s="1410"/>
      <c r="D33" s="1505" t="s">
        <v>5</v>
      </c>
      <c r="E33" s="1586" t="s">
        <v>5</v>
      </c>
    </row>
    <row r="34" spans="1:5" ht="33" x14ac:dyDescent="0.25">
      <c r="A34" s="1431" t="s">
        <v>592</v>
      </c>
      <c r="B34" s="1524" t="s">
        <v>579</v>
      </c>
      <c r="C34" s="1411"/>
      <c r="D34" s="1506" t="s">
        <v>5</v>
      </c>
      <c r="E34" s="1587" t="s">
        <v>5</v>
      </c>
    </row>
    <row r="35" spans="1:5" ht="33" x14ac:dyDescent="0.25">
      <c r="A35" s="1444" t="s">
        <v>611</v>
      </c>
      <c r="B35" s="1484" t="s">
        <v>580</v>
      </c>
      <c r="C35" s="1412"/>
      <c r="D35" s="1507" t="s">
        <v>5</v>
      </c>
      <c r="E35" s="1588" t="s">
        <v>5</v>
      </c>
    </row>
    <row r="36" spans="1:5" ht="49.5" x14ac:dyDescent="0.25">
      <c r="A36" s="1445" t="s">
        <v>605</v>
      </c>
      <c r="B36" s="1480" t="s">
        <v>601</v>
      </c>
      <c r="C36" s="1413"/>
      <c r="D36" s="1508" t="s">
        <v>5</v>
      </c>
      <c r="E36" s="1589" t="s">
        <v>5</v>
      </c>
    </row>
    <row r="37" spans="1:5" ht="49.5" x14ac:dyDescent="0.25">
      <c r="A37" s="1475" t="s">
        <v>716</v>
      </c>
      <c r="B37" s="1596" t="s">
        <v>602</v>
      </c>
      <c r="C37" s="1414"/>
      <c r="D37" s="1509" t="s">
        <v>5</v>
      </c>
      <c r="E37" s="1590" t="s">
        <v>5</v>
      </c>
    </row>
    <row r="38" spans="1:5" ht="33" x14ac:dyDescent="0.25">
      <c r="A38" s="1476" t="s">
        <v>592</v>
      </c>
      <c r="B38" s="1532" t="s">
        <v>602</v>
      </c>
      <c r="C38" s="1415"/>
      <c r="D38" s="1510" t="s">
        <v>5</v>
      </c>
      <c r="E38" s="1591" t="s">
        <v>5</v>
      </c>
    </row>
    <row r="39" spans="1:5" ht="33" x14ac:dyDescent="0.25">
      <c r="A39" s="1446" t="s">
        <v>565</v>
      </c>
      <c r="B39" s="1537" t="s">
        <v>581</v>
      </c>
      <c r="C39" s="1416"/>
      <c r="D39" s="1511" t="s">
        <v>5</v>
      </c>
      <c r="E39" s="1592" t="s">
        <v>5</v>
      </c>
    </row>
    <row r="40" spans="1:5" ht="49.5" x14ac:dyDescent="0.25">
      <c r="A40" s="1447" t="s">
        <v>701</v>
      </c>
      <c r="B40" s="1526" t="s">
        <v>596</v>
      </c>
      <c r="C40" s="1417"/>
      <c r="D40" s="1512" t="s">
        <v>5</v>
      </c>
      <c r="E40" s="1593" t="s">
        <v>5</v>
      </c>
    </row>
  </sheetData>
  <mergeCells count="1">
    <mergeCell ref="A1:E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3:E40"/>
  <sheetViews>
    <sheetView workbookViewId="0"/>
  </sheetViews>
  <sheetFormatPr defaultRowHeight="15" x14ac:dyDescent="0.25"/>
  <cols>
    <col min="1" max="1" width="1" style="40" bestFit="1" customWidth="1"/>
    <col min="2" max="5" width="1" bestFit="1" customWidth="1"/>
  </cols>
  <sheetData>
    <row r="3" spans="1:5" x14ac:dyDescent="0.25">
      <c r="A3" t="str">
        <f>CONCATENATE(286516,",",ROW(PLCTTHDMGUTCKHGT_06614!A3),"|",COLUMN(PLCTTHDMGUTCKHGT_06614!A3),",0",",0")</f>
        <v>286516,3|1,0,0</v>
      </c>
      <c r="B3" t="str">
        <f>CONCATENATE(286510,",",ROW(PLCTTHDMGUTCKHGT_06614!B3),"|",COLUMN(PLCTTHDMGUTCKHGT_06614!B3),",0",",0")</f>
        <v>286510,3|2,0,0</v>
      </c>
      <c r="C3" t="str">
        <f>CONCATENATE(286471,",",ROW(PLCTTHDMGUTCKHGT_06614!C3),"|",COLUMN(PLCTTHDMGUTCKHGT_06614!C3),",0",",0")</f>
        <v>286471,3|3,0,0</v>
      </c>
      <c r="D3" t="str">
        <f>CONCATENATE(286473,",",ROW(PLCTTHDMGUTCKHGT_06614!D3),"|",COLUMN(PLCTTHDMGUTCKHGT_06614!D3),",0",",0")</f>
        <v>286473,3|4,0,0</v>
      </c>
      <c r="E3" t="str">
        <f>CONCATENATE(286512,",",ROW(PLCTTHDMGUTCKHGT_06614!E3),"|",COLUMN(PLCTTHDMGUTCKHGT_06614!E3),",0",",0")</f>
        <v>286512,3|5,0,0</v>
      </c>
    </row>
    <row r="4" spans="1:5" x14ac:dyDescent="0.25">
      <c r="A4" t="str">
        <f>CONCATENATE(286498,",",ROW(PLCTTHDMGUTCKHGT_06614!A4),"|",COLUMN(PLCTTHDMGUTCKHGT_06614!A4),",0",",0")</f>
        <v>286498,4|1,0,0</v>
      </c>
      <c r="B4" t="s">
        <v>5</v>
      </c>
      <c r="C4" t="str">
        <f>CONCATENATE(286390,",",ROW(PLCTTHDMGUTCKHGT_06614!C4),"|",COLUMN(PLCTTHDMGUTCKHGT_06614!C4),",0",",0")</f>
        <v>286390,4|3,0,0</v>
      </c>
      <c r="D4" t="str">
        <f>CONCATENATE(286357,",",ROW(PLCTTHDMGUTCKHGT_06614!D4),"|",COLUMN(PLCTTHDMGUTCKHGT_06614!D4),",0",",0")</f>
        <v>286357,4|4,0,0</v>
      </c>
      <c r="E4" t="str">
        <f>CONCATENATE(286376,",",ROW(PLCTTHDMGUTCKHGT_06614!E4),"|",COLUMN(PLCTTHDMGUTCKHGT_06614!E4),",0",",0")</f>
        <v>286376,4|5,0,0</v>
      </c>
    </row>
    <row r="5" spans="1:5" x14ac:dyDescent="0.25">
      <c r="A5" t="str">
        <f>CONCATENATE(286476,",",ROW(PLCTTHDMGUTCKHGT_06614!A5),"|",COLUMN(PLCTTHDMGUTCKHGT_06614!A5),",0",",0")</f>
        <v>286476,5|1,0,0</v>
      </c>
      <c r="B5" t="str">
        <f>CONCATENATE(286458,",",ROW(PLCTTHDMGUTCKHGT_06614!B5),"|",COLUMN(PLCTTHDMGUTCKHGT_06614!B5),",0",",0")</f>
        <v>286458,5|2,0,0</v>
      </c>
      <c r="C5" t="str">
        <f>CONCATENATE(286421,",",ROW(PLCTTHDMGUTCKHGT_06614!C5),"|",COLUMN(PLCTTHDMGUTCKHGT_06614!C5),",0",",0")</f>
        <v>286421,5|3,0,0</v>
      </c>
      <c r="D5" t="str">
        <f>CONCATENATE(286350,",",ROW(PLCTTHDMGUTCKHGT_06614!D5),"|",COLUMN(PLCTTHDMGUTCKHGT_06614!D5),",0",",0")</f>
        <v>286350,5|4,0,0</v>
      </c>
      <c r="E5" t="str">
        <f>CONCATENATE(286369,",",ROW(PLCTTHDMGUTCKHGT_06614!E5),"|",COLUMN(PLCTTHDMGUTCKHGT_06614!E5),",0",",0")</f>
        <v>286369,5|5,0,0</v>
      </c>
    </row>
    <row r="6" spans="1:5" x14ac:dyDescent="0.25">
      <c r="A6" t="str">
        <f>CONCATENATE(286433,",",ROW(PLCTTHDMGUTCKHGT_06614!A6),"|",COLUMN(PLCTTHDMGUTCKHGT_06614!A6),",0",",0")</f>
        <v>286433,6|1,0,0</v>
      </c>
      <c r="B6" t="str">
        <f>CONCATENATE(286470,",",ROW(PLCTTHDMGUTCKHGT_06614!B6),"|",COLUMN(PLCTTHDMGUTCKHGT_06614!B6),",0",",0")</f>
        <v>286470,6|2,0,0</v>
      </c>
      <c r="C6" t="str">
        <f>CONCATENATE(286419,",",ROW(PLCTTHDMGUTCKHGT_06614!C6),"|",COLUMN(PLCTTHDMGUTCKHGT_06614!C6),",0",",0")</f>
        <v>286419,6|3,0,0</v>
      </c>
      <c r="D6" t="str">
        <f>CONCATENATE(286501,",",ROW(PLCTTHDMGUTCKHGT_06614!D6),"|",COLUMN(PLCTTHDMGUTCKHGT_06614!D6),",0",",0")</f>
        <v>286501,6|4,0,0</v>
      </c>
      <c r="E6" t="str">
        <f>CONCATENATE(286482,",",ROW(PLCTTHDMGUTCKHGT_06614!E6),"|",COLUMN(PLCTTHDMGUTCKHGT_06614!E6),",0",",0")</f>
        <v>286482,6|5,0,0</v>
      </c>
    </row>
    <row r="7" spans="1:5" x14ac:dyDescent="0.25">
      <c r="A7" t="str">
        <f>CONCATENATE(286434,",",ROW(PLCTTHDMGUTCKHGT_06614!A7),"|",COLUMN(PLCTTHDMGUTCKHGT_06614!A7),",0",",0")</f>
        <v>286434,7|1,0,0</v>
      </c>
      <c r="B7" t="str">
        <f>CONCATENATE(286472,",",ROW(PLCTTHDMGUTCKHGT_06614!B7),"|",COLUMN(PLCTTHDMGUTCKHGT_06614!B7),",0",",0")</f>
        <v>286472,7|2,0,0</v>
      </c>
      <c r="C7" t="str">
        <f>CONCATENATE(286420,",",ROW(PLCTTHDMGUTCKHGT_06614!C7),"|",COLUMN(PLCTTHDMGUTCKHGT_06614!C7),",0",",0")</f>
        <v>286420,7|3,0,0</v>
      </c>
      <c r="D7" t="str">
        <f>CONCATENATE(286502,",",ROW(PLCTTHDMGUTCKHGT_06614!D7),"|",COLUMN(PLCTTHDMGUTCKHGT_06614!D7),",0",",0")</f>
        <v>286502,7|4,0,0</v>
      </c>
      <c r="E7" t="str">
        <f>CONCATENATE(286483,",",ROW(PLCTTHDMGUTCKHGT_06614!E7),"|",COLUMN(PLCTTHDMGUTCKHGT_06614!E7),",0",",0")</f>
        <v>286483,7|5,0,0</v>
      </c>
    </row>
    <row r="8" spans="1:5" x14ac:dyDescent="0.25">
      <c r="A8" t="str">
        <f>CONCATENATE(286435,",",ROW(PLCTTHDMGUTCKHGT_06614!A8),"|",COLUMN(PLCTTHDMGUTCKHGT_06614!A8),",0",",0")</f>
        <v>286435,8|1,0,0</v>
      </c>
      <c r="B8" t="str">
        <f>CONCATENATE(286439,",",ROW(PLCTTHDMGUTCKHGT_06614!B8),"|",COLUMN(PLCTTHDMGUTCKHGT_06614!B8),",0",",0")</f>
        <v>286439,8|2,0,0</v>
      </c>
      <c r="C8" t="str">
        <f>CONCATENATE(286379,",",ROW(PLCTTHDMGUTCKHGT_06614!C8),"|",COLUMN(PLCTTHDMGUTCKHGT_06614!C8),",0",",0")</f>
        <v>286379,8|3,0,0</v>
      </c>
      <c r="D8" t="str">
        <f>CONCATENATE(286345,",",ROW(PLCTTHDMGUTCKHGT_06614!D8),"|",COLUMN(PLCTTHDMGUTCKHGT_06614!D8),",0",",0")</f>
        <v>286345,8|4,0,0</v>
      </c>
      <c r="E8" t="str">
        <f>CONCATENATE(286364,",",ROW(PLCTTHDMGUTCKHGT_06614!E8),"|",COLUMN(PLCTTHDMGUTCKHGT_06614!E8),",0",",0")</f>
        <v>286364,8|5,0,0</v>
      </c>
    </row>
    <row r="9" spans="1:5" x14ac:dyDescent="0.25">
      <c r="A9" t="str">
        <f>CONCATENATE(286440,",",ROW(PLCTTHDMGUTCKHGT_06614!A9),"|",COLUMN(PLCTTHDMGUTCKHGT_06614!A9),",0",",0")</f>
        <v>286440,9|1,0,0</v>
      </c>
      <c r="B9" t="str">
        <f>CONCATENATE(286526,",",ROW(PLCTTHDMGUTCKHGT_06614!B9),"|",COLUMN(PLCTTHDMGUTCKHGT_06614!B9),",0",",0")</f>
        <v>286526,9|2,0,0</v>
      </c>
      <c r="C9" t="str">
        <f>CONCATENATE(286380,",",ROW(PLCTTHDMGUTCKHGT_06614!C9),"|",COLUMN(PLCTTHDMGUTCKHGT_06614!C9),",0",",0")</f>
        <v>286380,9|3,0,0</v>
      </c>
      <c r="D9" t="str">
        <f>CONCATENATE(286346,",",ROW(PLCTTHDMGUTCKHGT_06614!D9),"|",COLUMN(PLCTTHDMGUTCKHGT_06614!D9),",0",",0")</f>
        <v>286346,9|4,0,0</v>
      </c>
      <c r="E9" t="str">
        <f>CONCATENATE(286365,",",ROW(PLCTTHDMGUTCKHGT_06614!E9),"|",COLUMN(PLCTTHDMGUTCKHGT_06614!E9),",0",",0")</f>
        <v>286365,9|5,0,0</v>
      </c>
    </row>
    <row r="10" spans="1:5" x14ac:dyDescent="0.25">
      <c r="A10" t="str">
        <f>CONCATENATE(286441,",",ROW(PLCTTHDMGUTCKHGT_06614!A10),"|",COLUMN(PLCTTHDMGUTCKHGT_06614!A10),",0",",0")</f>
        <v>286441,10|1,0,0</v>
      </c>
      <c r="B10" t="str">
        <f>CONCATENATE(286527,",",ROW(PLCTTHDMGUTCKHGT_06614!B10),"|",COLUMN(PLCTTHDMGUTCKHGT_06614!B10),",0",",0")</f>
        <v>286527,10|2,0,0</v>
      </c>
      <c r="C10" t="str">
        <f>CONCATENATE(286381,",",ROW(PLCTTHDMGUTCKHGT_06614!C10),"|",COLUMN(PLCTTHDMGUTCKHGT_06614!C10),",0",",0")</f>
        <v>286381,10|3,0,0</v>
      </c>
      <c r="D10" t="str">
        <f>CONCATENATE(286347,",",ROW(PLCTTHDMGUTCKHGT_06614!D10),"|",COLUMN(PLCTTHDMGUTCKHGT_06614!D10),",0",",0")</f>
        <v>286347,10|4,0,0</v>
      </c>
      <c r="E10" t="str">
        <f>CONCATENATE(286366,",",ROW(PLCTTHDMGUTCKHGT_06614!E10),"|",COLUMN(PLCTTHDMGUTCKHGT_06614!E10),",0",",0")</f>
        <v>286366,10|5,0,0</v>
      </c>
    </row>
    <row r="11" spans="1:5" x14ac:dyDescent="0.25">
      <c r="A11" t="str">
        <f>CONCATENATE(286451,",",ROW(PLCTTHDMGUTCKHGT_06614!A11),"|",COLUMN(PLCTTHDMGUTCKHGT_06614!A11),",0",",0")</f>
        <v>286451,11|1,0,0</v>
      </c>
      <c r="B11" t="str">
        <f>CONCATENATE(286445,",",ROW(PLCTTHDMGUTCKHGT_06614!B11),"|",COLUMN(PLCTTHDMGUTCKHGT_06614!B11),",0",",0")</f>
        <v>286445,11|2,0,0</v>
      </c>
      <c r="C11" t="str">
        <f>CONCATENATE(286386,",",ROW(PLCTTHDMGUTCKHGT_06614!C11),"|",COLUMN(PLCTTHDMGUTCKHGT_06614!C11),",0",",0")</f>
        <v>286386,11|3,0,0</v>
      </c>
      <c r="D11" t="str">
        <f>CONCATENATE(286353,",",ROW(PLCTTHDMGUTCKHGT_06614!D11),"|",COLUMN(PLCTTHDMGUTCKHGT_06614!D11),",0",",0")</f>
        <v>286353,11|4,0,0</v>
      </c>
      <c r="E11" t="str">
        <f>CONCATENATE(286372,",",ROW(PLCTTHDMGUTCKHGT_06614!E11),"|",COLUMN(PLCTTHDMGUTCKHGT_06614!E11),",0",",0")</f>
        <v>286372,11|5,0,0</v>
      </c>
    </row>
    <row r="12" spans="1:5" x14ac:dyDescent="0.25">
      <c r="A12" t="str">
        <f>CONCATENATE(286442,",",ROW(PLCTTHDMGUTCKHGT_06614!A12),"|",COLUMN(PLCTTHDMGUTCKHGT_06614!A12),",0",",0")</f>
        <v>286442,12|1,0,0</v>
      </c>
      <c r="B12" t="str">
        <f>CONCATENATE(286528,",",ROW(PLCTTHDMGUTCKHGT_06614!B12),"|",COLUMN(PLCTTHDMGUTCKHGT_06614!B12),",0",",0")</f>
        <v>286528,12|2,0,0</v>
      </c>
      <c r="C12" t="str">
        <f>CONCATENATE(286382,",",ROW(PLCTTHDMGUTCKHGT_06614!C12),"|",COLUMN(PLCTTHDMGUTCKHGT_06614!C12),",0",",0")</f>
        <v>286382,12|3,0,0</v>
      </c>
      <c r="D12" t="str">
        <f>CONCATENATE(286348,",",ROW(PLCTTHDMGUTCKHGT_06614!D12),"|",COLUMN(PLCTTHDMGUTCKHGT_06614!D12),",0",",0")</f>
        <v>286348,12|4,0,0</v>
      </c>
      <c r="E12" t="str">
        <f>CONCATENATE(286367,",",ROW(PLCTTHDMGUTCKHGT_06614!E12),"|",COLUMN(PLCTTHDMGUTCKHGT_06614!E12),",0",",0")</f>
        <v>286367,12|5,0,0</v>
      </c>
    </row>
    <row r="13" spans="1:5" x14ac:dyDescent="0.25">
      <c r="A13" t="str">
        <f>CONCATENATE(286513,",",ROW(PLCTTHDMGUTCKHGT_06614!A13),"|",COLUMN(PLCTTHDMGUTCKHGT_06614!A13),",0",",0")</f>
        <v>286513,13|1,0,0</v>
      </c>
      <c r="B13" t="str">
        <f>CONCATENATE(286446,",",ROW(PLCTTHDMGUTCKHGT_06614!B13),"|",COLUMN(PLCTTHDMGUTCKHGT_06614!B13),",0",",0")</f>
        <v>286446,13|2,0,0</v>
      </c>
      <c r="C13" t="str">
        <f>CONCATENATE(286424,",",ROW(PLCTTHDMGUTCKHGT_06614!C13),"|",COLUMN(PLCTTHDMGUTCKHGT_06614!C13),",0",",0")</f>
        <v>286424,13|3,0,0</v>
      </c>
      <c r="D13" t="str">
        <f>CONCATENATE(286505,",",ROW(PLCTTHDMGUTCKHGT_06614!D13),"|",COLUMN(PLCTTHDMGUTCKHGT_06614!D13),",0",",0")</f>
        <v>286505,13|4,0,0</v>
      </c>
      <c r="E13" t="str">
        <f>CONCATENATE(286358,",",ROW(PLCTTHDMGUTCKHGT_06614!E13),"|",COLUMN(PLCTTHDMGUTCKHGT_06614!E13),",0",",0")</f>
        <v>286358,13|5,0,0</v>
      </c>
    </row>
    <row r="14" spans="1:5" x14ac:dyDescent="0.25">
      <c r="A14" t="str">
        <f>CONCATENATE(286452,",",ROW(PLCTTHDMGUTCKHGT_06614!A14),"|",COLUMN(PLCTTHDMGUTCKHGT_06614!A14),",0",",0")</f>
        <v>286452,14|1,0,0</v>
      </c>
      <c r="B14" t="str">
        <f>CONCATENATE(286447,",",ROW(PLCTTHDMGUTCKHGT_06614!B14),"|",COLUMN(PLCTTHDMGUTCKHGT_06614!B14),",0",",0")</f>
        <v>286447,14|2,0,0</v>
      </c>
      <c r="C14" t="str">
        <f>CONCATENATE(286387,",",ROW(PLCTTHDMGUTCKHGT_06614!C14),"|",COLUMN(PLCTTHDMGUTCKHGT_06614!C14),",0",",0")</f>
        <v>286387,14|3,0,0</v>
      </c>
      <c r="D14" t="str">
        <f>CONCATENATE(286354,",",ROW(PLCTTHDMGUTCKHGT_06614!D14),"|",COLUMN(PLCTTHDMGUTCKHGT_06614!D14),",0",",0")</f>
        <v>286354,14|4,0,0</v>
      </c>
      <c r="E14" t="str">
        <f>CONCATENATE(286373,",",ROW(PLCTTHDMGUTCKHGT_06614!E14),"|",COLUMN(PLCTTHDMGUTCKHGT_06614!E14),",0",",0")</f>
        <v>286373,14|5,0,0</v>
      </c>
    </row>
    <row r="15" spans="1:5" x14ac:dyDescent="0.25">
      <c r="A15" t="str">
        <f>CONCATENATE(286443,",",ROW(PLCTTHDMGUTCKHGT_06614!A15),"|",COLUMN(PLCTTHDMGUTCKHGT_06614!A15),",0",",0")</f>
        <v>286443,15|1,0,0</v>
      </c>
      <c r="B15" t="str">
        <f>CONCATENATE(286529,",",ROW(PLCTTHDMGUTCKHGT_06614!B15),"|",COLUMN(PLCTTHDMGUTCKHGT_06614!B15),",0",",0")</f>
        <v>286529,15|2,0,0</v>
      </c>
      <c r="C15" t="str">
        <f>CONCATENATE(286383,",",ROW(PLCTTHDMGUTCKHGT_06614!C15),"|",COLUMN(PLCTTHDMGUTCKHGT_06614!C15),",0",",0")</f>
        <v>286383,15|3,0,0</v>
      </c>
      <c r="D15" t="str">
        <f>CONCATENATE(286349,",",ROW(PLCTTHDMGUTCKHGT_06614!D15),"|",COLUMN(PLCTTHDMGUTCKHGT_06614!D15),",0",",0")</f>
        <v>286349,15|4,0,0</v>
      </c>
      <c r="E15" t="str">
        <f>CONCATENATE(286368,",",ROW(PLCTTHDMGUTCKHGT_06614!E15),"|",COLUMN(PLCTTHDMGUTCKHGT_06614!E15),",0",",0")</f>
        <v>286368,15|5,0,0</v>
      </c>
    </row>
    <row r="16" spans="1:5" x14ac:dyDescent="0.25">
      <c r="A16" t="str">
        <f>CONCATENATE(286453,",",ROW(PLCTTHDMGUTCKHGT_06614!A16),"|",COLUMN(PLCTTHDMGUTCKHGT_06614!A16),",0",",0")</f>
        <v>286453,16|1,0,0</v>
      </c>
      <c r="B16" t="str">
        <f>CONCATENATE(286429,",",ROW(PLCTTHDMGUTCKHGT_06614!B16),"|",COLUMN(PLCTTHDMGUTCKHGT_06614!B16),",0",",0")</f>
        <v>286429,16|2,0,0</v>
      </c>
      <c r="C16" t="str">
        <f>CONCATENATE(286477,",",ROW(PLCTTHDMGUTCKHGT_06614!C16),"|",COLUMN(PLCTTHDMGUTCKHGT_06614!C16),",0",",0")</f>
        <v>286477,16|3,0,0</v>
      </c>
      <c r="D16" t="str">
        <f>CONCATENATE(286342,",",ROW(PLCTTHDMGUTCKHGT_06614!D16),"|",COLUMN(PLCTTHDMGUTCKHGT_06614!D16),",0",",0")</f>
        <v>286342,16|4,0,0</v>
      </c>
      <c r="E16" t="str">
        <f>CONCATENATE(286360,",",ROW(PLCTTHDMGUTCKHGT_06614!E16),"|",COLUMN(PLCTTHDMGUTCKHGT_06614!E16),",0",",0")</f>
        <v>286360,16|5,0,0</v>
      </c>
    </row>
    <row r="17" spans="1:5" x14ac:dyDescent="0.25">
      <c r="A17" t="str">
        <f>CONCATENATE(286454,",",ROW(PLCTTHDMGUTCKHGT_06614!A17),"|",COLUMN(PLCTTHDMGUTCKHGT_06614!A17),",0",",0")</f>
        <v>286454,17|1,0,0</v>
      </c>
      <c r="B17" t="str">
        <f>CONCATENATE(286462,",",ROW(PLCTTHDMGUTCKHGT_06614!B17),"|",COLUMN(PLCTTHDMGUTCKHGT_06614!B17),",0",",0")</f>
        <v>286462,17|2,0,0</v>
      </c>
      <c r="C17" t="str">
        <f>CONCATENATE(286389,",",ROW(PLCTTHDMGUTCKHGT_06614!C17),"|",COLUMN(PLCTTHDMGUTCKHGT_06614!C17),",0",",0")</f>
        <v>286389,17|3,0,0</v>
      </c>
      <c r="D17" t="str">
        <f>CONCATENATE(286356,",",ROW(PLCTTHDMGUTCKHGT_06614!D17),"|",COLUMN(PLCTTHDMGUTCKHGT_06614!D17),",0",",0")</f>
        <v>286356,17|4,0,0</v>
      </c>
      <c r="E17" t="str">
        <f>CONCATENATE(286375,",",ROW(PLCTTHDMGUTCKHGT_06614!E17),"|",COLUMN(PLCTTHDMGUTCKHGT_06614!E17),",0",",0")</f>
        <v>286375,17|5,0,0</v>
      </c>
    </row>
    <row r="18" spans="1:5" x14ac:dyDescent="0.25">
      <c r="A18" t="str">
        <f>CONCATENATE(286508,",",ROW(PLCTTHDMGUTCKHGT_06614!A18),"|",COLUMN(PLCTTHDMGUTCKHGT_06614!A18),",0",",0")</f>
        <v>286508,18|1,0,0</v>
      </c>
      <c r="B18" t="str">
        <f>CONCATENATE(286474,",",ROW(PLCTTHDMGUTCKHGT_06614!B18),"|",COLUMN(PLCTTHDMGUTCKHGT_06614!B18),",0",",0")</f>
        <v>286474,18|2,0,0</v>
      </c>
      <c r="C18" t="str">
        <f>CONCATENATE(286422,",",ROW(PLCTTHDMGUTCKHGT_06614!C18),"|",COLUMN(PLCTTHDMGUTCKHGT_06614!C18),",0",",0")</f>
        <v>286422,18|3,0,0</v>
      </c>
      <c r="D18" t="str">
        <f>CONCATENATE(286503,",",ROW(PLCTTHDMGUTCKHGT_06614!D18),"|",COLUMN(PLCTTHDMGUTCKHGT_06614!D18),",0",",0")</f>
        <v>286503,18|4,0,0</v>
      </c>
      <c r="E18" t="str">
        <f>CONCATENATE(286484,",",ROW(PLCTTHDMGUTCKHGT_06614!E18),"|",COLUMN(PLCTTHDMGUTCKHGT_06614!E18),",0",",0")</f>
        <v>286484,18|5,0,0</v>
      </c>
    </row>
    <row r="19" spans="1:5" x14ac:dyDescent="0.25">
      <c r="A19" t="str">
        <f>CONCATENATE(286444,",",ROW(PLCTTHDMGUTCKHGT_06614!A19),"|",COLUMN(PLCTTHDMGUTCKHGT_06614!A19),",0",",0")</f>
        <v>286444,19|1,0,0</v>
      </c>
      <c r="B19" t="str">
        <f>CONCATENATE(286475,",",ROW(PLCTTHDMGUTCKHGT_06614!B19),"|",COLUMN(PLCTTHDMGUTCKHGT_06614!B19),",0",",0")</f>
        <v>286475,19|2,0,0</v>
      </c>
      <c r="C19" t="str">
        <f>CONCATENATE(286423,",",ROW(PLCTTHDMGUTCKHGT_06614!C19),"|",COLUMN(PLCTTHDMGUTCKHGT_06614!C19),",0",",0")</f>
        <v>286423,19|3,0,0</v>
      </c>
      <c r="D19" t="str">
        <f>CONCATENATE(286504,",",ROW(PLCTTHDMGUTCKHGT_06614!D19),"|",COLUMN(PLCTTHDMGUTCKHGT_06614!D19),",0",",0")</f>
        <v>286504,19|4,0,0</v>
      </c>
      <c r="E19" t="str">
        <f>CONCATENATE(286485,",",ROW(PLCTTHDMGUTCKHGT_06614!E19),"|",COLUMN(PLCTTHDMGUTCKHGT_06614!E19),",0",",0")</f>
        <v>286485,19|5,0,0</v>
      </c>
    </row>
    <row r="20" spans="1:5" x14ac:dyDescent="0.25">
      <c r="A20" t="str">
        <f>CONCATENATE(286517,",",ROW(PLCTTHDMGUTCKHGT_06614!A20),"|",COLUMN(PLCTTHDMGUTCKHGT_06614!A20),",0",",0")</f>
        <v>286517,20|1,0,0</v>
      </c>
      <c r="B20" t="str">
        <f>CONCATENATE(286467,",",ROW(PLCTTHDMGUTCKHGT_06614!B20),"|",COLUMN(PLCTTHDMGUTCKHGT_06614!B20),",0",",0")</f>
        <v>286467,20|2,0,0</v>
      </c>
      <c r="C20" t="str">
        <f>CONCATENATE(286416,",",ROW(PLCTTHDMGUTCKHGT_06614!C20),"|",COLUMN(PLCTTHDMGUTCKHGT_06614!C20),",0",",0")</f>
        <v>286416,20|3,0,0</v>
      </c>
      <c r="D20" t="str">
        <f>CONCATENATE(286497,",",ROW(PLCTTHDMGUTCKHGT_06614!D20),"|",COLUMN(PLCTTHDMGUTCKHGT_06614!D20),",0",",0")</f>
        <v>286497,20|4,0,0</v>
      </c>
      <c r="E20" t="str">
        <f>CONCATENATE(286402,",",ROW(PLCTTHDMGUTCKHGT_06614!E20),"|",COLUMN(PLCTTHDMGUTCKHGT_06614!E20),",0",",0")</f>
        <v>286402,20|5,0,0</v>
      </c>
    </row>
    <row r="21" spans="1:5" x14ac:dyDescent="0.25">
      <c r="A21" t="str">
        <f>CONCATENATE(286518,",",ROW(PLCTTHDMGUTCKHGT_06614!A21),"|",COLUMN(PLCTTHDMGUTCKHGT_06614!A21),",0",",0")</f>
        <v>286518,21|1,0,0</v>
      </c>
      <c r="B21" t="str">
        <f>CONCATENATE(286448,",",ROW(PLCTTHDMGUTCKHGT_06614!B21),"|",COLUMN(PLCTTHDMGUTCKHGT_06614!B21),",0",",0")</f>
        <v>286448,21|2,0,0</v>
      </c>
      <c r="C21" t="str">
        <f>CONCATENATE(286388,",",ROW(PLCTTHDMGUTCKHGT_06614!C21),"|",COLUMN(PLCTTHDMGUTCKHGT_06614!C21),",0",",0")</f>
        <v>286388,21|3,0,0</v>
      </c>
      <c r="D21" t="str">
        <f>CONCATENATE(286355,",",ROW(PLCTTHDMGUTCKHGT_06614!D21),"|",COLUMN(PLCTTHDMGUTCKHGT_06614!D21),",0",",0")</f>
        <v>286355,21|4,0,0</v>
      </c>
      <c r="E21" t="str">
        <f>CONCATENATE(286374,",",ROW(PLCTTHDMGUTCKHGT_06614!E21),"|",COLUMN(PLCTTHDMGUTCKHGT_06614!E21),",0",",0")</f>
        <v>286374,21|5,0,0</v>
      </c>
    </row>
    <row r="22" spans="1:5" x14ac:dyDescent="0.25">
      <c r="A22" t="str">
        <f>CONCATENATE(286519,",",ROW(PLCTTHDMGUTCKHGT_06614!A22),"|",COLUMN(PLCTTHDMGUTCKHGT_06614!A22),",0",",0")</f>
        <v>286519,22|1,0,0</v>
      </c>
      <c r="B22" t="str">
        <f>CONCATENATE(286430,",",ROW(PLCTTHDMGUTCKHGT_06614!B22),"|",COLUMN(PLCTTHDMGUTCKHGT_06614!B22),",0",",0")</f>
        <v>286430,22|2,0,0</v>
      </c>
      <c r="C22" t="str">
        <f>CONCATENATE(286478,",",ROW(PLCTTHDMGUTCKHGT_06614!C22),"|",COLUMN(PLCTTHDMGUTCKHGT_06614!C22),",0",",0")</f>
        <v>286478,22|3,0,0</v>
      </c>
      <c r="D22" t="str">
        <f>CONCATENATE(286343,",",ROW(PLCTTHDMGUTCKHGT_06614!D22),"|",COLUMN(PLCTTHDMGUTCKHGT_06614!D22),",0",",0")</f>
        <v>286343,22|4,0,0</v>
      </c>
      <c r="E22" t="str">
        <f>CONCATENATE(286361,",",ROW(PLCTTHDMGUTCKHGT_06614!E22),"|",COLUMN(PLCTTHDMGUTCKHGT_06614!E22),",0",",0")</f>
        <v>286361,22|5,0,0</v>
      </c>
    </row>
    <row r="23" spans="1:5" x14ac:dyDescent="0.25">
      <c r="A23" t="str">
        <f>CONCATENATE(286520,",",ROW(PLCTTHDMGUTCKHGT_06614!A23),"|",COLUMN(PLCTTHDMGUTCKHGT_06614!A23),",0",",0")</f>
        <v>286520,23|1,0,0</v>
      </c>
      <c r="B23" t="str">
        <f>CONCATENATE(286431,",",ROW(PLCTTHDMGUTCKHGT_06614!B23),"|",COLUMN(PLCTTHDMGUTCKHGT_06614!B23),",0",",0")</f>
        <v>286431,23|2,0,0</v>
      </c>
      <c r="C23" t="str">
        <f>CONCATENATE(286479,",",ROW(PLCTTHDMGUTCKHGT_06614!C23),"|",COLUMN(PLCTTHDMGUTCKHGT_06614!C23),",0",",0")</f>
        <v>286479,23|3,0,0</v>
      </c>
      <c r="D23" t="str">
        <f>CONCATENATE(286344,",",ROW(PLCTTHDMGUTCKHGT_06614!D23),"|",COLUMN(PLCTTHDMGUTCKHGT_06614!D23),",0",",0")</f>
        <v>286344,23|4,0,0</v>
      </c>
      <c r="E23" t="str">
        <f>CONCATENATE(286362,",",ROW(PLCTTHDMGUTCKHGT_06614!E23),"|",COLUMN(PLCTTHDMGUTCKHGT_06614!E23),",0",",0")</f>
        <v>286362,23|5,0,0</v>
      </c>
    </row>
    <row r="24" spans="1:5" x14ac:dyDescent="0.25">
      <c r="A24" t="str">
        <f>CONCATENATE(286511,",",ROW(PLCTTHDMGUTCKHGT_06614!A24),"|",COLUMN(PLCTTHDMGUTCKHGT_06614!A24),",0",",0")</f>
        <v>286511,24|1,0,0</v>
      </c>
      <c r="B24" t="str">
        <f>CONCATENATE(286468,",",ROW(PLCTTHDMGUTCKHGT_06614!B24),"|",COLUMN(PLCTTHDMGUTCKHGT_06614!B24),",0",",0")</f>
        <v>286468,24|2,0,0</v>
      </c>
      <c r="C24" t="str">
        <f>CONCATENATE(286417,",",ROW(PLCTTHDMGUTCKHGT_06614!C24),"|",COLUMN(PLCTTHDMGUTCKHGT_06614!C24),",0",",0")</f>
        <v>286417,24|3,0,0</v>
      </c>
      <c r="D24" t="str">
        <f>CONCATENATE(286499,",",ROW(PLCTTHDMGUTCKHGT_06614!D24),"|",COLUMN(PLCTTHDMGUTCKHGT_06614!D24),",0",",0")</f>
        <v>286499,24|4,0,0</v>
      </c>
      <c r="E24" t="str">
        <f>CONCATENATE(286480,",",ROW(PLCTTHDMGUTCKHGT_06614!E24),"|",COLUMN(PLCTTHDMGUTCKHGT_06614!E24),",0",",0")</f>
        <v>286480,24|5,0,0</v>
      </c>
    </row>
    <row r="25" spans="1:5" x14ac:dyDescent="0.25">
      <c r="A25" t="str">
        <f>CONCATENATE(286436,",",ROW(PLCTTHDMGUTCKHGT_06614!A25),"|",COLUMN(PLCTTHDMGUTCKHGT_06614!A25),",0",",0")</f>
        <v>286436,25|1,0,0</v>
      </c>
      <c r="B25" t="str">
        <f>CONCATENATE(286449,",",ROW(PLCTTHDMGUTCKHGT_06614!B25),"|",COLUMN(PLCTTHDMGUTCKHGT_06614!B25),",0",",0")</f>
        <v>286449,25|2,0,0</v>
      </c>
      <c r="C25" t="str">
        <f>CONCATENATE(286384,",",ROW(PLCTTHDMGUTCKHGT_06614!C25),"|",COLUMN(PLCTTHDMGUTCKHGT_06614!C25),",0",",0")</f>
        <v>286384,25|3,0,0</v>
      </c>
      <c r="D25" t="str">
        <f>CONCATENATE(286351,",",ROW(PLCTTHDMGUTCKHGT_06614!D25),"|",COLUMN(PLCTTHDMGUTCKHGT_06614!D25),",0",",0")</f>
        <v>286351,25|4,0,0</v>
      </c>
      <c r="E25" t="str">
        <f>CONCATENATE(286370,",",ROW(PLCTTHDMGUTCKHGT_06614!E25),"|",COLUMN(PLCTTHDMGUTCKHGT_06614!E25),",0",",0")</f>
        <v>286370,25|5,0,0</v>
      </c>
    </row>
    <row r="26" spans="1:5" x14ac:dyDescent="0.25">
      <c r="A26" t="str">
        <f>CONCATENATE(286455,",",ROW(PLCTTHDMGUTCKHGT_06614!A26),"|",COLUMN(PLCTTHDMGUTCKHGT_06614!A26),",0",",0")</f>
        <v>286455,26|1,0,0</v>
      </c>
      <c r="B26" t="str">
        <f>CONCATENATE(286432,",",ROW(PLCTTHDMGUTCKHGT_06614!B26),"|",COLUMN(PLCTTHDMGUTCKHGT_06614!B26),",0",",0")</f>
        <v>286432,26|2,0,0</v>
      </c>
      <c r="C26" t="str">
        <f>CONCATENATE(286378,",",ROW(PLCTTHDMGUTCKHGT_06614!C26),"|",COLUMN(PLCTTHDMGUTCKHGT_06614!C26),",0",",0")</f>
        <v>286378,26|3,0,0</v>
      </c>
      <c r="D26" t="str">
        <f>CONCATENATE(286377,",",ROW(PLCTTHDMGUTCKHGT_06614!D26),"|",COLUMN(PLCTTHDMGUTCKHGT_06614!D26),",0",",0")</f>
        <v>286377,26|4,0,0</v>
      </c>
      <c r="E26" t="str">
        <f>CONCATENATE(286363,",",ROW(PLCTTHDMGUTCKHGT_06614!E26),"|",COLUMN(PLCTTHDMGUTCKHGT_06614!E26),",0",",0")</f>
        <v>286363,26|5,0,0</v>
      </c>
    </row>
    <row r="27" spans="1:5" x14ac:dyDescent="0.25">
      <c r="A27" t="str">
        <f>CONCATENATE(286469,",",ROW(PLCTTHDMGUTCKHGT_06614!A27),"|",COLUMN(PLCTTHDMGUTCKHGT_06614!A27),",0",",0")</f>
        <v>286469,27|1,0,0</v>
      </c>
      <c r="B27" t="str">
        <f>CONCATENATE(286463,",",ROW(PLCTTHDMGUTCKHGT_06614!B27),"|",COLUMN(PLCTTHDMGUTCKHGT_06614!B27),",0",",0")</f>
        <v>286463,27|2,0,0</v>
      </c>
      <c r="C27" t="str">
        <f>CONCATENATE(286418,",",ROW(PLCTTHDMGUTCKHGT_06614!C27),"|",COLUMN(PLCTTHDMGUTCKHGT_06614!C27),",0",",0")</f>
        <v>286418,27|3,0,0</v>
      </c>
      <c r="D27" t="str">
        <f>CONCATENATE(286500,",",ROW(PLCTTHDMGUTCKHGT_06614!D27),"|",COLUMN(PLCTTHDMGUTCKHGT_06614!D27),",0",",0")</f>
        <v>286500,27|4,0,0</v>
      </c>
      <c r="E27" t="str">
        <f>CONCATENATE(286481,",",ROW(PLCTTHDMGUTCKHGT_06614!E27),"|",COLUMN(PLCTTHDMGUTCKHGT_06614!E27),",0",",0")</f>
        <v>286481,27|5,0,0</v>
      </c>
    </row>
    <row r="28" spans="1:5" x14ac:dyDescent="0.25">
      <c r="A28" t="str">
        <f>CONCATENATE(286514,",",ROW(PLCTTHDMGUTCKHGT_06614!A28),"|",COLUMN(PLCTTHDMGUTCKHGT_06614!A28),",0",",0")</f>
        <v>286514,28|1,0,0</v>
      </c>
      <c r="B28" t="str">
        <f>CONCATENATE(286466,",",ROW(PLCTTHDMGUTCKHGT_06614!B28),"|",COLUMN(PLCTTHDMGUTCKHGT_06614!B28),",0",",0")</f>
        <v>286466,28|2,0,0</v>
      </c>
      <c r="C28" t="str">
        <f>CONCATENATE(286415,",",ROW(PLCTTHDMGUTCKHGT_06614!C28),"|",COLUMN(PLCTTHDMGUTCKHGT_06614!C28),",0",",0")</f>
        <v>286415,28|3,0,0</v>
      </c>
      <c r="D28" t="str">
        <f>CONCATENATE(286496,",",ROW(PLCTTHDMGUTCKHGT_06614!D28),"|",COLUMN(PLCTTHDMGUTCKHGT_06614!D28),",0",",0")</f>
        <v>286496,28|4,0,0</v>
      </c>
      <c r="E28" t="str">
        <f>CONCATENATE(286401,",",ROW(PLCTTHDMGUTCKHGT_06614!E28),"|",COLUMN(PLCTTHDMGUTCKHGT_06614!E28),",0",",0")</f>
        <v>286401,28|5,0,0</v>
      </c>
    </row>
    <row r="29" spans="1:5" x14ac:dyDescent="0.25">
      <c r="A29" t="str">
        <f>CONCATENATE(286437,",",ROW(PLCTTHDMGUTCKHGT_06614!A29),"|",COLUMN(PLCTTHDMGUTCKHGT_06614!A29),",0",",0")</f>
        <v>286437,29|1,0,0</v>
      </c>
      <c r="B29" t="str">
        <f>CONCATENATE(286450,",",ROW(PLCTTHDMGUTCKHGT_06614!B29),"|",COLUMN(PLCTTHDMGUTCKHGT_06614!B29),",0",",0")</f>
        <v>286450,29|2,0,0</v>
      </c>
      <c r="C29" t="str">
        <f>CONCATENATE(286385,",",ROW(PLCTTHDMGUTCKHGT_06614!C29),"|",COLUMN(PLCTTHDMGUTCKHGT_06614!C29),",0",",0")</f>
        <v>286385,29|3,0,0</v>
      </c>
      <c r="D29" t="str">
        <f>CONCATENATE(286352,",",ROW(PLCTTHDMGUTCKHGT_06614!D29),"|",COLUMN(PLCTTHDMGUTCKHGT_06614!D29),",0",",0")</f>
        <v>286352,29|4,0,0</v>
      </c>
      <c r="E29" t="str">
        <f>CONCATENATE(286371,",",ROW(PLCTTHDMGUTCKHGT_06614!E29),"|",COLUMN(PLCTTHDMGUTCKHGT_06614!E29),",0",",0")</f>
        <v>286371,29|5,0,0</v>
      </c>
    </row>
    <row r="30" spans="1:5" x14ac:dyDescent="0.25">
      <c r="A30" t="str">
        <f>CONCATENATE(286426,",",ROW(PLCTTHDMGUTCKHGT_06614!A30),"|",COLUMN(PLCTTHDMGUTCKHGT_06614!A30),",0",",0")</f>
        <v>286426,30|1,0,0</v>
      </c>
      <c r="B30" t="str">
        <f>CONCATENATE(286459,",",ROW(PLCTTHDMGUTCKHGT_06614!B30),"|",COLUMN(PLCTTHDMGUTCKHGT_06614!B30),",0",",0")</f>
        <v>286459,30|2,0,0</v>
      </c>
      <c r="C30" t="str">
        <f>CONCATENATE(286425,",",ROW(PLCTTHDMGUTCKHGT_06614!C30),"|",COLUMN(PLCTTHDMGUTCKHGT_06614!C30),",0",",0")</f>
        <v>286425,30|3,0,0</v>
      </c>
      <c r="D30" t="str">
        <f>CONCATENATE(286341,",",ROW(PLCTTHDMGUTCKHGT_06614!D30),"|",COLUMN(PLCTTHDMGUTCKHGT_06614!D30),",0",",0")</f>
        <v>286341,30|4,0,0</v>
      </c>
      <c r="E30" t="str">
        <f>CONCATENATE(286359,",",ROW(PLCTTHDMGUTCKHGT_06614!E30),"|",COLUMN(PLCTTHDMGUTCKHGT_06614!E30),",0",",0")</f>
        <v>286359,30|5,0,0</v>
      </c>
    </row>
    <row r="31" spans="1:5" x14ac:dyDescent="0.25">
      <c r="A31" t="str">
        <f>CONCATENATE(286427,",",ROW(PLCTTHDMGUTCKHGT_06614!A31),"|",COLUMN(PLCTTHDMGUTCKHGT_06614!A31),",0",",0")</f>
        <v>286427,31|1,0,0</v>
      </c>
      <c r="B31" t="str">
        <f>CONCATENATE(286506,",",ROW(PLCTTHDMGUTCKHGT_06614!B31),"|",COLUMN(PLCTTHDMGUTCKHGT_06614!B31),",0",",0")</f>
        <v>286506,31|2,0,0</v>
      </c>
      <c r="C31" t="str">
        <f>CONCATENATE(286405,",",ROW(PLCTTHDMGUTCKHGT_06614!C31),"|",COLUMN(PLCTTHDMGUTCKHGT_06614!C31),",0",",0")</f>
        <v>286405,31|3,0,0</v>
      </c>
      <c r="D31" t="str">
        <f>CONCATENATE(286486,",",ROW(PLCTTHDMGUTCKHGT_06614!D31),"|",COLUMN(PLCTTHDMGUTCKHGT_06614!D31),",0",",0")</f>
        <v>286486,31|4,0,0</v>
      </c>
      <c r="E31" t="str">
        <f>CONCATENATE(286391,",",ROW(PLCTTHDMGUTCKHGT_06614!E31),"|",COLUMN(PLCTTHDMGUTCKHGT_06614!E31),",0",",0")</f>
        <v>286391,31|5,0,0</v>
      </c>
    </row>
    <row r="32" spans="1:5" x14ac:dyDescent="0.25">
      <c r="A32" t="str">
        <f>CONCATENATE(286438,",",ROW(PLCTTHDMGUTCKHGT_06614!A32),"|",COLUMN(PLCTTHDMGUTCKHGT_06614!A32),",0",",0")</f>
        <v>286438,32|1,0,0</v>
      </c>
      <c r="B32" t="str">
        <f>CONCATENATE(286460,",",ROW(PLCTTHDMGUTCKHGT_06614!B32),"|",COLUMN(PLCTTHDMGUTCKHGT_06614!B32),",0",",0")</f>
        <v>286460,32|2,0,0</v>
      </c>
      <c r="C32" t="str">
        <f>CONCATENATE(286406,",",ROW(PLCTTHDMGUTCKHGT_06614!C32),"|",COLUMN(PLCTTHDMGUTCKHGT_06614!C32),",0",",0")</f>
        <v>286406,32|3,0,0</v>
      </c>
      <c r="D32" t="str">
        <f>CONCATENATE(286487,",",ROW(PLCTTHDMGUTCKHGT_06614!D32),"|",COLUMN(PLCTTHDMGUTCKHGT_06614!D32),",0",",0")</f>
        <v>286487,32|4,0,0</v>
      </c>
      <c r="E32" t="str">
        <f>CONCATENATE(286392,",",ROW(PLCTTHDMGUTCKHGT_06614!E32),"|",COLUMN(PLCTTHDMGUTCKHGT_06614!E32),",0",",0")</f>
        <v>286392,32|5,0,0</v>
      </c>
    </row>
    <row r="33" spans="1:5" x14ac:dyDescent="0.25">
      <c r="A33" t="str">
        <f>CONCATENATE(286521,",",ROW(PLCTTHDMGUTCKHGT_06614!A33),"|",COLUMN(PLCTTHDMGUTCKHGT_06614!A33),",0",",0")</f>
        <v>286521,33|1,0,0</v>
      </c>
      <c r="B33" t="str">
        <f>CONCATENATE(286464,",",ROW(PLCTTHDMGUTCKHGT_06614!B33),"|",COLUMN(PLCTTHDMGUTCKHGT_06614!B33),",0",",0")</f>
        <v>286464,33|2,0,0</v>
      </c>
      <c r="C33" t="str">
        <f>CONCATENATE(286407,",",ROW(PLCTTHDMGUTCKHGT_06614!C33),"|",COLUMN(PLCTTHDMGUTCKHGT_06614!C33),",0",",0")</f>
        <v>286407,33|3,0,0</v>
      </c>
      <c r="D33" t="str">
        <f>CONCATENATE(286488,",",ROW(PLCTTHDMGUTCKHGT_06614!D33),"|",COLUMN(PLCTTHDMGUTCKHGT_06614!D33),",0",",0")</f>
        <v>286488,33|4,0,0</v>
      </c>
      <c r="E33" t="str">
        <f>CONCATENATE(286393,",",ROW(PLCTTHDMGUTCKHGT_06614!E33),"|",COLUMN(PLCTTHDMGUTCKHGT_06614!E33),",0",",0")</f>
        <v>286393,33|5,0,0</v>
      </c>
    </row>
    <row r="34" spans="1:5" x14ac:dyDescent="0.25">
      <c r="A34" t="str">
        <f>CONCATENATE(286428,",",ROW(PLCTTHDMGUTCKHGT_06614!A34),"|",COLUMN(PLCTTHDMGUTCKHGT_06614!A34),",0",",0")</f>
        <v>286428,34|1,0,0</v>
      </c>
      <c r="B34" t="str">
        <f>CONCATENATE(286507,",",ROW(PLCTTHDMGUTCKHGT_06614!B34),"|",COLUMN(PLCTTHDMGUTCKHGT_06614!B34),",0",",0")</f>
        <v>286507,34|2,0,0</v>
      </c>
      <c r="C34" t="str">
        <f>CONCATENATE(286408,",",ROW(PLCTTHDMGUTCKHGT_06614!C34),"|",COLUMN(PLCTTHDMGUTCKHGT_06614!C34),",0",",0")</f>
        <v>286408,34|3,0,0</v>
      </c>
      <c r="D34" t="str">
        <f>CONCATENATE(286489,",",ROW(PLCTTHDMGUTCKHGT_06614!D34),"|",COLUMN(PLCTTHDMGUTCKHGT_06614!D34),",0",",0")</f>
        <v>286489,34|4,0,0</v>
      </c>
      <c r="E34" t="str">
        <f>CONCATENATE(286394,",",ROW(PLCTTHDMGUTCKHGT_06614!E34),"|",COLUMN(PLCTTHDMGUTCKHGT_06614!E34),",0",",0")</f>
        <v>286394,34|5,0,0</v>
      </c>
    </row>
    <row r="35" spans="1:5" x14ac:dyDescent="0.25">
      <c r="A35" t="str">
        <f>CONCATENATE(286522,",",ROW(PLCTTHDMGUTCKHGT_06614!A35),"|",COLUMN(PLCTTHDMGUTCKHGT_06614!A35),",0",",0")</f>
        <v>286522,35|1,0,0</v>
      </c>
      <c r="B35" t="str">
        <f>CONCATENATE(286465,",",ROW(PLCTTHDMGUTCKHGT_06614!B35),"|",COLUMN(PLCTTHDMGUTCKHGT_06614!B35),",0",",0")</f>
        <v>286465,35|2,0,0</v>
      </c>
      <c r="C35" t="str">
        <f>CONCATENATE(286409,",",ROW(PLCTTHDMGUTCKHGT_06614!C35),"|",COLUMN(PLCTTHDMGUTCKHGT_06614!C35),",0",",0")</f>
        <v>286409,35|3,0,0</v>
      </c>
      <c r="D35" t="str">
        <f>CONCATENATE(286490,",",ROW(PLCTTHDMGUTCKHGT_06614!D35),"|",COLUMN(PLCTTHDMGUTCKHGT_06614!D35),",0",",0")</f>
        <v>286490,35|4,0,0</v>
      </c>
      <c r="E35" t="str">
        <f>CONCATENATE(286395,",",ROW(PLCTTHDMGUTCKHGT_06614!E35),"|",COLUMN(PLCTTHDMGUTCKHGT_06614!E35),",0",",0")</f>
        <v>286395,35|5,0,0</v>
      </c>
    </row>
    <row r="36" spans="1:5" x14ac:dyDescent="0.25">
      <c r="A36" t="str">
        <f>CONCATENATE(286523,",",ROW(PLCTTHDMGUTCKHGT_06614!A36),"|",COLUMN(PLCTTHDMGUTCKHGT_06614!A36),",0",",0")</f>
        <v>286523,36|1,0,0</v>
      </c>
      <c r="B36" t="str">
        <f>CONCATENATE(286461,",",ROW(PLCTTHDMGUTCKHGT_06614!B36),"|",COLUMN(PLCTTHDMGUTCKHGT_06614!B36),",0",",0")</f>
        <v>286461,36|2,0,0</v>
      </c>
      <c r="C36" t="str">
        <f>CONCATENATE(286410,",",ROW(PLCTTHDMGUTCKHGT_06614!C36),"|",COLUMN(PLCTTHDMGUTCKHGT_06614!C36),",0",",0")</f>
        <v>286410,36|3,0,0</v>
      </c>
      <c r="D36" t="str">
        <f>CONCATENATE(286491,",",ROW(PLCTTHDMGUTCKHGT_06614!D36),"|",COLUMN(PLCTTHDMGUTCKHGT_06614!D36),",0",",0")</f>
        <v>286491,36|4,0,0</v>
      </c>
      <c r="E36" t="str">
        <f>CONCATENATE(286396,",",ROW(PLCTTHDMGUTCKHGT_06614!E36),"|",COLUMN(PLCTTHDMGUTCKHGT_06614!E36),",0",",0")</f>
        <v>286396,36|5,0,0</v>
      </c>
    </row>
    <row r="37" spans="1:5" x14ac:dyDescent="0.25">
      <c r="A37" t="str">
        <f>CONCATENATE(286456,",",ROW(PLCTTHDMGUTCKHGT_06614!A37),"|",COLUMN(PLCTTHDMGUTCKHGT_06614!A37),",0",",0")</f>
        <v>286456,37|1,0,0</v>
      </c>
      <c r="B37" t="str">
        <f>CONCATENATE(286403,",",ROW(PLCTTHDMGUTCKHGT_06614!B37),"|",COLUMN(PLCTTHDMGUTCKHGT_06614!B37),",0",",0")</f>
        <v>286403,37|2,0,0</v>
      </c>
      <c r="C37" t="str">
        <f>CONCATENATE(286411,",",ROW(PLCTTHDMGUTCKHGT_06614!C37),"|",COLUMN(PLCTTHDMGUTCKHGT_06614!C37),",0",",0")</f>
        <v>286411,37|3,0,0</v>
      </c>
      <c r="D37" t="str">
        <f>CONCATENATE(286492,",",ROW(PLCTTHDMGUTCKHGT_06614!D37),"|",COLUMN(PLCTTHDMGUTCKHGT_06614!D37),",0",",0")</f>
        <v>286492,37|4,0,0</v>
      </c>
      <c r="E37" t="str">
        <f>CONCATENATE(286397,",",ROW(PLCTTHDMGUTCKHGT_06614!E37),"|",COLUMN(PLCTTHDMGUTCKHGT_06614!E37),",0",",0")</f>
        <v>286397,37|5,0,0</v>
      </c>
    </row>
    <row r="38" spans="1:5" x14ac:dyDescent="0.25">
      <c r="A38" t="str">
        <f>CONCATENATE(286457,",",ROW(PLCTTHDMGUTCKHGT_06614!A38),"|",COLUMN(PLCTTHDMGUTCKHGT_06614!A38),",0",",0")</f>
        <v>286457,38|1,0,0</v>
      </c>
      <c r="B38" t="str">
        <f>CONCATENATE(286515,",",ROW(PLCTTHDMGUTCKHGT_06614!B38),"|",COLUMN(PLCTTHDMGUTCKHGT_06614!B38),",0",",0")</f>
        <v>286515,38|2,0,0</v>
      </c>
      <c r="C38" t="str">
        <f>CONCATENATE(286412,",",ROW(PLCTTHDMGUTCKHGT_06614!C38),"|",COLUMN(PLCTTHDMGUTCKHGT_06614!C38),",0",",0")</f>
        <v>286412,38|3,0,0</v>
      </c>
      <c r="D38" t="str">
        <f>CONCATENATE(286493,",",ROW(PLCTTHDMGUTCKHGT_06614!D38),"|",COLUMN(PLCTTHDMGUTCKHGT_06614!D38),",0",",0")</f>
        <v>286493,38|4,0,0</v>
      </c>
      <c r="E38" t="str">
        <f>CONCATENATE(286398,",",ROW(PLCTTHDMGUTCKHGT_06614!E38),"|",COLUMN(PLCTTHDMGUTCKHGT_06614!E38),",0",",0")</f>
        <v>286398,38|5,0,0</v>
      </c>
    </row>
    <row r="39" spans="1:5" x14ac:dyDescent="0.25">
      <c r="A39" t="str">
        <f>CONCATENATE(286524,",",ROW(PLCTTHDMGUTCKHGT_06614!A39),"|",COLUMN(PLCTTHDMGUTCKHGT_06614!A39),",0",",0")</f>
        <v>286524,39|1,0,0</v>
      </c>
      <c r="B39" t="str">
        <f>CONCATENATE(286404,",",ROW(PLCTTHDMGUTCKHGT_06614!B39),"|",COLUMN(PLCTTHDMGUTCKHGT_06614!B39),",0",",0")</f>
        <v>286404,39|2,0,0</v>
      </c>
      <c r="C39" t="str">
        <f>CONCATENATE(286413,",",ROW(PLCTTHDMGUTCKHGT_06614!C39),"|",COLUMN(PLCTTHDMGUTCKHGT_06614!C39),",0",",0")</f>
        <v>286413,39|3,0,0</v>
      </c>
      <c r="D39" t="str">
        <f>CONCATENATE(286494,",",ROW(PLCTTHDMGUTCKHGT_06614!D39),"|",COLUMN(PLCTTHDMGUTCKHGT_06614!D39),",0",",0")</f>
        <v>286494,39|4,0,0</v>
      </c>
      <c r="E39" t="str">
        <f>CONCATENATE(286399,",",ROW(PLCTTHDMGUTCKHGT_06614!E39),"|",COLUMN(PLCTTHDMGUTCKHGT_06614!E39),",0",",0")</f>
        <v>286399,39|5,0,0</v>
      </c>
    </row>
    <row r="40" spans="1:5" x14ac:dyDescent="0.25">
      <c r="A40" t="str">
        <f>CONCATENATE(286525,",",ROW(PLCTTHDMGUTCKHGT_06614!A40),"|",COLUMN(PLCTTHDMGUTCKHGT_06614!A40),",0",",0")</f>
        <v>286525,40|1,0,0</v>
      </c>
      <c r="B40" t="str">
        <f>CONCATENATE(286509,",",ROW(PLCTTHDMGUTCKHGT_06614!B40),"|",COLUMN(PLCTTHDMGUTCKHGT_06614!B40),",0",",0")</f>
        <v>286509,40|2,0,0</v>
      </c>
      <c r="C40" t="str">
        <f>CONCATENATE(286414,",",ROW(PLCTTHDMGUTCKHGT_06614!C40),"|",COLUMN(PLCTTHDMGUTCKHGT_06614!C40),",0",",0")</f>
        <v>286414,40|3,0,0</v>
      </c>
      <c r="D40" t="str">
        <f>CONCATENATE(286495,",",ROW(PLCTTHDMGUTCKHGT_06614!D40),"|",COLUMN(PLCTTHDMGUTCKHGT_06614!D40),",0",",0")</f>
        <v>286495,40|4,0,0</v>
      </c>
      <c r="E40" t="str">
        <f>CONCATENATE(286400,",",ROW(PLCTTHDMGUTCKHGT_06614!E40),"|",COLUMN(PLCTTHDMGUTCKHGT_06614!E40),",0",",0")</f>
        <v>286400,40|5,0,0</v>
      </c>
    </row>
  </sheetData>
  <sheetProtection password="CB7D"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9"/>
  <sheetViews>
    <sheetView zoomScale="70" zoomScaleNormal="70" workbookViewId="0">
      <selection activeCell="I35" sqref="I35"/>
    </sheetView>
  </sheetViews>
  <sheetFormatPr defaultRowHeight="15" x14ac:dyDescent="0.25"/>
  <cols>
    <col min="1" max="1" width="31.28515625" bestFit="1" customWidth="1"/>
    <col min="2" max="2" width="16.7109375" bestFit="1" customWidth="1"/>
    <col min="3" max="4" width="25" bestFit="1" customWidth="1"/>
    <col min="5" max="8" width="23.140625" bestFit="1" customWidth="1"/>
    <col min="9" max="10" width="25" bestFit="1" customWidth="1"/>
    <col min="11" max="11" width="14.85546875" bestFit="1" customWidth="1"/>
  </cols>
  <sheetData>
    <row r="1" spans="1:11" ht="20.25" x14ac:dyDescent="0.3">
      <c r="A1" s="1978" t="s">
        <v>23</v>
      </c>
      <c r="B1" s="1978" t="s">
        <v>5</v>
      </c>
      <c r="C1" s="1978" t="s">
        <v>5</v>
      </c>
      <c r="D1" s="1978" t="s">
        <v>5</v>
      </c>
      <c r="E1" s="1978" t="s">
        <v>5</v>
      </c>
      <c r="F1" s="1978" t="s">
        <v>5</v>
      </c>
      <c r="G1" s="1978" t="s">
        <v>5</v>
      </c>
      <c r="H1" s="1978" t="s">
        <v>5</v>
      </c>
      <c r="I1" s="1978" t="s">
        <v>5</v>
      </c>
      <c r="J1" s="1978" t="s">
        <v>5</v>
      </c>
      <c r="K1" s="1978" t="s">
        <v>5</v>
      </c>
    </row>
    <row r="2" spans="1:11" ht="18.75" x14ac:dyDescent="0.3">
      <c r="A2" s="1979" t="s">
        <v>784</v>
      </c>
      <c r="B2" s="1980" t="s">
        <v>5</v>
      </c>
      <c r="C2" s="1980" t="s">
        <v>5</v>
      </c>
      <c r="D2" s="1980" t="s">
        <v>5</v>
      </c>
      <c r="E2" s="1980" t="s">
        <v>5</v>
      </c>
      <c r="F2" s="1980" t="s">
        <v>5</v>
      </c>
      <c r="G2" s="1980" t="s">
        <v>5</v>
      </c>
      <c r="H2" s="1980" t="s">
        <v>5</v>
      </c>
      <c r="I2" s="1980" t="s">
        <v>5</v>
      </c>
      <c r="J2" s="1980" t="s">
        <v>5</v>
      </c>
      <c r="K2" s="1980" t="s">
        <v>5</v>
      </c>
    </row>
    <row r="3" spans="1:11" ht="18.75" x14ac:dyDescent="0.3">
      <c r="A3" s="1981" t="s">
        <v>513</v>
      </c>
      <c r="B3" s="1980" t="s">
        <v>5</v>
      </c>
      <c r="C3" s="1980" t="s">
        <v>5</v>
      </c>
      <c r="D3" s="1980" t="s">
        <v>5</v>
      </c>
      <c r="E3" s="1980" t="s">
        <v>5</v>
      </c>
      <c r="F3" s="1980" t="s">
        <v>5</v>
      </c>
      <c r="G3" s="1980" t="s">
        <v>5</v>
      </c>
      <c r="H3" s="1980" t="s">
        <v>5</v>
      </c>
      <c r="I3" s="1980" t="s">
        <v>5</v>
      </c>
      <c r="J3" s="1980" t="s">
        <v>5</v>
      </c>
      <c r="K3" s="1980" t="s">
        <v>5</v>
      </c>
    </row>
    <row r="4" spans="1:11" ht="34.5" customHeight="1" x14ac:dyDescent="0.25">
      <c r="A4" s="1982" t="s">
        <v>394</v>
      </c>
      <c r="B4" s="1982" t="s">
        <v>40</v>
      </c>
      <c r="C4" s="1982" t="s">
        <v>720</v>
      </c>
      <c r="D4" s="1983" t="s">
        <v>5</v>
      </c>
      <c r="E4" s="1982" t="s">
        <v>723</v>
      </c>
      <c r="F4" s="1983" t="s">
        <v>5</v>
      </c>
      <c r="G4" s="1983" t="s">
        <v>5</v>
      </c>
      <c r="H4" s="1983" t="s">
        <v>5</v>
      </c>
      <c r="I4" s="1982" t="s">
        <v>721</v>
      </c>
      <c r="J4" s="1983" t="s">
        <v>5</v>
      </c>
      <c r="K4" s="1982" t="s">
        <v>722</v>
      </c>
    </row>
    <row r="5" spans="1:11" x14ac:dyDescent="0.25">
      <c r="A5" s="1983" t="s">
        <v>5</v>
      </c>
      <c r="B5" s="1983" t="s">
        <v>5</v>
      </c>
      <c r="C5" s="1982" t="s">
        <v>725</v>
      </c>
      <c r="D5" s="1982" t="s">
        <v>724</v>
      </c>
      <c r="E5" s="1982" t="s">
        <v>725</v>
      </c>
      <c r="F5" s="1983" t="s">
        <v>5</v>
      </c>
      <c r="G5" s="1982" t="s">
        <v>724</v>
      </c>
      <c r="H5" s="1983" t="s">
        <v>5</v>
      </c>
      <c r="I5" s="1982" t="s">
        <v>725</v>
      </c>
      <c r="J5" s="1982" t="s">
        <v>724</v>
      </c>
      <c r="K5" s="1983" t="s">
        <v>5</v>
      </c>
    </row>
    <row r="6" spans="1:11" ht="18.75" x14ac:dyDescent="0.25">
      <c r="A6" s="1983" t="s">
        <v>5</v>
      </c>
      <c r="B6" s="1983" t="s">
        <v>5</v>
      </c>
      <c r="C6" s="1983" t="s">
        <v>5</v>
      </c>
      <c r="D6" s="1983" t="s">
        <v>5</v>
      </c>
      <c r="E6" s="1597" t="s">
        <v>726</v>
      </c>
      <c r="F6" s="1597" t="s">
        <v>727</v>
      </c>
      <c r="G6" s="1597" t="s">
        <v>726</v>
      </c>
      <c r="H6" s="1597" t="s">
        <v>727</v>
      </c>
      <c r="I6" s="1983" t="s">
        <v>5</v>
      </c>
      <c r="J6" s="1983" t="s">
        <v>5</v>
      </c>
      <c r="K6" s="1983" t="s">
        <v>5</v>
      </c>
    </row>
    <row r="7" spans="1:11" ht="49.5" x14ac:dyDescent="0.25">
      <c r="A7" s="1666" t="s">
        <v>772</v>
      </c>
      <c r="B7" s="1601"/>
      <c r="C7" s="1928"/>
      <c r="D7" s="1929"/>
      <c r="E7" s="1930"/>
      <c r="F7" s="1931"/>
      <c r="G7" s="1932"/>
      <c r="H7" s="1933"/>
      <c r="I7" s="1934"/>
      <c r="J7" s="1935"/>
      <c r="K7" s="1639" t="s">
        <v>746</v>
      </c>
    </row>
    <row r="8" spans="1:11" ht="33" x14ac:dyDescent="0.25">
      <c r="A8" s="1661" t="s">
        <v>768</v>
      </c>
      <c r="B8" s="1602"/>
      <c r="C8" s="1936">
        <v>1332592536720</v>
      </c>
      <c r="D8" s="1936">
        <v>1332592536720</v>
      </c>
      <c r="E8" s="1936"/>
      <c r="F8" s="1936"/>
      <c r="G8" s="1936"/>
      <c r="H8" s="1936"/>
      <c r="I8" s="1936">
        <f>+C8+E8-F8</f>
        <v>1332592536720</v>
      </c>
      <c r="J8" s="1936">
        <f t="shared" ref="J8:J18" si="0">+D8+G8-H8</f>
        <v>1332592536720</v>
      </c>
      <c r="K8" s="1598" t="s">
        <v>728</v>
      </c>
    </row>
    <row r="9" spans="1:11" ht="49.5" x14ac:dyDescent="0.25">
      <c r="A9" s="1638" t="s">
        <v>745</v>
      </c>
      <c r="B9" s="1603"/>
      <c r="C9" s="1936">
        <v>722339370000</v>
      </c>
      <c r="D9" s="1936">
        <v>722339370000</v>
      </c>
      <c r="E9" s="1936"/>
      <c r="F9" s="1936"/>
      <c r="G9" s="1936"/>
      <c r="H9" s="1936"/>
      <c r="I9" s="1936">
        <f t="shared" ref="I9:I18" si="1">+C9+E9-F9</f>
        <v>722339370000</v>
      </c>
      <c r="J9" s="1936">
        <f t="shared" si="0"/>
        <v>722339370000</v>
      </c>
      <c r="K9" s="1599" t="s">
        <v>729</v>
      </c>
    </row>
    <row r="10" spans="1:11" ht="33" x14ac:dyDescent="0.25">
      <c r="A10" s="1662" t="s">
        <v>769</v>
      </c>
      <c r="B10" s="1604"/>
      <c r="C10" s="1936"/>
      <c r="D10" s="1936"/>
      <c r="E10" s="1936"/>
      <c r="F10" s="1936"/>
      <c r="G10" s="1936"/>
      <c r="H10" s="1936"/>
      <c r="I10" s="1936"/>
      <c r="J10" s="1936">
        <f t="shared" si="0"/>
        <v>0</v>
      </c>
      <c r="K10" s="1600" t="s">
        <v>730</v>
      </c>
    </row>
    <row r="11" spans="1:11" ht="33" x14ac:dyDescent="0.25">
      <c r="A11" s="1646" t="s">
        <v>753</v>
      </c>
      <c r="B11" s="1605"/>
      <c r="C11" s="1936">
        <v>610253166720</v>
      </c>
      <c r="D11" s="1936">
        <v>610253166720</v>
      </c>
      <c r="E11" s="1936"/>
      <c r="F11" s="1936"/>
      <c r="G11" s="1936"/>
      <c r="H11" s="1936"/>
      <c r="I11" s="1936">
        <f t="shared" si="1"/>
        <v>610253166720</v>
      </c>
      <c r="J11" s="1936">
        <f t="shared" si="0"/>
        <v>610253166720</v>
      </c>
      <c r="K11" s="1654" t="s">
        <v>761</v>
      </c>
    </row>
    <row r="12" spans="1:11" ht="49.5" x14ac:dyDescent="0.25">
      <c r="A12" s="1647" t="s">
        <v>754</v>
      </c>
      <c r="B12" s="1606"/>
      <c r="C12" s="1936"/>
      <c r="D12" s="1936"/>
      <c r="E12" s="1936"/>
      <c r="F12" s="1936"/>
      <c r="G12" s="1936"/>
      <c r="H12" s="1936"/>
      <c r="I12" s="1936"/>
      <c r="J12" s="1936">
        <f t="shared" si="0"/>
        <v>0</v>
      </c>
      <c r="K12" s="1655" t="s">
        <v>762</v>
      </c>
    </row>
    <row r="13" spans="1:11" ht="33" x14ac:dyDescent="0.25">
      <c r="A13" s="1648" t="s">
        <v>755</v>
      </c>
      <c r="B13" s="1607"/>
      <c r="C13" s="1936"/>
      <c r="D13" s="1936">
        <v>0</v>
      </c>
      <c r="E13" s="1936"/>
      <c r="F13" s="1936"/>
      <c r="G13" s="1936"/>
      <c r="H13" s="1936"/>
      <c r="I13" s="1936"/>
      <c r="J13" s="1936">
        <f t="shared" si="0"/>
        <v>0</v>
      </c>
      <c r="K13" s="1640" t="s">
        <v>747</v>
      </c>
    </row>
    <row r="14" spans="1:11" ht="33" x14ac:dyDescent="0.25">
      <c r="A14" s="1663" t="s">
        <v>770</v>
      </c>
      <c r="B14" s="1608"/>
      <c r="C14" s="1936">
        <v>-496682500</v>
      </c>
      <c r="D14" s="1936">
        <v>-496682500</v>
      </c>
      <c r="E14" s="1936"/>
      <c r="F14" s="1936"/>
      <c r="G14" s="1936"/>
      <c r="H14" s="1936"/>
      <c r="I14" s="1936">
        <f t="shared" si="1"/>
        <v>-496682500</v>
      </c>
      <c r="J14" s="1936">
        <f t="shared" si="0"/>
        <v>-496682500</v>
      </c>
      <c r="K14" s="1656" t="s">
        <v>763</v>
      </c>
    </row>
    <row r="15" spans="1:11" ht="49.5" x14ac:dyDescent="0.25">
      <c r="A15" s="1653" t="s">
        <v>760</v>
      </c>
      <c r="B15" s="1613"/>
      <c r="C15" s="1936">
        <v>59379106210</v>
      </c>
      <c r="D15" s="1936">
        <v>59379106210</v>
      </c>
      <c r="E15" s="1936"/>
      <c r="F15" s="1936"/>
      <c r="G15" s="1936"/>
      <c r="H15" s="1936"/>
      <c r="I15" s="1936">
        <f t="shared" si="1"/>
        <v>59379106210</v>
      </c>
      <c r="J15" s="1936">
        <f t="shared" si="0"/>
        <v>59379106210</v>
      </c>
      <c r="K15" s="1641" t="s">
        <v>748</v>
      </c>
    </row>
    <row r="16" spans="1:11" ht="49.5" x14ac:dyDescent="0.25">
      <c r="A16" s="1634" t="s">
        <v>741</v>
      </c>
      <c r="B16" s="1614"/>
      <c r="C16" s="1936">
        <v>59379106210</v>
      </c>
      <c r="D16" s="1936">
        <v>59379106210</v>
      </c>
      <c r="E16" s="1936"/>
      <c r="F16" s="1936"/>
      <c r="G16" s="1936"/>
      <c r="H16" s="1936"/>
      <c r="I16" s="1936">
        <f t="shared" si="1"/>
        <v>59379106210</v>
      </c>
      <c r="J16" s="1936">
        <f t="shared" si="0"/>
        <v>59379106210</v>
      </c>
      <c r="K16" s="1642" t="s">
        <v>749</v>
      </c>
    </row>
    <row r="17" spans="1:11" ht="49.5" x14ac:dyDescent="0.25">
      <c r="A17" s="1649" t="s">
        <v>756</v>
      </c>
      <c r="B17" s="1615"/>
      <c r="C17" s="1936">
        <v>82371389459</v>
      </c>
      <c r="D17" s="1936">
        <v>103417376339</v>
      </c>
      <c r="E17" s="1936">
        <v>42050485372</v>
      </c>
      <c r="F17" s="1936">
        <v>21004498492</v>
      </c>
      <c r="G17" s="1936">
        <v>49944970484</v>
      </c>
      <c r="H17" s="1936">
        <v>22900685180</v>
      </c>
      <c r="I17" s="1936">
        <f t="shared" si="1"/>
        <v>103417376339</v>
      </c>
      <c r="J17" s="1936">
        <f t="shared" si="0"/>
        <v>130461661643</v>
      </c>
      <c r="K17" s="1609" t="s">
        <v>731</v>
      </c>
    </row>
    <row r="18" spans="1:11" ht="33" x14ac:dyDescent="0.25">
      <c r="A18" s="1664" t="s">
        <v>771</v>
      </c>
      <c r="B18" s="1616"/>
      <c r="C18" s="1936"/>
      <c r="D18" s="1936"/>
      <c r="E18" s="1936">
        <v>1215797</v>
      </c>
      <c r="F18" s="1936">
        <v>1215797</v>
      </c>
      <c r="G18" s="1936">
        <v>2153226</v>
      </c>
      <c r="H18" s="1936">
        <v>2153226</v>
      </c>
      <c r="I18" s="1936">
        <f t="shared" si="1"/>
        <v>0</v>
      </c>
      <c r="J18" s="1936">
        <f t="shared" si="0"/>
        <v>0</v>
      </c>
      <c r="K18" s="1610" t="s">
        <v>732</v>
      </c>
    </row>
    <row r="19" spans="1:11" ht="49.5" x14ac:dyDescent="0.25">
      <c r="A19" s="1637" t="s">
        <v>744</v>
      </c>
      <c r="B19" s="1617"/>
      <c r="C19" s="1936">
        <v>64107298271</v>
      </c>
      <c r="D19" s="1936">
        <v>111398413642</v>
      </c>
      <c r="E19" s="1936">
        <v>47291115371</v>
      </c>
      <c r="F19" s="1936"/>
      <c r="G19" s="1936">
        <v>61927463784</v>
      </c>
      <c r="H19" s="1936"/>
      <c r="I19" s="1936">
        <f t="shared" ref="I19" si="2">+C19+E19-F19</f>
        <v>111398413642</v>
      </c>
      <c r="J19" s="1936">
        <f t="shared" ref="J19" si="3">+D19+G19-H19</f>
        <v>173325877426</v>
      </c>
      <c r="K19" s="1657" t="s">
        <v>764</v>
      </c>
    </row>
    <row r="20" spans="1:11" ht="33" x14ac:dyDescent="0.25">
      <c r="A20" s="1650" t="s">
        <v>757</v>
      </c>
      <c r="B20" s="1618"/>
      <c r="C20" s="1936">
        <f t="shared" ref="C20" si="4">+C21+C22</f>
        <v>719584017723</v>
      </c>
      <c r="D20" s="1936">
        <f t="shared" ref="D20:H20" si="5">+D21+D22</f>
        <v>809702675728</v>
      </c>
      <c r="E20" s="1936">
        <f t="shared" si="5"/>
        <v>206424879279</v>
      </c>
      <c r="F20" s="1936">
        <f t="shared" si="5"/>
        <v>116306221274</v>
      </c>
      <c r="G20" s="1936">
        <f>+G21+G22</f>
        <v>224517382995</v>
      </c>
      <c r="H20" s="1936">
        <f t="shared" si="5"/>
        <v>132073072541</v>
      </c>
      <c r="I20" s="1936">
        <f t="shared" ref="I20:I22" si="6">+C20+E20-F20</f>
        <v>809702675728</v>
      </c>
      <c r="J20" s="1936">
        <f>+D20+G20-H20</f>
        <v>902146986182</v>
      </c>
      <c r="K20" s="1658" t="s">
        <v>765</v>
      </c>
    </row>
    <row r="21" spans="1:11" ht="49.5" x14ac:dyDescent="0.25">
      <c r="A21" s="1652" t="s">
        <v>759</v>
      </c>
      <c r="B21" s="1619"/>
      <c r="C21" s="1936">
        <v>692194789215</v>
      </c>
      <c r="D21" s="1936">
        <v>788784464886</v>
      </c>
      <c r="E21" s="1936">
        <v>206424879279</v>
      </c>
      <c r="F21" s="1936">
        <v>109835203608</v>
      </c>
      <c r="G21" s="1936">
        <v>204406026505</v>
      </c>
      <c r="H21" s="1936">
        <v>132073072541</v>
      </c>
      <c r="I21" s="1936">
        <f>+C21+E21-F21</f>
        <v>788784464886</v>
      </c>
      <c r="J21" s="1936">
        <f t="shared" ref="J21:J25" si="7">+D21+G21-H21</f>
        <v>861117418850</v>
      </c>
      <c r="K21" s="1629" t="s">
        <v>736</v>
      </c>
    </row>
    <row r="22" spans="1:11" ht="33" x14ac:dyDescent="0.25">
      <c r="A22" s="1651" t="s">
        <v>758</v>
      </c>
      <c r="B22" s="1620"/>
      <c r="C22" s="1936">
        <v>27389228508</v>
      </c>
      <c r="D22" s="1936">
        <v>20918210842</v>
      </c>
      <c r="E22" s="1936"/>
      <c r="F22" s="1936">
        <v>6471017666</v>
      </c>
      <c r="G22" s="1936">
        <v>20111356490</v>
      </c>
      <c r="H22" s="1936"/>
      <c r="I22" s="1936">
        <f t="shared" si="6"/>
        <v>20918210842</v>
      </c>
      <c r="J22" s="1936">
        <f t="shared" si="7"/>
        <v>41029567332</v>
      </c>
      <c r="K22" s="1659" t="s">
        <v>766</v>
      </c>
    </row>
    <row r="23" spans="1:11" ht="33" x14ac:dyDescent="0.25">
      <c r="A23" s="1665" t="s">
        <v>752</v>
      </c>
      <c r="B23" s="1621"/>
      <c r="C23" s="1925">
        <f t="shared" ref="C23" si="8">+C20+C19+C18+C17+C16+C15+C14+C8</f>
        <v>2316916772093</v>
      </c>
      <c r="D23" s="1925">
        <f t="shared" ref="D23:J23" si="9">+D20+D19+D18+D17+D16+D15+D14+D8</f>
        <v>2475372532349</v>
      </c>
      <c r="E23" s="1925">
        <f t="shared" si="9"/>
        <v>295767695819</v>
      </c>
      <c r="F23" s="1925">
        <f t="shared" si="9"/>
        <v>137311935563</v>
      </c>
      <c r="G23" s="1925">
        <f t="shared" si="9"/>
        <v>336391970489</v>
      </c>
      <c r="H23" s="1925">
        <f t="shared" si="9"/>
        <v>154975910947</v>
      </c>
      <c r="I23" s="1925">
        <f t="shared" si="9"/>
        <v>2475372532349</v>
      </c>
      <c r="J23" s="1925">
        <f t="shared" si="9"/>
        <v>2656788591891</v>
      </c>
      <c r="K23" s="1630" t="s">
        <v>737</v>
      </c>
    </row>
    <row r="24" spans="1:11" ht="33" x14ac:dyDescent="0.25">
      <c r="A24" s="1635" t="s">
        <v>742</v>
      </c>
      <c r="B24" s="1622"/>
      <c r="C24" s="1936">
        <v>0</v>
      </c>
      <c r="D24" s="1936">
        <v>0</v>
      </c>
      <c r="E24" s="1936">
        <v>0</v>
      </c>
      <c r="F24" s="1936">
        <v>0</v>
      </c>
      <c r="G24" s="1936">
        <v>0</v>
      </c>
      <c r="H24" s="1936">
        <v>0</v>
      </c>
      <c r="I24" s="1936">
        <v>0</v>
      </c>
      <c r="J24" s="1936">
        <f t="shared" si="7"/>
        <v>0</v>
      </c>
      <c r="K24" s="1611" t="s">
        <v>733</v>
      </c>
    </row>
    <row r="25" spans="1:11" ht="49.5" x14ac:dyDescent="0.25">
      <c r="A25" s="1636" t="s">
        <v>743</v>
      </c>
      <c r="B25" s="1623"/>
      <c r="C25" s="1936">
        <f>+C17</f>
        <v>82371389459</v>
      </c>
      <c r="D25" s="1936">
        <f t="shared" ref="D25:H25" si="10">+D17</f>
        <v>103417376339</v>
      </c>
      <c r="E25" s="1936">
        <f t="shared" si="10"/>
        <v>42050485372</v>
      </c>
      <c r="F25" s="1936">
        <f t="shared" si="10"/>
        <v>21004498492</v>
      </c>
      <c r="G25" s="1936">
        <f t="shared" si="10"/>
        <v>49944970484</v>
      </c>
      <c r="H25" s="1936">
        <f t="shared" si="10"/>
        <v>22900685180</v>
      </c>
      <c r="I25" s="1936">
        <f>+C25+E25-F25</f>
        <v>103417376339</v>
      </c>
      <c r="J25" s="1936">
        <f t="shared" si="7"/>
        <v>130461661643</v>
      </c>
      <c r="K25" s="1631" t="s">
        <v>738</v>
      </c>
    </row>
    <row r="26" spans="1:11" ht="49.5" x14ac:dyDescent="0.25">
      <c r="A26" s="1643" t="s">
        <v>750</v>
      </c>
      <c r="B26" s="1624"/>
      <c r="C26" s="1936">
        <v>0</v>
      </c>
      <c r="D26" s="1936">
        <v>0</v>
      </c>
      <c r="E26" s="1936">
        <v>0</v>
      </c>
      <c r="F26" s="1936">
        <v>0</v>
      </c>
      <c r="G26" s="1936">
        <v>0</v>
      </c>
      <c r="H26" s="1936">
        <v>0</v>
      </c>
      <c r="I26" s="1936">
        <v>0</v>
      </c>
      <c r="J26" s="1936">
        <v>0</v>
      </c>
      <c r="K26" s="1660" t="s">
        <v>767</v>
      </c>
    </row>
    <row r="27" spans="1:11" ht="49.5" x14ac:dyDescent="0.25">
      <c r="A27" s="1644" t="s">
        <v>751</v>
      </c>
      <c r="B27" s="1625"/>
      <c r="C27" s="1936">
        <v>0</v>
      </c>
      <c r="D27" s="1936">
        <v>0</v>
      </c>
      <c r="E27" s="1936">
        <v>0</v>
      </c>
      <c r="F27" s="1936">
        <v>0</v>
      </c>
      <c r="G27" s="1936">
        <v>0</v>
      </c>
      <c r="H27" s="1936">
        <v>0</v>
      </c>
      <c r="I27" s="1936">
        <v>0</v>
      </c>
      <c r="J27" s="1936">
        <v>0</v>
      </c>
      <c r="K27" s="1632" t="s">
        <v>739</v>
      </c>
    </row>
    <row r="28" spans="1:11" ht="33" x14ac:dyDescent="0.25">
      <c r="A28" s="1628" t="s">
        <v>735</v>
      </c>
      <c r="B28" s="1626"/>
      <c r="C28" s="1936">
        <v>0</v>
      </c>
      <c r="D28" s="1936">
        <v>0</v>
      </c>
      <c r="E28" s="1936">
        <v>0</v>
      </c>
      <c r="F28" s="1936">
        <v>0</v>
      </c>
      <c r="G28" s="1936">
        <v>0</v>
      </c>
      <c r="H28" s="1936">
        <v>0</v>
      </c>
      <c r="I28" s="1936">
        <v>0</v>
      </c>
      <c r="J28" s="1936">
        <v>0</v>
      </c>
      <c r="K28" s="1612" t="s">
        <v>734</v>
      </c>
    </row>
    <row r="29" spans="1:11" ht="33" x14ac:dyDescent="0.25">
      <c r="A29" s="1645" t="s">
        <v>752</v>
      </c>
      <c r="B29" s="1627"/>
      <c r="C29" s="1925">
        <f>+C25+C26+C27+C28</f>
        <v>82371389459</v>
      </c>
      <c r="D29" s="1925">
        <f t="shared" ref="D29:J29" si="11">+D25+D26+D27+D28</f>
        <v>103417376339</v>
      </c>
      <c r="E29" s="1925">
        <f t="shared" si="11"/>
        <v>42050485372</v>
      </c>
      <c r="F29" s="1925">
        <f t="shared" si="11"/>
        <v>21004498492</v>
      </c>
      <c r="G29" s="1925">
        <f t="shared" si="11"/>
        <v>49944970484</v>
      </c>
      <c r="H29" s="1925">
        <f t="shared" si="11"/>
        <v>22900685180</v>
      </c>
      <c r="I29" s="1925">
        <f t="shared" si="11"/>
        <v>103417376339</v>
      </c>
      <c r="J29" s="1925">
        <f t="shared" si="11"/>
        <v>130461661643</v>
      </c>
      <c r="K29" s="1633" t="s">
        <v>740</v>
      </c>
    </row>
  </sheetData>
  <mergeCells count="15">
    <mergeCell ref="A1:K1"/>
    <mergeCell ref="A2:K2"/>
    <mergeCell ref="A3:K3"/>
    <mergeCell ref="A4:A6"/>
    <mergeCell ref="B4:B6"/>
    <mergeCell ref="C4:D4"/>
    <mergeCell ref="I4:J4"/>
    <mergeCell ref="K4:K6"/>
    <mergeCell ref="E4:H4"/>
    <mergeCell ref="J5:J6"/>
    <mergeCell ref="C5:C6"/>
    <mergeCell ref="E5:F5"/>
    <mergeCell ref="D5:D6"/>
    <mergeCell ref="G5:H5"/>
    <mergeCell ref="I5:I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7:K29"/>
  <sheetViews>
    <sheetView workbookViewId="0"/>
  </sheetViews>
  <sheetFormatPr defaultRowHeight="15" x14ac:dyDescent="0.25"/>
  <cols>
    <col min="1" max="1" width="1" style="40" bestFit="1" customWidth="1"/>
    <col min="2" max="11" width="1" bestFit="1" customWidth="1"/>
  </cols>
  <sheetData>
    <row r="7" spans="1:11" x14ac:dyDescent="0.25">
      <c r="A7" t="str">
        <f>CONCATENATE(287025,",",ROW(BCTHBDVCSH_06615!A7),"|",COLUMN(BCTHBDVCSH_06615!A7),",0",",0")</f>
        <v>287025,7|1,0,0</v>
      </c>
      <c r="B7" t="str">
        <f>CONCATENATE(287047,",",ROW(BCTHBDVCSH_06615!B7),"|",COLUMN(BCTHBDVCSH_06615!B7),",0",",0")</f>
        <v>287047,7|2,0,0</v>
      </c>
      <c r="C7" t="str">
        <f>CONCATENATE(287155,",",ROW(BCTHBDVCSH_06615!C7),"|",COLUMN(BCTHBDVCSH_06615!C7),",0",",0")</f>
        <v>287155,7|3,0,0</v>
      </c>
      <c r="D7" t="str">
        <f>CONCATENATE(287198,",",ROW(BCTHBDVCSH_06615!D7),"|",COLUMN(BCTHBDVCSH_06615!D7),",0",",0")</f>
        <v>287198,7|4,0,0</v>
      </c>
      <c r="E7" t="str">
        <f>CONCATENATE(287221,",",ROW(BCTHBDVCSH_06615!E7),"|",COLUMN(BCTHBDVCSH_06615!E7),",0",",0")</f>
        <v>287221,7|5,0,0</v>
      </c>
      <c r="F7" t="str">
        <f>CONCATENATE(287082,",",ROW(BCTHBDVCSH_06615!F7),"|",COLUMN(BCTHBDVCSH_06615!F7),",0",",0")</f>
        <v>287082,7|6,0,0</v>
      </c>
      <c r="G7" t="str">
        <f>CONCATENATE(287159,",",ROW(BCTHBDVCSH_06615!G7),"|",COLUMN(BCTHBDVCSH_06615!G7),",0",",0")</f>
        <v>287159,7|7,0,0</v>
      </c>
      <c r="H7" t="str">
        <f>CONCATENATE(287040,",",ROW(BCTHBDVCSH_06615!H7),"|",COLUMN(BCTHBDVCSH_06615!H7),",0",",0")</f>
        <v>287040,7|8,0,0</v>
      </c>
      <c r="I7" t="str">
        <f>CONCATENATE(287109,",",ROW(BCTHBDVCSH_06615!I7),"|",COLUMN(BCTHBDVCSH_06615!I7),",0",",0")</f>
        <v>287109,7|9,0,0</v>
      </c>
      <c r="J7" t="str">
        <f>CONCATENATE(286990,",",ROW(BCTHBDVCSH_06615!J7),"|",COLUMN(BCTHBDVCSH_06615!J7),",0",",0")</f>
        <v>286990,7|10,0,0</v>
      </c>
      <c r="K7" t="str">
        <f>CONCATENATE(287191,",",ROW(BCTHBDVCSH_06615!K7),"|",COLUMN(BCTHBDVCSH_06615!K7),",0",",0")</f>
        <v>287191,7|11,0,0</v>
      </c>
    </row>
    <row r="8" spans="1:11" x14ac:dyDescent="0.25">
      <c r="A8" t="str">
        <f>CONCATENATE(287020,",",ROW(BCTHBDVCSH_06615!A8),"|",COLUMN(BCTHBDVCSH_06615!A8),",0",",0")</f>
        <v>287020,8|1,0,0</v>
      </c>
      <c r="B8" t="str">
        <f>CONCATENATE(287048,",",ROW(BCTHBDVCSH_06615!B8),"|",COLUMN(BCTHBDVCSH_06615!B8),",0",",0")</f>
        <v>287048,8|2,0,0</v>
      </c>
      <c r="C8" t="str">
        <f>CONCATENATE(287171,",",ROW(BCTHBDVCSH_06615!C8),"|",COLUMN(BCTHBDVCSH_06615!C8),",0",",0")</f>
        <v>287171,8|3,0,0</v>
      </c>
      <c r="D8" t="str">
        <f>CONCATENATE(287201,",",ROW(BCTHBDVCSH_06615!D8),"|",COLUMN(BCTHBDVCSH_06615!D8),",0",",0")</f>
        <v>287201,8|4,0,0</v>
      </c>
      <c r="E8" t="str">
        <f>CONCATENATE(287222,",",ROW(BCTHBDVCSH_06615!E8),"|",COLUMN(BCTHBDVCSH_06615!E8),",0",",0")</f>
        <v>287222,8|5,0,0</v>
      </c>
      <c r="F8" t="str">
        <f>CONCATENATE(287083,",",ROW(BCTHBDVCSH_06615!F8),"|",COLUMN(BCTHBDVCSH_06615!F8),",0",",0")</f>
        <v>287083,8|6,0,0</v>
      </c>
      <c r="G8" t="str">
        <f>CONCATENATE(287160,",",ROW(BCTHBDVCSH_06615!G8),"|",COLUMN(BCTHBDVCSH_06615!G8),",0",",0")</f>
        <v>287160,8|7,0,0</v>
      </c>
      <c r="H8" t="str">
        <f>CONCATENATE(287041,",",ROW(BCTHBDVCSH_06615!H8),"|",COLUMN(BCTHBDVCSH_06615!H8),",0",",0")</f>
        <v>287041,8|8,0,0</v>
      </c>
      <c r="I8" t="str">
        <f>CONCATENATE(287110,",",ROW(BCTHBDVCSH_06615!I8),"|",COLUMN(BCTHBDVCSH_06615!I8),",0",",0")</f>
        <v>287110,8|9,0,0</v>
      </c>
      <c r="J8" t="str">
        <f>CONCATENATE(286991,",",ROW(BCTHBDVCSH_06615!J8),"|",COLUMN(BCTHBDVCSH_06615!J8),",0",",0")</f>
        <v>286991,8|10,0,0</v>
      </c>
      <c r="K8" t="str">
        <f>CONCATENATE(287140,",",ROW(BCTHBDVCSH_06615!K8),"|",COLUMN(BCTHBDVCSH_06615!K8),",0",",0")</f>
        <v>287140,8|11,0,0</v>
      </c>
    </row>
    <row r="9" spans="1:11" x14ac:dyDescent="0.25">
      <c r="A9" t="str">
        <f>CONCATENATE(287175,",",ROW(BCTHBDVCSH_06615!A9),"|",COLUMN(BCTHBDVCSH_06615!A9),",0",",0")</f>
        <v>287175,9|1,0,0</v>
      </c>
      <c r="B9" t="str">
        <f>CONCATENATE(287049,",",ROW(BCTHBDVCSH_06615!B9),"|",COLUMN(BCTHBDVCSH_06615!B9),",0",",0")</f>
        <v>287049,9|2,0,0</v>
      </c>
      <c r="C9" t="str">
        <f>CONCATENATE(287195,",",ROW(BCTHBDVCSH_06615!C9),"|",COLUMN(BCTHBDVCSH_06615!C9),",0",",0")</f>
        <v>287195,9|3,0,0</v>
      </c>
      <c r="D9" t="str">
        <f>CONCATENATE(287199,",",ROW(BCTHBDVCSH_06615!D9),"|",COLUMN(BCTHBDVCSH_06615!D9),",0",",0")</f>
        <v>287199,9|4,0,0</v>
      </c>
      <c r="E9" t="str">
        <f>CONCATENATE(287223,",",ROW(BCTHBDVCSH_06615!E9),"|",COLUMN(BCTHBDVCSH_06615!E9),",0",",0")</f>
        <v>287223,9|5,0,0</v>
      </c>
      <c r="F9" t="str">
        <f>CONCATENATE(287084,",",ROW(BCTHBDVCSH_06615!F9),"|",COLUMN(BCTHBDVCSH_06615!F9),",0",",0")</f>
        <v>287084,9|6,0,0</v>
      </c>
      <c r="G9" t="str">
        <f>CONCATENATE(287161,",",ROW(BCTHBDVCSH_06615!G9),"|",COLUMN(BCTHBDVCSH_06615!G9),",0",",0")</f>
        <v>287161,9|7,0,0</v>
      </c>
      <c r="H9" t="str">
        <f>CONCATENATE(287042,",",ROW(BCTHBDVCSH_06615!H9),"|",COLUMN(BCTHBDVCSH_06615!H9),",0",",0")</f>
        <v>287042,9|8,0,0</v>
      </c>
      <c r="I9" t="str">
        <f>CONCATENATE(287111,",",ROW(BCTHBDVCSH_06615!I9),"|",COLUMN(BCTHBDVCSH_06615!I9),",0",",0")</f>
        <v>287111,9|9,0,0</v>
      </c>
      <c r="J9" t="str">
        <f>CONCATENATE(287030,",",ROW(BCTHBDVCSH_06615!J9),"|",COLUMN(BCTHBDVCSH_06615!J9),",0",",0")</f>
        <v>287030,9|10,0,0</v>
      </c>
      <c r="K9" t="str">
        <f>CONCATENATE(287141,",",ROW(BCTHBDVCSH_06615!K9),"|",COLUMN(BCTHBDVCSH_06615!K9),",0",",0")</f>
        <v>287141,9|11,0,0</v>
      </c>
    </row>
    <row r="10" spans="1:11" x14ac:dyDescent="0.25">
      <c r="A10" t="str">
        <f>CONCATENATE(287021,",",ROW(BCTHBDVCSH_06615!A10),"|",COLUMN(BCTHBDVCSH_06615!A10),",0",",0")</f>
        <v>287021,10|1,0,0</v>
      </c>
      <c r="B10" t="str">
        <f>CONCATENATE(287050,",",ROW(BCTHBDVCSH_06615!B10),"|",COLUMN(BCTHBDVCSH_06615!B10),",0",",0")</f>
        <v>287050,10|2,0,0</v>
      </c>
      <c r="C10" t="str">
        <f>CONCATENATE(287196,",",ROW(BCTHBDVCSH_06615!C10),"|",COLUMN(BCTHBDVCSH_06615!C10),",0",",0")</f>
        <v>287196,10|3,0,0</v>
      </c>
      <c r="D10" t="str">
        <f>CONCATENATE(287200,",",ROW(BCTHBDVCSH_06615!D10),"|",COLUMN(BCTHBDVCSH_06615!D10),",0",",0")</f>
        <v>287200,10|4,0,0</v>
      </c>
      <c r="E10" t="str">
        <f>CONCATENATE(287224,",",ROW(BCTHBDVCSH_06615!E10),"|",COLUMN(BCTHBDVCSH_06615!E10),",0",",0")</f>
        <v>287224,10|5,0,0</v>
      </c>
      <c r="F10" t="str">
        <f>CONCATENATE(287085,",",ROW(BCTHBDVCSH_06615!F10),"|",COLUMN(BCTHBDVCSH_06615!F10),",0",",0")</f>
        <v>287085,10|6,0,0</v>
      </c>
      <c r="G10" t="str">
        <f>CONCATENATE(287162,",",ROW(BCTHBDVCSH_06615!G10),"|",COLUMN(BCTHBDVCSH_06615!G10),",0",",0")</f>
        <v>287162,10|7,0,0</v>
      </c>
      <c r="H10" t="str">
        <f>CONCATENATE(287043,",",ROW(BCTHBDVCSH_06615!H10),"|",COLUMN(BCTHBDVCSH_06615!H10),",0",",0")</f>
        <v>287043,10|8,0,0</v>
      </c>
      <c r="I10" t="str">
        <f>CONCATENATE(287112,",",ROW(BCTHBDVCSH_06615!I10),"|",COLUMN(BCTHBDVCSH_06615!I10),",0",",0")</f>
        <v>287112,10|9,0,0</v>
      </c>
      <c r="J10" t="str">
        <f>CONCATENATE(286992,",",ROW(BCTHBDVCSH_06615!J10),"|",COLUMN(BCTHBDVCSH_06615!J10),",0",",0")</f>
        <v>286992,10|10,0,0</v>
      </c>
      <c r="K10" t="str">
        <f>CONCATENATE(287142,",",ROW(BCTHBDVCSH_06615!K10),"|",COLUMN(BCTHBDVCSH_06615!K10),",0",",0")</f>
        <v>287142,10|11,0,0</v>
      </c>
    </row>
    <row r="11" spans="1:11" x14ac:dyDescent="0.25">
      <c r="A11" t="str">
        <f>CONCATENATE(286978,",",ROW(BCTHBDVCSH_06615!A11),"|",COLUMN(BCTHBDVCSH_06615!A11),",0",",0")</f>
        <v>286978,11|1,0,0</v>
      </c>
      <c r="B11" t="str">
        <f>CONCATENATE(287051,",",ROW(BCTHBDVCSH_06615!B11),"|",COLUMN(BCTHBDVCSH_06615!B11),",0",",0")</f>
        <v>287051,11|2,0,0</v>
      </c>
      <c r="C11" t="str">
        <f>CONCATENATE(287197,",",ROW(BCTHBDVCSH_06615!C11),"|",COLUMN(BCTHBDVCSH_06615!C11),",0",",0")</f>
        <v>287197,11|3,0,0</v>
      </c>
      <c r="D11" t="str">
        <f>CONCATENATE(287202,",",ROW(BCTHBDVCSH_06615!D11),"|",COLUMN(BCTHBDVCSH_06615!D11),",0",",0")</f>
        <v>287202,11|4,0,0</v>
      </c>
      <c r="E11" t="str">
        <f>CONCATENATE(287225,",",ROW(BCTHBDVCSH_06615!E11),"|",COLUMN(BCTHBDVCSH_06615!E11),",0",",0")</f>
        <v>287225,11|5,0,0</v>
      </c>
      <c r="F11" t="str">
        <f>CONCATENATE(287090,",",ROW(BCTHBDVCSH_06615!F11),"|",COLUMN(BCTHBDVCSH_06615!F11),",0",",0")</f>
        <v>287090,11|6,0,0</v>
      </c>
      <c r="G11" t="str">
        <f>CONCATENATE(287163,",",ROW(BCTHBDVCSH_06615!G11),"|",COLUMN(BCTHBDVCSH_06615!G11),",0",",0")</f>
        <v>287163,11|7,0,0</v>
      </c>
      <c r="H11" t="str">
        <f>CONCATENATE(287044,",",ROW(BCTHBDVCSH_06615!H11),"|",COLUMN(BCTHBDVCSH_06615!H11),",0",",0")</f>
        <v>287044,11|8,0,0</v>
      </c>
      <c r="I11" t="str">
        <f>CONCATENATE(287113,",",ROW(BCTHBDVCSH_06615!I11),"|",COLUMN(BCTHBDVCSH_06615!I11),",0",",0")</f>
        <v>287113,11|9,0,0</v>
      </c>
      <c r="J11" t="str">
        <f>CONCATENATE(286993,",",ROW(BCTHBDVCSH_06615!J11),"|",COLUMN(BCTHBDVCSH_06615!J11),",0",",0")</f>
        <v>286993,11|10,0,0</v>
      </c>
      <c r="K11" t="str">
        <f>CONCATENATE(287013,",",ROW(BCTHBDVCSH_06615!K11),"|",COLUMN(BCTHBDVCSH_06615!K11),",0",",0")</f>
        <v>287013,11|11,0,0</v>
      </c>
    </row>
    <row r="12" spans="1:11" x14ac:dyDescent="0.25">
      <c r="A12" t="str">
        <f>CONCATENATE(286979,",",ROW(BCTHBDVCSH_06615!A12),"|",COLUMN(BCTHBDVCSH_06615!A12),",0",",0")</f>
        <v>286979,12|1,0,0</v>
      </c>
      <c r="B12" t="str">
        <f>CONCATENATE(287052,",",ROW(BCTHBDVCSH_06615!B12),"|",COLUMN(BCTHBDVCSH_06615!B12),",0",",0")</f>
        <v>287052,12|2,0,0</v>
      </c>
      <c r="C12" t="str">
        <f>CONCATENATE(287061,",",ROW(BCTHBDVCSH_06615!C12),"|",COLUMN(BCTHBDVCSH_06615!C12),",0",",0")</f>
        <v>287061,12|3,0,0</v>
      </c>
      <c r="D12" t="str">
        <f>CONCATENATE(287203,",",ROW(BCTHBDVCSH_06615!D12),"|",COLUMN(BCTHBDVCSH_06615!D12),",0",",0")</f>
        <v>287203,12|4,0,0</v>
      </c>
      <c r="E12" t="str">
        <f>CONCATENATE(287226,",",ROW(BCTHBDVCSH_06615!E12),"|",COLUMN(BCTHBDVCSH_06615!E12),",0",",0")</f>
        <v>287226,12|5,0,0</v>
      </c>
      <c r="F12" t="str">
        <f>CONCATENATE(287091,",",ROW(BCTHBDVCSH_06615!F12),"|",COLUMN(BCTHBDVCSH_06615!F12),",0",",0")</f>
        <v>287091,12|6,0,0</v>
      </c>
      <c r="G12" t="str">
        <f>CONCATENATE(287164,",",ROW(BCTHBDVCSH_06615!G12),"|",COLUMN(BCTHBDVCSH_06615!G12),",0",",0")</f>
        <v>287164,12|7,0,0</v>
      </c>
      <c r="H12" t="str">
        <f>CONCATENATE(287045,",",ROW(BCTHBDVCSH_06615!H12),"|",COLUMN(BCTHBDVCSH_06615!H12),",0",",0")</f>
        <v>287045,12|8,0,0</v>
      </c>
      <c r="I12" t="str">
        <f>CONCATENATE(287114,",",ROW(BCTHBDVCSH_06615!I12),"|",COLUMN(BCTHBDVCSH_06615!I12),",0",",0")</f>
        <v>287114,12|9,0,0</v>
      </c>
      <c r="J12" t="str">
        <f>CONCATENATE(286994,",",ROW(BCTHBDVCSH_06615!J12),"|",COLUMN(BCTHBDVCSH_06615!J12),",0",",0")</f>
        <v>286994,12|10,0,0</v>
      </c>
      <c r="K12" t="str">
        <f>CONCATENATE(287014,",",ROW(BCTHBDVCSH_06615!K12),"|",COLUMN(BCTHBDVCSH_06615!K12),",0",",0")</f>
        <v>287014,12|11,0,0</v>
      </c>
    </row>
    <row r="13" spans="1:11" x14ac:dyDescent="0.25">
      <c r="A13" t="str">
        <f>CONCATENATE(286980,",",ROW(BCTHBDVCSH_06615!A13),"|",COLUMN(BCTHBDVCSH_06615!A13),",0",",0")</f>
        <v>286980,13|1,0,0</v>
      </c>
      <c r="B13" t="str">
        <f>CONCATENATE(287053,",",ROW(BCTHBDVCSH_06615!B13),"|",COLUMN(BCTHBDVCSH_06615!B13),",0",",0")</f>
        <v>287053,13|2,0,0</v>
      </c>
      <c r="C13" t="str">
        <f>CONCATENATE(287062,",",ROW(BCTHBDVCSH_06615!C13),"|",COLUMN(BCTHBDVCSH_06615!C13),",0",",0")</f>
        <v>287062,13|3,0,0</v>
      </c>
      <c r="D13" t="str">
        <f>CONCATENATE(287204,",",ROW(BCTHBDVCSH_06615!D13),"|",COLUMN(BCTHBDVCSH_06615!D13),",0",",0")</f>
        <v>287204,13|4,0,0</v>
      </c>
      <c r="E13" t="str">
        <f>CONCATENATE(287086,",",ROW(BCTHBDVCSH_06615!E13),"|",COLUMN(BCTHBDVCSH_06615!E13),",0",",0")</f>
        <v>287086,13|5,0,0</v>
      </c>
      <c r="F13" t="str">
        <f>CONCATENATE(287092,",",ROW(BCTHBDVCSH_06615!F13),"|",COLUMN(BCTHBDVCSH_06615!F13),",0",",0")</f>
        <v>287092,13|6,0,0</v>
      </c>
      <c r="G13" t="str">
        <f>CONCATENATE(287165,",",ROW(BCTHBDVCSH_06615!G13),"|",COLUMN(BCTHBDVCSH_06615!G13),",0",",0")</f>
        <v>287165,13|7,0,0</v>
      </c>
      <c r="H13" t="str">
        <f>CONCATENATE(287046,",",ROW(BCTHBDVCSH_06615!H13),"|",COLUMN(BCTHBDVCSH_06615!H13),",0",",0")</f>
        <v>287046,13|8,0,0</v>
      </c>
      <c r="I13" t="str">
        <f>CONCATENATE(287115,",",ROW(BCTHBDVCSH_06615!I13),"|",COLUMN(BCTHBDVCSH_06615!I13),",0",",0")</f>
        <v>287115,13|9,0,0</v>
      </c>
      <c r="J13" t="str">
        <f>CONCATENATE(286995,",",ROW(BCTHBDVCSH_06615!J13),"|",COLUMN(BCTHBDVCSH_06615!J13),",0",",0")</f>
        <v>286995,13|10,0,0</v>
      </c>
      <c r="K13" t="str">
        <f>CONCATENATE(287192,",",ROW(BCTHBDVCSH_06615!K13),"|",COLUMN(BCTHBDVCSH_06615!K13),",0",",0")</f>
        <v>287192,13|11,0,0</v>
      </c>
    </row>
    <row r="14" spans="1:11" x14ac:dyDescent="0.25">
      <c r="A14" t="str">
        <f>CONCATENATE(287022,",",ROW(BCTHBDVCSH_06615!A14),"|",COLUMN(BCTHBDVCSH_06615!A14),",0",",0")</f>
        <v>287022,14|1,0,0</v>
      </c>
      <c r="B14" t="str">
        <f>CONCATENATE(287054,",",ROW(BCTHBDVCSH_06615!B14),"|",COLUMN(BCTHBDVCSH_06615!B14),",0",",0")</f>
        <v>287054,14|2,0,0</v>
      </c>
      <c r="C14" t="str">
        <f>CONCATENATE(287063,",",ROW(BCTHBDVCSH_06615!C14),"|",COLUMN(BCTHBDVCSH_06615!C14),",0",",0")</f>
        <v>287063,14|3,0,0</v>
      </c>
      <c r="D14" t="str">
        <f>CONCATENATE(287205,",",ROW(BCTHBDVCSH_06615!D14),"|",COLUMN(BCTHBDVCSH_06615!D14),",0",",0")</f>
        <v>287205,14|4,0,0</v>
      </c>
      <c r="E14" t="str">
        <f>CONCATENATE(287087,",",ROW(BCTHBDVCSH_06615!E14),"|",COLUMN(BCTHBDVCSH_06615!E14),",0",",0")</f>
        <v>287087,14|5,0,0</v>
      </c>
      <c r="F14" t="str">
        <f>CONCATENATE(287093,",",ROW(BCTHBDVCSH_06615!F14),"|",COLUMN(BCTHBDVCSH_06615!F14),",0",",0")</f>
        <v>287093,14|6,0,0</v>
      </c>
      <c r="G14" t="str">
        <f>CONCATENATE(287166,",",ROW(BCTHBDVCSH_06615!G14),"|",COLUMN(BCTHBDVCSH_06615!G14),",0",",0")</f>
        <v>287166,14|7,0,0</v>
      </c>
      <c r="H14" t="str">
        <f>CONCATENATE(286997,",",ROW(BCTHBDVCSH_06615!H14),"|",COLUMN(BCTHBDVCSH_06615!H14),",0",",0")</f>
        <v>286997,14|8,0,0</v>
      </c>
      <c r="I14" t="str">
        <f>CONCATENATE(287116,",",ROW(BCTHBDVCSH_06615!I14),"|",COLUMN(BCTHBDVCSH_06615!I14),",0",",0")</f>
        <v>287116,14|9,0,0</v>
      </c>
      <c r="J14" t="str">
        <f>CONCATENATE(286996,",",ROW(BCTHBDVCSH_06615!J14),"|",COLUMN(BCTHBDVCSH_06615!J14),",0",",0")</f>
        <v>286996,14|10,0,0</v>
      </c>
      <c r="K14" t="str">
        <f>CONCATENATE(287015,",",ROW(BCTHBDVCSH_06615!K14),"|",COLUMN(BCTHBDVCSH_06615!K14),",0",",0")</f>
        <v>287015,14|11,0,0</v>
      </c>
    </row>
    <row r="15" spans="1:11" x14ac:dyDescent="0.25">
      <c r="A15" t="str">
        <f>CONCATENATE(287027,",",ROW(BCTHBDVCSH_06615!A15),"|",COLUMN(BCTHBDVCSH_06615!A15),",0",",0")</f>
        <v>287027,15|1,0,0</v>
      </c>
      <c r="B15" t="str">
        <f>CONCATENATE(287067,",",ROW(BCTHBDVCSH_06615!B15),"|",COLUMN(BCTHBDVCSH_06615!B15),",0",",0")</f>
        <v>287067,15|2,0,0</v>
      </c>
      <c r="C15" t="str">
        <f>CONCATENATE(287064,",",ROW(BCTHBDVCSH_06615!C15),"|",COLUMN(BCTHBDVCSH_06615!C15),",0",",0")</f>
        <v>287064,15|3,0,0</v>
      </c>
      <c r="D15" t="str">
        <f>CONCATENATE(287206,",",ROW(BCTHBDVCSH_06615!D15),"|",COLUMN(BCTHBDVCSH_06615!D15),",0",",0")</f>
        <v>287206,15|4,0,0</v>
      </c>
      <c r="E15" t="str">
        <f>CONCATENATE(287088,",",ROW(BCTHBDVCSH_06615!E15),"|",COLUMN(BCTHBDVCSH_06615!E15),",0",",0")</f>
        <v>287088,15|5,0,0</v>
      </c>
      <c r="F15" t="str">
        <f>CONCATENATE(287094,",",ROW(BCTHBDVCSH_06615!F15),"|",COLUMN(BCTHBDVCSH_06615!F15),",0",",0")</f>
        <v>287094,15|6,0,0</v>
      </c>
      <c r="G15" t="str">
        <f>CONCATENATE(287167,",",ROW(BCTHBDVCSH_06615!G15),"|",COLUMN(BCTHBDVCSH_06615!G15),",0",",0")</f>
        <v>287167,15|7,0,0</v>
      </c>
      <c r="H15" t="str">
        <f>CONCATENATE(286998,",",ROW(BCTHBDVCSH_06615!H15),"|",COLUMN(BCTHBDVCSH_06615!H15),",0",",0")</f>
        <v>286998,15|8,0,0</v>
      </c>
      <c r="I15" t="str">
        <f>CONCATENATE(287117,",",ROW(BCTHBDVCSH_06615!I15),"|",COLUMN(BCTHBDVCSH_06615!I15),",0",",0")</f>
        <v>287117,15|9,0,0</v>
      </c>
      <c r="J15" t="str">
        <f>CONCATENATE(287227,",",ROW(BCTHBDVCSH_06615!J15),"|",COLUMN(BCTHBDVCSH_06615!J15),",0",",0")</f>
        <v>287227,15|10,0,0</v>
      </c>
      <c r="K15" t="str">
        <f>CONCATENATE(287193,",",ROW(BCTHBDVCSH_06615!K15),"|",COLUMN(BCTHBDVCSH_06615!K15),",0",",0")</f>
        <v>287193,15|11,0,0</v>
      </c>
    </row>
    <row r="16" spans="1:11" x14ac:dyDescent="0.25">
      <c r="A16" t="str">
        <f>CONCATENATE(287170,",",ROW(BCTHBDVCSH_06615!A16),"|",COLUMN(BCTHBDVCSH_06615!A16),",0",",0")</f>
        <v>287170,16|1,0,0</v>
      </c>
      <c r="B16" t="str">
        <f>CONCATENATE(287068,",",ROW(BCTHBDVCSH_06615!B16),"|",COLUMN(BCTHBDVCSH_06615!B16),",0",",0")</f>
        <v>287068,16|2,0,0</v>
      </c>
      <c r="C16" t="str">
        <f>CONCATENATE(287065,",",ROW(BCTHBDVCSH_06615!C16),"|",COLUMN(BCTHBDVCSH_06615!C16),",0",",0")</f>
        <v>287065,16|3,0,0</v>
      </c>
      <c r="D16" t="str">
        <f>CONCATENATE(287207,",",ROW(BCTHBDVCSH_06615!D16),"|",COLUMN(BCTHBDVCSH_06615!D16),",0",",0")</f>
        <v>287207,16|4,0,0</v>
      </c>
      <c r="E16" t="str">
        <f>CONCATENATE(287055,",",ROW(BCTHBDVCSH_06615!E16),"|",COLUMN(BCTHBDVCSH_06615!E16),",0",",0")</f>
        <v>287055,16|5,0,0</v>
      </c>
      <c r="F16" t="str">
        <f>CONCATENATE(287095,",",ROW(BCTHBDVCSH_06615!F16),"|",COLUMN(BCTHBDVCSH_06615!F16),",0",",0")</f>
        <v>287095,16|6,0,0</v>
      </c>
      <c r="G16" t="str">
        <f>CONCATENATE(287168,",",ROW(BCTHBDVCSH_06615!G16),"|",COLUMN(BCTHBDVCSH_06615!G16),",0",",0")</f>
        <v>287168,16|7,0,0</v>
      </c>
      <c r="H16" t="str">
        <f>CONCATENATE(286999,",",ROW(BCTHBDVCSH_06615!H16),"|",COLUMN(BCTHBDVCSH_06615!H16),",0",",0")</f>
        <v>286999,16|8,0,0</v>
      </c>
      <c r="I16" t="str">
        <f>CONCATENATE(287118,",",ROW(BCTHBDVCSH_06615!I16),"|",COLUMN(BCTHBDVCSH_06615!I16),",0",",0")</f>
        <v>287118,16|9,0,0</v>
      </c>
      <c r="J16" t="str">
        <f>CONCATENATE(287177,",",ROW(BCTHBDVCSH_06615!J16),"|",COLUMN(BCTHBDVCSH_06615!J16),",0",",0")</f>
        <v>287177,16|10,0,0</v>
      </c>
      <c r="K16" t="str">
        <f>CONCATENATE(287194,",",ROW(BCTHBDVCSH_06615!K16),"|",COLUMN(BCTHBDVCSH_06615!K16),",0",",0")</f>
        <v>287194,16|11,0,0</v>
      </c>
    </row>
    <row r="17" spans="1:11" x14ac:dyDescent="0.25">
      <c r="A17" t="str">
        <f>CONCATENATE(286981,",",ROW(BCTHBDVCSH_06615!A17),"|",COLUMN(BCTHBDVCSH_06615!A17),",0",",0")</f>
        <v>286981,17|1,0,0</v>
      </c>
      <c r="B17" t="str">
        <f>CONCATENATE(287069,",",ROW(BCTHBDVCSH_06615!B17),"|",COLUMN(BCTHBDVCSH_06615!B17),",0",",0")</f>
        <v>287069,17|2,0,0</v>
      </c>
      <c r="C17" t="str">
        <f>CONCATENATE(287066,",",ROW(BCTHBDVCSH_06615!C17),"|",COLUMN(BCTHBDVCSH_06615!C17),",0",",0")</f>
        <v>287066,17|3,0,0</v>
      </c>
      <c r="D17" t="str">
        <f>CONCATENATE(287208,",",ROW(BCTHBDVCSH_06615!D17),"|",COLUMN(BCTHBDVCSH_06615!D17),",0",",0")</f>
        <v>287208,17|4,0,0</v>
      </c>
      <c r="E17" t="str">
        <f>CONCATENATE(287056,",",ROW(BCTHBDVCSH_06615!E17),"|",COLUMN(BCTHBDVCSH_06615!E17),",0",",0")</f>
        <v>287056,17|5,0,0</v>
      </c>
      <c r="F17" t="str">
        <f>CONCATENATE(287096,",",ROW(BCTHBDVCSH_06615!F17),"|",COLUMN(BCTHBDVCSH_06615!F17),",0",",0")</f>
        <v>287096,17|6,0,0</v>
      </c>
      <c r="G17" t="str">
        <f>CONCATENATE(287169,",",ROW(BCTHBDVCSH_06615!G17),"|",COLUMN(BCTHBDVCSH_06615!G17),",0",",0")</f>
        <v>287169,17|7,0,0</v>
      </c>
      <c r="H17" t="str">
        <f>CONCATENATE(287000,",",ROW(BCTHBDVCSH_06615!H17),"|",COLUMN(BCTHBDVCSH_06615!H17),",0",",0")</f>
        <v>287000,17|8,0,0</v>
      </c>
      <c r="I17" t="str">
        <f>CONCATENATE(287119,",",ROW(BCTHBDVCSH_06615!I17),"|",COLUMN(BCTHBDVCSH_06615!I17),",0",",0")</f>
        <v>287119,17|9,0,0</v>
      </c>
      <c r="J17" t="str">
        <f>CONCATENATE(287178,",",ROW(BCTHBDVCSH_06615!J17),"|",COLUMN(BCTHBDVCSH_06615!J17),",0",",0")</f>
        <v>287178,17|10,0,0</v>
      </c>
      <c r="K17" t="str">
        <f>CONCATENATE(287057,",",ROW(BCTHBDVCSH_06615!K17),"|",COLUMN(BCTHBDVCSH_06615!K17),",0",",0")</f>
        <v>287057,17|11,0,0</v>
      </c>
    </row>
    <row r="18" spans="1:11" x14ac:dyDescent="0.25">
      <c r="A18" t="str">
        <f>CONCATENATE(287023,",",ROW(BCTHBDVCSH_06615!A18),"|",COLUMN(BCTHBDVCSH_06615!A18),",0",",0")</f>
        <v>287023,18|1,0,0</v>
      </c>
      <c r="B18" t="str">
        <f>CONCATENATE(287070,",",ROW(BCTHBDVCSH_06615!B18),"|",COLUMN(BCTHBDVCSH_06615!B18),",0",",0")</f>
        <v>287070,18|2,0,0</v>
      </c>
      <c r="C18" t="str">
        <f>CONCATENATE(287089,",",ROW(BCTHBDVCSH_06615!C18),"|",COLUMN(BCTHBDVCSH_06615!C18),",0",",0")</f>
        <v>287089,18|3,0,0</v>
      </c>
      <c r="D18" t="str">
        <f>CONCATENATE(287209,",",ROW(BCTHBDVCSH_06615!D18),"|",COLUMN(BCTHBDVCSH_06615!D18),",0",",0")</f>
        <v>287209,18|4,0,0</v>
      </c>
      <c r="E18" t="str">
        <f>CONCATENATE(287128,",",ROW(BCTHBDVCSH_06615!E18),"|",COLUMN(BCTHBDVCSH_06615!E18),",0",",0")</f>
        <v>287128,18|5,0,0</v>
      </c>
      <c r="F18" t="str">
        <f>CONCATENATE(287097,",",ROW(BCTHBDVCSH_06615!F18),"|",COLUMN(BCTHBDVCSH_06615!F18),",0",",0")</f>
        <v>287097,18|6,0,0</v>
      </c>
      <c r="G18" t="str">
        <f>CONCATENATE(287176,",",ROW(BCTHBDVCSH_06615!G18),"|",COLUMN(BCTHBDVCSH_06615!G18),",0",",0")</f>
        <v>287176,18|7,0,0</v>
      </c>
      <c r="H18" t="str">
        <f>CONCATENATE(287001,",",ROW(BCTHBDVCSH_06615!H18),"|",COLUMN(BCTHBDVCSH_06615!H18),",0",",0")</f>
        <v>287001,18|8,0,0</v>
      </c>
      <c r="I18" t="str">
        <f>CONCATENATE(287120,",",ROW(BCTHBDVCSH_06615!I18),"|",COLUMN(BCTHBDVCSH_06615!I18),",0",",0")</f>
        <v>287120,18|9,0,0</v>
      </c>
      <c r="J18" t="str">
        <f>CONCATENATE(287179,",",ROW(BCTHBDVCSH_06615!J18),"|",COLUMN(BCTHBDVCSH_06615!J18),",0",",0")</f>
        <v>287179,18|10,0,0</v>
      </c>
      <c r="K18" t="str">
        <f>CONCATENATE(287058,",",ROW(BCTHBDVCSH_06615!K18),"|",COLUMN(BCTHBDVCSH_06615!K18),",0",",0")</f>
        <v>287058,18|11,0,0</v>
      </c>
    </row>
    <row r="19" spans="1:11" x14ac:dyDescent="0.25">
      <c r="A19" t="str">
        <f>CONCATENATE(287174,",",ROW(BCTHBDVCSH_06615!A19),"|",COLUMN(BCTHBDVCSH_06615!A19),",0",",0")</f>
        <v>287174,19|1,0,0</v>
      </c>
      <c r="B19" t="str">
        <f>CONCATENATE(287071,",",ROW(BCTHBDVCSH_06615!B19),"|",COLUMN(BCTHBDVCSH_06615!B19),",0",",0")</f>
        <v>287071,19|2,0,0</v>
      </c>
      <c r="C19" t="str">
        <f>CONCATENATE(287127,",",ROW(BCTHBDVCSH_06615!C19),"|",COLUMN(BCTHBDVCSH_06615!C19),",0",",0")</f>
        <v>287127,19|3,0,0</v>
      </c>
      <c r="D19" t="str">
        <f>CONCATENATE(287210,",",ROW(BCTHBDVCSH_06615!D19),"|",COLUMN(BCTHBDVCSH_06615!D19),",0",",0")</f>
        <v>287210,19|4,0,0</v>
      </c>
      <c r="E19" t="str">
        <f>CONCATENATE(287129,",",ROW(BCTHBDVCSH_06615!E19),"|",COLUMN(BCTHBDVCSH_06615!E19),",0",",0")</f>
        <v>287129,19|5,0,0</v>
      </c>
      <c r="F19" t="str">
        <f>CONCATENATE(287098,",",ROW(BCTHBDVCSH_06615!F19),"|",COLUMN(BCTHBDVCSH_06615!F19),",0",",0")</f>
        <v>287098,19|6,0,0</v>
      </c>
      <c r="G19" t="str">
        <f>CONCATENATE(287028,",",ROW(BCTHBDVCSH_06615!G19),"|",COLUMN(BCTHBDVCSH_06615!G19),",0",",0")</f>
        <v>287028,19|7,0,0</v>
      </c>
      <c r="H19" t="str">
        <f>CONCATENATE(287002,",",ROW(BCTHBDVCSH_06615!H19),"|",COLUMN(BCTHBDVCSH_06615!H19),",0",",0")</f>
        <v>287002,19|8,0,0</v>
      </c>
      <c r="I19" t="str">
        <f>CONCATENATE(287121,",",ROW(BCTHBDVCSH_06615!I19),"|",COLUMN(BCTHBDVCSH_06615!I19),",0",",0")</f>
        <v>287121,19|9,0,0</v>
      </c>
      <c r="J19" t="str">
        <f>CONCATENATE(287180,",",ROW(BCTHBDVCSH_06615!J19),"|",COLUMN(BCTHBDVCSH_06615!J19),",0",",0")</f>
        <v>287180,19|10,0,0</v>
      </c>
      <c r="K19" t="str">
        <f>CONCATENATE(287016,",",ROW(BCTHBDVCSH_06615!K19),"|",COLUMN(BCTHBDVCSH_06615!K19),",0",",0")</f>
        <v>287016,19|11,0,0</v>
      </c>
    </row>
    <row r="20" spans="1:11" x14ac:dyDescent="0.25">
      <c r="A20" t="str">
        <f>CONCATENATE(286982,",",ROW(BCTHBDVCSH_06615!A20),"|",COLUMN(BCTHBDVCSH_06615!A20),",0",",0")</f>
        <v>286982,20|1,0,0</v>
      </c>
      <c r="B20" t="str">
        <f>CONCATENATE(287072,",",ROW(BCTHBDVCSH_06615!B20),"|",COLUMN(BCTHBDVCSH_06615!B20),",0",",0")</f>
        <v>287072,20|2,0,0</v>
      </c>
      <c r="C20" t="str">
        <f>CONCATENATE(287143,",",ROW(BCTHBDVCSH_06615!C20),"|",COLUMN(BCTHBDVCSH_06615!C20),",0",",0")</f>
        <v>287143,20|3,0,0</v>
      </c>
      <c r="D20" t="str">
        <f>CONCATENATE(287211,",",ROW(BCTHBDVCSH_06615!D20),"|",COLUMN(BCTHBDVCSH_06615!D20),",0",",0")</f>
        <v>287211,20|4,0,0</v>
      </c>
      <c r="E20" t="str">
        <f>CONCATENATE(287130,",",ROW(BCTHBDVCSH_06615!E20),"|",COLUMN(BCTHBDVCSH_06615!E20),",0",",0")</f>
        <v>287130,20|5,0,0</v>
      </c>
      <c r="F20" t="str">
        <f>CONCATENATE(287099,",",ROW(BCTHBDVCSH_06615!F20),"|",COLUMN(BCTHBDVCSH_06615!F20),",0",",0")</f>
        <v>287099,20|6,0,0</v>
      </c>
      <c r="G20" t="str">
        <f>CONCATENATE(287029,",",ROW(BCTHBDVCSH_06615!G20),"|",COLUMN(BCTHBDVCSH_06615!G20),",0",",0")</f>
        <v>287029,20|7,0,0</v>
      </c>
      <c r="H20" t="str">
        <f>CONCATENATE(287003,",",ROW(BCTHBDVCSH_06615!H20),"|",COLUMN(BCTHBDVCSH_06615!H20),",0",",0")</f>
        <v>287003,20|8,0,0</v>
      </c>
      <c r="I20" t="str">
        <f>CONCATENATE(287122,",",ROW(BCTHBDVCSH_06615!I20),"|",COLUMN(BCTHBDVCSH_06615!I20),",0",",0")</f>
        <v>287122,20|9,0,0</v>
      </c>
      <c r="J20" t="str">
        <f>CONCATENATE(287181,",",ROW(BCTHBDVCSH_06615!J20),"|",COLUMN(BCTHBDVCSH_06615!J20),",0",",0")</f>
        <v>287181,20|10,0,0</v>
      </c>
      <c r="K20" t="str">
        <f>CONCATENATE(287017,",",ROW(BCTHBDVCSH_06615!K20),"|",COLUMN(BCTHBDVCSH_06615!K20),",0",",0")</f>
        <v>287017,20|11,0,0</v>
      </c>
    </row>
    <row r="21" spans="1:11" x14ac:dyDescent="0.25">
      <c r="A21" t="str">
        <f>CONCATENATE(286988,",",ROW(BCTHBDVCSH_06615!A21),"|",COLUMN(BCTHBDVCSH_06615!A21),",0",",0")</f>
        <v>286988,21|1,0,0</v>
      </c>
      <c r="B21" t="str">
        <f>CONCATENATE(287073,",",ROW(BCTHBDVCSH_06615!B21),"|",COLUMN(BCTHBDVCSH_06615!B21),",0",",0")</f>
        <v>287073,21|2,0,0</v>
      </c>
      <c r="C21" t="str">
        <f>CONCATENATE(287144,",",ROW(BCTHBDVCSH_06615!C21),"|",COLUMN(BCTHBDVCSH_06615!C21),",0",",0")</f>
        <v>287144,21|3,0,0</v>
      </c>
      <c r="D21" t="str">
        <f>CONCATENATE(287212,",",ROW(BCTHBDVCSH_06615!D21),"|",COLUMN(BCTHBDVCSH_06615!D21),",0",",0")</f>
        <v>287212,21|4,0,0</v>
      </c>
      <c r="E21" t="str">
        <f>CONCATENATE(287131,",",ROW(BCTHBDVCSH_06615!E21),"|",COLUMN(BCTHBDVCSH_06615!E21),",0",",0")</f>
        <v>287131,21|5,0,0</v>
      </c>
      <c r="F21" t="str">
        <f>CONCATENATE(287100,",",ROW(BCTHBDVCSH_06615!F21),"|",COLUMN(BCTHBDVCSH_06615!F21),",0",",0")</f>
        <v>287100,21|6,0,0</v>
      </c>
      <c r="G21" t="str">
        <f>CONCATENATE(287031,",",ROW(BCTHBDVCSH_06615!G21),"|",COLUMN(BCTHBDVCSH_06615!G21),",0",",0")</f>
        <v>287031,21|7,0,0</v>
      </c>
      <c r="H21" t="str">
        <f>CONCATENATE(287004,",",ROW(BCTHBDVCSH_06615!H21),"|",COLUMN(BCTHBDVCSH_06615!H21),",0",",0")</f>
        <v>287004,21|8,0,0</v>
      </c>
      <c r="I21" t="str">
        <f>CONCATENATE(287123,",",ROW(BCTHBDVCSH_06615!I21),"|",COLUMN(BCTHBDVCSH_06615!I21),",0",",0")</f>
        <v>287123,21|9,0,0</v>
      </c>
      <c r="J21" t="str">
        <f>CONCATENATE(287182,",",ROW(BCTHBDVCSH_06615!J21),"|",COLUMN(BCTHBDVCSH_06615!J21),",0",",0")</f>
        <v>287182,21|10,0,0</v>
      </c>
      <c r="K21" t="str">
        <f>CONCATENATE(287150,",",ROW(BCTHBDVCSH_06615!K21),"|",COLUMN(BCTHBDVCSH_06615!K21),",0",",0")</f>
        <v>287150,21|11,0,0</v>
      </c>
    </row>
    <row r="22" spans="1:11" x14ac:dyDescent="0.25">
      <c r="A22" t="str">
        <f>CONCATENATE(286983,",",ROW(BCTHBDVCSH_06615!A22),"|",COLUMN(BCTHBDVCSH_06615!A22),",0",",0")</f>
        <v>286983,22|1,0,0</v>
      </c>
      <c r="B22" t="str">
        <f>CONCATENATE(287074,",",ROW(BCTHBDVCSH_06615!B22),"|",COLUMN(BCTHBDVCSH_06615!B22),",0",",0")</f>
        <v>287074,22|2,0,0</v>
      </c>
      <c r="C22" t="str">
        <f>CONCATENATE(287145,",",ROW(BCTHBDVCSH_06615!C22),"|",COLUMN(BCTHBDVCSH_06615!C22),",0",",0")</f>
        <v>287145,22|3,0,0</v>
      </c>
      <c r="D22" t="str">
        <f>CONCATENATE(287213,",",ROW(BCTHBDVCSH_06615!D22),"|",COLUMN(BCTHBDVCSH_06615!D22),",0",",0")</f>
        <v>287213,22|4,0,0</v>
      </c>
      <c r="E22" t="str">
        <f>CONCATENATE(287132,",",ROW(BCTHBDVCSH_06615!E22),"|",COLUMN(BCTHBDVCSH_06615!E22),",0",",0")</f>
        <v>287132,22|5,0,0</v>
      </c>
      <c r="F22" t="str">
        <f>CONCATENATE(287101,",",ROW(BCTHBDVCSH_06615!F22),"|",COLUMN(BCTHBDVCSH_06615!F22),",0",",0")</f>
        <v>287101,22|6,0,0</v>
      </c>
      <c r="G22" t="str">
        <f>CONCATENATE(287032,",",ROW(BCTHBDVCSH_06615!G22),"|",COLUMN(BCTHBDVCSH_06615!G22),",0",",0")</f>
        <v>287032,22|7,0,0</v>
      </c>
      <c r="H22" t="str">
        <f>CONCATENATE(287005,",",ROW(BCTHBDVCSH_06615!H22),"|",COLUMN(BCTHBDVCSH_06615!H22),",0",",0")</f>
        <v>287005,22|8,0,0</v>
      </c>
      <c r="I22" t="str">
        <f>CONCATENATE(287124,",",ROW(BCTHBDVCSH_06615!I22),"|",COLUMN(BCTHBDVCSH_06615!I22),",0",",0")</f>
        <v>287124,22|9,0,0</v>
      </c>
      <c r="J22" t="str">
        <f>CONCATENATE(287183,",",ROW(BCTHBDVCSH_06615!J22),"|",COLUMN(BCTHBDVCSH_06615!J22),",0",",0")</f>
        <v>287183,22|10,0,0</v>
      </c>
      <c r="K22" t="str">
        <f>CONCATENATE(287018,",",ROW(BCTHBDVCSH_06615!K22),"|",COLUMN(BCTHBDVCSH_06615!K22),",0",",0")</f>
        <v>287018,22|11,0,0</v>
      </c>
    </row>
    <row r="23" spans="1:11" x14ac:dyDescent="0.25">
      <c r="A23" t="str">
        <f>CONCATENATE(287024,",",ROW(BCTHBDVCSH_06615!A23),"|",COLUMN(BCTHBDVCSH_06615!A23),",0",",0")</f>
        <v>287024,23|1,0,0</v>
      </c>
      <c r="B23" t="str">
        <f>CONCATENATE(287075,",",ROW(BCTHBDVCSH_06615!B23),"|",COLUMN(BCTHBDVCSH_06615!B23),",0",",0")</f>
        <v>287075,23|2,0,0</v>
      </c>
      <c r="C23" t="str">
        <f>CONCATENATE(287146,",",ROW(BCTHBDVCSH_06615!C23),"|",COLUMN(BCTHBDVCSH_06615!C23),",0",",0")</f>
        <v>287146,23|3,0,0</v>
      </c>
      <c r="D23" t="str">
        <f>CONCATENATE(287214,",",ROW(BCTHBDVCSH_06615!D23),"|",COLUMN(BCTHBDVCSH_06615!D23),",0",",0")</f>
        <v>287214,23|4,0,0</v>
      </c>
      <c r="E23" t="str">
        <f>CONCATENATE(287133,",",ROW(BCTHBDVCSH_06615!E23),"|",COLUMN(BCTHBDVCSH_06615!E23),",0",",0")</f>
        <v>287133,23|5,0,0</v>
      </c>
      <c r="F23" t="str">
        <f>CONCATENATE(287102,",",ROW(BCTHBDVCSH_06615!F23),"|",COLUMN(BCTHBDVCSH_06615!F23),",0",",0")</f>
        <v>287102,23|6,0,0</v>
      </c>
      <c r="G23" t="str">
        <f>CONCATENATE(287033,",",ROW(BCTHBDVCSH_06615!G23),"|",COLUMN(BCTHBDVCSH_06615!G23),",0",",0")</f>
        <v>287033,23|7,0,0</v>
      </c>
      <c r="H23" t="str">
        <f>CONCATENATE(287006,",",ROW(BCTHBDVCSH_06615!H23),"|",COLUMN(BCTHBDVCSH_06615!H23),",0",",0")</f>
        <v>287006,23|8,0,0</v>
      </c>
      <c r="I23" t="str">
        <f>CONCATENATE(287125,",",ROW(BCTHBDVCSH_06615!I23),"|",COLUMN(BCTHBDVCSH_06615!I23),",0",",0")</f>
        <v>287125,23|9,0,0</v>
      </c>
      <c r="J23" t="str">
        <f>CONCATENATE(287184,",",ROW(BCTHBDVCSH_06615!J23),"|",COLUMN(BCTHBDVCSH_06615!J23),",0",",0")</f>
        <v>287184,23|10,0,0</v>
      </c>
      <c r="K23" t="str">
        <f>CONCATENATE(287151,",",ROW(BCTHBDVCSH_06615!K23),"|",COLUMN(BCTHBDVCSH_06615!K23),",0",",0")</f>
        <v>287151,23|11,0,0</v>
      </c>
    </row>
    <row r="24" spans="1:11" x14ac:dyDescent="0.25">
      <c r="A24" t="str">
        <f>CONCATENATE(287172,",",ROW(BCTHBDVCSH_06615!A24),"|",COLUMN(BCTHBDVCSH_06615!A24),",0",",0")</f>
        <v>287172,24|1,0,0</v>
      </c>
      <c r="B24" t="str">
        <f>CONCATENATE(287076,",",ROW(BCTHBDVCSH_06615!B24),"|",COLUMN(BCTHBDVCSH_06615!B24),",0",",0")</f>
        <v>287076,24|2,0,0</v>
      </c>
      <c r="C24" t="str">
        <f>CONCATENATE(287147,",",ROW(BCTHBDVCSH_06615!C24),"|",COLUMN(BCTHBDVCSH_06615!C24),",0",",0")</f>
        <v>287147,24|3,0,0</v>
      </c>
      <c r="D24" t="str">
        <f>CONCATENATE(287215,",",ROW(BCTHBDVCSH_06615!D24),"|",COLUMN(BCTHBDVCSH_06615!D24),",0",",0")</f>
        <v>287215,24|4,0,0</v>
      </c>
      <c r="E24" t="str">
        <f>CONCATENATE(287134,",",ROW(BCTHBDVCSH_06615!E24),"|",COLUMN(BCTHBDVCSH_06615!E24),",0",",0")</f>
        <v>287134,24|5,0,0</v>
      </c>
      <c r="F24" t="str">
        <f>CONCATENATE(287103,",",ROW(BCTHBDVCSH_06615!F24),"|",COLUMN(BCTHBDVCSH_06615!F24),",0",",0")</f>
        <v>287103,24|6,0,0</v>
      </c>
      <c r="G24" t="str">
        <f>CONCATENATE(287034,",",ROW(BCTHBDVCSH_06615!G24),"|",COLUMN(BCTHBDVCSH_06615!G24),",0",",0")</f>
        <v>287034,24|7,0,0</v>
      </c>
      <c r="H24" t="str">
        <f>CONCATENATE(287007,",",ROW(BCTHBDVCSH_06615!H24),"|",COLUMN(BCTHBDVCSH_06615!H24),",0",",0")</f>
        <v>287007,24|8,0,0</v>
      </c>
      <c r="I24" t="str">
        <f>CONCATENATE(287126,",",ROW(BCTHBDVCSH_06615!I24),"|",COLUMN(BCTHBDVCSH_06615!I24),",0",",0")</f>
        <v>287126,24|9,0,0</v>
      </c>
      <c r="J24" t="str">
        <f>CONCATENATE(287185,",",ROW(BCTHBDVCSH_06615!J24),"|",COLUMN(BCTHBDVCSH_06615!J24),",0",",0")</f>
        <v>287185,24|10,0,0</v>
      </c>
      <c r="K24" t="str">
        <f>CONCATENATE(287059,",",ROW(BCTHBDVCSH_06615!K24),"|",COLUMN(BCTHBDVCSH_06615!K24),",0",",0")</f>
        <v>287059,24|11,0,0</v>
      </c>
    </row>
    <row r="25" spans="1:11" x14ac:dyDescent="0.25">
      <c r="A25" t="str">
        <f>CONCATENATE(287173,",",ROW(BCTHBDVCSH_06615!A25),"|",COLUMN(BCTHBDVCSH_06615!A25),",0",",0")</f>
        <v>287173,25|1,0,0</v>
      </c>
      <c r="B25" t="str">
        <f>CONCATENATE(287077,",",ROW(BCTHBDVCSH_06615!B25),"|",COLUMN(BCTHBDVCSH_06615!B25),",0",",0")</f>
        <v>287077,25|2,0,0</v>
      </c>
      <c r="C25" t="str">
        <f>CONCATENATE(287148,",",ROW(BCTHBDVCSH_06615!C25),"|",COLUMN(BCTHBDVCSH_06615!C25),",0",",0")</f>
        <v>287148,25|3,0,0</v>
      </c>
      <c r="D25" t="str">
        <f>CONCATENATE(287216,",",ROW(BCTHBDVCSH_06615!D25),"|",COLUMN(BCTHBDVCSH_06615!D25),",0",",0")</f>
        <v>287216,25|4,0,0</v>
      </c>
      <c r="E25" t="str">
        <f>CONCATENATE(287135,",",ROW(BCTHBDVCSH_06615!E25),"|",COLUMN(BCTHBDVCSH_06615!E25),",0",",0")</f>
        <v>287135,25|5,0,0</v>
      </c>
      <c r="F25" t="str">
        <f>CONCATENATE(287104,",",ROW(BCTHBDVCSH_06615!F25),"|",COLUMN(BCTHBDVCSH_06615!F25),",0",",0")</f>
        <v>287104,25|6,0,0</v>
      </c>
      <c r="G25" t="str">
        <f>CONCATENATE(287035,",",ROW(BCTHBDVCSH_06615!G25),"|",COLUMN(BCTHBDVCSH_06615!G25),",0",",0")</f>
        <v>287035,25|7,0,0</v>
      </c>
      <c r="H25" t="str">
        <f>CONCATENATE(287008,",",ROW(BCTHBDVCSH_06615!H25),"|",COLUMN(BCTHBDVCSH_06615!H25),",0",",0")</f>
        <v>287008,25|8,0,0</v>
      </c>
      <c r="I25" t="str">
        <f>CONCATENATE(286984,",",ROW(BCTHBDVCSH_06615!I25),"|",COLUMN(BCTHBDVCSH_06615!I25),",0",",0")</f>
        <v>286984,25|9,0,0</v>
      </c>
      <c r="J25" t="str">
        <f>CONCATENATE(287186,",",ROW(BCTHBDVCSH_06615!J25),"|",COLUMN(BCTHBDVCSH_06615!J25),",0",",0")</f>
        <v>287186,25|10,0,0</v>
      </c>
      <c r="K25" t="str">
        <f>CONCATENATE(287152,",",ROW(BCTHBDVCSH_06615!K25),"|",COLUMN(BCTHBDVCSH_06615!K25),",0",",0")</f>
        <v>287152,25|11,0,0</v>
      </c>
    </row>
    <row r="26" spans="1:11" x14ac:dyDescent="0.25">
      <c r="A26" t="str">
        <f>CONCATENATE(286975,",",ROW(BCTHBDVCSH_06615!A26),"|",COLUMN(BCTHBDVCSH_06615!A26),",0",",0")</f>
        <v>286975,26|1,0,0</v>
      </c>
      <c r="B26" t="str">
        <f>CONCATENATE(287078,",",ROW(BCTHBDVCSH_06615!B26),"|",COLUMN(BCTHBDVCSH_06615!B26),",0",",0")</f>
        <v>287078,26|2,0,0</v>
      </c>
      <c r="C26" t="str">
        <f>CONCATENATE(287149,",",ROW(BCTHBDVCSH_06615!C26),"|",COLUMN(BCTHBDVCSH_06615!C26),",0",",0")</f>
        <v>287149,26|3,0,0</v>
      </c>
      <c r="D26" t="str">
        <f>CONCATENATE(287217,",",ROW(BCTHBDVCSH_06615!D26),"|",COLUMN(BCTHBDVCSH_06615!D26),",0",",0")</f>
        <v>287217,26|4,0,0</v>
      </c>
      <c r="E26" t="str">
        <f>CONCATENATE(287136,",",ROW(BCTHBDVCSH_06615!E26),"|",COLUMN(BCTHBDVCSH_06615!E26),",0",",0")</f>
        <v>287136,26|5,0,0</v>
      </c>
      <c r="F26" t="str">
        <f>CONCATENATE(287105,",",ROW(BCTHBDVCSH_06615!F26),"|",COLUMN(BCTHBDVCSH_06615!F26),",0",",0")</f>
        <v>287105,26|6,0,0</v>
      </c>
      <c r="G26" t="str">
        <f>CONCATENATE(287036,",",ROW(BCTHBDVCSH_06615!G26),"|",COLUMN(BCTHBDVCSH_06615!G26),",0",",0")</f>
        <v>287036,26|7,0,0</v>
      </c>
      <c r="H26" t="str">
        <f>CONCATENATE(287009,",",ROW(BCTHBDVCSH_06615!H26),"|",COLUMN(BCTHBDVCSH_06615!H26),",0",",0")</f>
        <v>287009,26|8,0,0</v>
      </c>
      <c r="I26" t="str">
        <f>CONCATENATE(286985,",",ROW(BCTHBDVCSH_06615!I26),"|",COLUMN(BCTHBDVCSH_06615!I26),",0",",0")</f>
        <v>286985,26|9,0,0</v>
      </c>
      <c r="J26" t="str">
        <f>CONCATENATE(287187,",",ROW(BCTHBDVCSH_06615!J26),"|",COLUMN(BCTHBDVCSH_06615!J26),",0",",0")</f>
        <v>287187,26|10,0,0</v>
      </c>
      <c r="K26" t="str">
        <f>CONCATENATE(287019,",",ROW(BCTHBDVCSH_06615!K26),"|",COLUMN(BCTHBDVCSH_06615!K26),",0",",0")</f>
        <v>287019,26|11,0,0</v>
      </c>
    </row>
    <row r="27" spans="1:11" x14ac:dyDescent="0.25">
      <c r="A27" t="str">
        <f>CONCATENATE(286976,",",ROW(BCTHBDVCSH_06615!A27),"|",COLUMN(BCTHBDVCSH_06615!A27),",0",",0")</f>
        <v>286976,27|1,0,0</v>
      </c>
      <c r="B27" t="str">
        <f>CONCATENATE(287079,",",ROW(BCTHBDVCSH_06615!B27),"|",COLUMN(BCTHBDVCSH_06615!B27),",0",",0")</f>
        <v>287079,27|2,0,0</v>
      </c>
      <c r="C27" t="str">
        <f>CONCATENATE(287156,",",ROW(BCTHBDVCSH_06615!C27),"|",COLUMN(BCTHBDVCSH_06615!C27),",0",",0")</f>
        <v>287156,27|3,0,0</v>
      </c>
      <c r="D27" t="str">
        <f>CONCATENATE(287218,",",ROW(BCTHBDVCSH_06615!D27),"|",COLUMN(BCTHBDVCSH_06615!D27),",0",",0")</f>
        <v>287218,27|4,0,0</v>
      </c>
      <c r="E27" t="str">
        <f>CONCATENATE(287137,",",ROW(BCTHBDVCSH_06615!E27),"|",COLUMN(BCTHBDVCSH_06615!E27),",0",",0")</f>
        <v>287137,27|5,0,0</v>
      </c>
      <c r="F27" t="str">
        <f>CONCATENATE(287106,",",ROW(BCTHBDVCSH_06615!F27),"|",COLUMN(BCTHBDVCSH_06615!F27),",0",",0")</f>
        <v>287106,27|6,0,0</v>
      </c>
      <c r="G27" t="str">
        <f>CONCATENATE(287037,",",ROW(BCTHBDVCSH_06615!G27),"|",COLUMN(BCTHBDVCSH_06615!G27),",0",",0")</f>
        <v>287037,27|7,0,0</v>
      </c>
      <c r="H27" t="str">
        <f>CONCATENATE(287010,",",ROW(BCTHBDVCSH_06615!H27),"|",COLUMN(BCTHBDVCSH_06615!H27),",0",",0")</f>
        <v>287010,27|8,0,0</v>
      </c>
      <c r="I27" t="str">
        <f>CONCATENATE(286986,",",ROW(BCTHBDVCSH_06615!I27),"|",COLUMN(BCTHBDVCSH_06615!I27),",0",",0")</f>
        <v>286986,27|9,0,0</v>
      </c>
      <c r="J27" t="str">
        <f>CONCATENATE(287188,",",ROW(BCTHBDVCSH_06615!J27),"|",COLUMN(BCTHBDVCSH_06615!J27),",0",",0")</f>
        <v>287188,27|10,0,0</v>
      </c>
      <c r="K27" t="str">
        <f>CONCATENATE(287153,",",ROW(BCTHBDVCSH_06615!K27),"|",COLUMN(BCTHBDVCSH_06615!K27),",0",",0")</f>
        <v>287153,27|11,0,0</v>
      </c>
    </row>
    <row r="28" spans="1:11" x14ac:dyDescent="0.25">
      <c r="A28" t="str">
        <f>CONCATENATE(287026,",",ROW(BCTHBDVCSH_06615!A28),"|",COLUMN(BCTHBDVCSH_06615!A28),",0",",0")</f>
        <v>287026,28|1,0,0</v>
      </c>
      <c r="B28" t="str">
        <f>CONCATENATE(287080,",",ROW(BCTHBDVCSH_06615!B28),"|",COLUMN(BCTHBDVCSH_06615!B28),",0",",0")</f>
        <v>287080,28|2,0,0</v>
      </c>
      <c r="C28" t="str">
        <f>CONCATENATE(287157,",",ROW(BCTHBDVCSH_06615!C28),"|",COLUMN(BCTHBDVCSH_06615!C28),",0",",0")</f>
        <v>287157,28|3,0,0</v>
      </c>
      <c r="D28" t="str">
        <f>CONCATENATE(287219,",",ROW(BCTHBDVCSH_06615!D28),"|",COLUMN(BCTHBDVCSH_06615!D28),",0",",0")</f>
        <v>287219,28|4,0,0</v>
      </c>
      <c r="E28" t="str">
        <f>CONCATENATE(287138,",",ROW(BCTHBDVCSH_06615!E28),"|",COLUMN(BCTHBDVCSH_06615!E28),",0",",0")</f>
        <v>287138,28|5,0,0</v>
      </c>
      <c r="F28" t="str">
        <f>CONCATENATE(287107,",",ROW(BCTHBDVCSH_06615!F28),"|",COLUMN(BCTHBDVCSH_06615!F28),",0",",0")</f>
        <v>287107,28|6,0,0</v>
      </c>
      <c r="G28" t="str">
        <f>CONCATENATE(287038,",",ROW(BCTHBDVCSH_06615!G28),"|",COLUMN(BCTHBDVCSH_06615!G28),",0",",0")</f>
        <v>287038,28|7,0,0</v>
      </c>
      <c r="H28" t="str">
        <f>CONCATENATE(287011,",",ROW(BCTHBDVCSH_06615!H28),"|",COLUMN(BCTHBDVCSH_06615!H28),",0",",0")</f>
        <v>287011,28|8,0,0</v>
      </c>
      <c r="I28" t="str">
        <f>CONCATENATE(286987,",",ROW(BCTHBDVCSH_06615!I28),"|",COLUMN(BCTHBDVCSH_06615!I28),",0",",0")</f>
        <v>286987,28|9,0,0</v>
      </c>
      <c r="J28" t="str">
        <f>CONCATENATE(287189,",",ROW(BCTHBDVCSH_06615!J28),"|",COLUMN(BCTHBDVCSH_06615!J28),",0",",0")</f>
        <v>287189,28|10,0,0</v>
      </c>
      <c r="K28" t="str">
        <f>CONCATENATE(287060,",",ROW(BCTHBDVCSH_06615!K28),"|",COLUMN(BCTHBDVCSH_06615!K28),",0",",0")</f>
        <v>287060,28|11,0,0</v>
      </c>
    </row>
    <row r="29" spans="1:11" x14ac:dyDescent="0.25">
      <c r="A29" t="str">
        <f>CONCATENATE(286977,",",ROW(BCTHBDVCSH_06615!A29),"|",COLUMN(BCTHBDVCSH_06615!A29),",0",",0")</f>
        <v>286977,29|1,0,0</v>
      </c>
      <c r="B29" t="str">
        <f>CONCATENATE(287081,",",ROW(BCTHBDVCSH_06615!B29),"|",COLUMN(BCTHBDVCSH_06615!B29),",0",",0")</f>
        <v>287081,29|2,0,0</v>
      </c>
      <c r="C29" t="str">
        <f>CONCATENATE(287158,",",ROW(BCTHBDVCSH_06615!C29),"|",COLUMN(BCTHBDVCSH_06615!C29),",0",",0")</f>
        <v>287158,29|3,0,0</v>
      </c>
      <c r="D29" t="str">
        <f>CONCATENATE(287220,",",ROW(BCTHBDVCSH_06615!D29),"|",COLUMN(BCTHBDVCSH_06615!D29),",0",",0")</f>
        <v>287220,29|4,0,0</v>
      </c>
      <c r="E29" t="str">
        <f>CONCATENATE(287139,",",ROW(BCTHBDVCSH_06615!E29),"|",COLUMN(BCTHBDVCSH_06615!E29),",0",",0")</f>
        <v>287139,29|5,0,0</v>
      </c>
      <c r="F29" t="str">
        <f>CONCATENATE(287108,",",ROW(BCTHBDVCSH_06615!F29),"|",COLUMN(BCTHBDVCSH_06615!F29),",0",",0")</f>
        <v>287108,29|6,0,0</v>
      </c>
      <c r="G29" t="str">
        <f>CONCATENATE(287039,",",ROW(BCTHBDVCSH_06615!G29),"|",COLUMN(BCTHBDVCSH_06615!G29),",0",",0")</f>
        <v>287039,29|7,0,0</v>
      </c>
      <c r="H29" t="str">
        <f>CONCATENATE(287012,",",ROW(BCTHBDVCSH_06615!H29),"|",COLUMN(BCTHBDVCSH_06615!H29),",0",",0")</f>
        <v>287012,29|8,0,0</v>
      </c>
      <c r="I29" t="str">
        <f>CONCATENATE(286989,",",ROW(BCTHBDVCSH_06615!I29),"|",COLUMN(BCTHBDVCSH_06615!I29),",0",",0")</f>
        <v>286989,29|9,0,0</v>
      </c>
      <c r="J29" t="str">
        <f>CONCATENATE(287190,",",ROW(BCTHBDVCSH_06615!J29),"|",COLUMN(BCTHBDVCSH_06615!J29),",0",",0")</f>
        <v>287190,29|10,0,0</v>
      </c>
      <c r="K29" t="str">
        <f>CONCATENATE(287154,",",ROW(BCTHBDVCSH_06615!K29),"|",COLUMN(BCTHBDVCSH_06615!K29),",0",",0")</f>
        <v>287154,29|11,0,0</v>
      </c>
    </row>
  </sheetData>
  <sheetProtection password="CB7D" sheet="1" objects="1" scenarios="1"/>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oa6unJVGy0g9txav3CQaLtZVD96aDijiONRdn4Holbc=</DigestValue>
    </Reference>
    <Reference Type="http://www.w3.org/2000/09/xmldsig#Object" URI="#idOfficeObject">
      <DigestMethod Algorithm="http://www.w3.org/2001/04/xmlenc#sha256"/>
      <DigestValue>kjT/x0zetzIcs/8VWZLvF8JB7UalKdIfpe19w6Htld0=</DigestValue>
    </Reference>
    <Reference Type="http://uri.etsi.org/01903#SignedProperties" URI="#idSignedProperties">
      <Transforms>
        <Transform Algorithm="http://www.w3.org/TR/2001/REC-xml-c14n-20010315"/>
      </Transforms>
      <DigestMethod Algorithm="http://www.w3.org/2001/04/xmlenc#sha256"/>
      <DigestValue>sTL3RNszBsai3Pq5bMlCwi0sgXbTLWc4P7+MuAzcxcI=</DigestValue>
    </Reference>
    <Reference Type="http://www.w3.org/2000/09/xmldsig#Object" URI="#idValidSigLnImg">
      <DigestMethod Algorithm="http://www.w3.org/2001/04/xmlenc#sha256"/>
      <DigestValue>w1BepDhc/va3sjuPnN14/ElqN/G42+pCWoFFGNx4r9Q=</DigestValue>
    </Reference>
    <Reference Type="http://www.w3.org/2000/09/xmldsig#Object" URI="#idInvalidSigLnImg">
      <DigestMethod Algorithm="http://www.w3.org/2001/04/xmlenc#sha256"/>
      <DigestValue>1PEaHwNXUSLVDcsT0+ohzpmuAhahSXbDhwkp1Sv2f94=</DigestValue>
    </Reference>
  </SignedInfo>
  <SignatureValue>chuuXWAZEVTY77C59IdexJXWkcOfRM6ZJTfmhn4MNOUvGGDJmkFkJlNOQ4LYh2GzcM/25VId01W4
rxGpGxjA6kmyl+VSgubfrNdFdfiFunnfxJF1UG2RfjPUlo0sEM+ak06uKi2M/9BqkLXoodXh6sqO
JccAGgTSQZxtaShSs3+u0g67LosMUJr49AjTFnxxrZ83EYncxNQk66rfBXzSdNMVKTtTStFKeHU0
A8jNu/bruaJ3USe60NH8UqxwMxctLGpLCvgzZTXOIWzjKeEryXNFVaE1nxbCQu4sdYMbsdwUZS8O
e6XSbFjQtnlBcEBBzYT7I0JFyf3xqCQxGMTfSw==</SignatureValue>
  <KeyInfo>
    <X509Data>
      <X509Certificate>MIIF4TCCA8mgAwIBAgIQVAEBAYjER2Bf5J7Fn4ihlzANBgkqhkiG9w0BAQsFADBZMRUwEwYDVQQDDAxWTlBULUNBIFNIQTIxMzAxBgNVBAoMKlZJRVROQU0gUE9TVFMgQU5EIFRFTEVDT01NVU5JQ0FUSU9OUyBHUk9VUDELMAkGA1UEBhMCVk4wHhcNMjUwODE5MDI1NTQzWhcNMjgwODE5MDI1NTQzWjCBkzELMAkGA1UEBhMCVk4xEjAQBgNVBAgMCUjDgCBO4buYSTEVMBMGA1UEBwwMSG/DoG4gS2nhur9tMTkwNwYDVQQDDDBDw5RORyBUWSBD4buUIFBI4bqmTiBDSOG7qE5HIEtIT8OBTiBC4bqiTyBWSeG7hlQxHjAcBgoJkiaJk/IsZAEBDA5NU1Q6MDEwMDk1NjM5OTCCASIwDQYJKoZIhvcNAQEBBQADggEPADCCAQoCggEBAOexw45Kmmfv9dXBttQg3KODQIv4oJUtuksm+Y4D5Ub1Bt6tkfoGTA7aN3YlFwf1GDRZVbbHICu9+Ws7+6fUZyYM7wXLgRyP18ltQPOYqzn4wMFJa21g+AkNU2h9qmPIwq9dV320HR4NFMxDONtcUzEcqIjXWWUlkdyS6ZTpHVXg3DNV2S6z+CWe0WdNNP4TBe7al0I2AMwsg51hy+SymXOku2HydHX3ajcE9zJTsZ8AbBN/XUMy+CMBTe45hpJ4ghM8MapipijKcoelorRDQ4zl0NxrVKpeyb+DFPX9+MAP4fWv8XI6anJl4HykUgWdPiVUngj4+120BbeM093ujgsCAwEAAaOCAWgwggFkMAwGA1UdEwEB/wQCMAAwHwYDVR0jBBgwFoAUa5XExCkjyicTywTw/XTqzb0I/8EwgYcGCCsGAQUFBwEBBHsweTA+BggrBgEFBQcwAoYyaHR0cDovL3B1Yi52bnB0LWNhLnZuL2NlcnRzL3ZucHRjYS1zaGEyNTYtMjAyNC5jZXIwNwYIKwYBBQUHMAGGK2h0dHA6Ly9vY3NwLXNoYTI1Ni52bnB0LWNhLnZuL3Jlc3BvbmRlcjIwMjQwHQYDVR0RBBYwFIESbWluaGh4QGJ2c2MuY29tLnZuMBUGA1UdJQQOMAwGCisGAQQBgjcKAwwwRAYDVR0fBD0wOzA5oDegNYYzaHR0cDovL2NybC1zaGEyNTYudm5wdC1jYS52bi92bnB0Y2Etc2hhMjU2LTIwMjQuY3JsMB0GA1UdDgQWBBTV4Wcpm6veNiFB/iriFqJ46Nr81TAOBgNVHQ8BAf8EBAMCBPAwDQYJKoZIhvcNAQELBQADggIBABsDdXghXoadqV0DeAILFjar4DTzHuXo8mPH+ruNgFCWRxgqJ8cBN96Binw8BtZ4bDDYhvIsI60mhoQWva6YVJppX+YuRlkG4XKsCaKOL9zPEwEgSRoQhiRC3vNQR3BrrNxx8csO2h2JznwsnW/pnX1y8js3p+h1JViZm1BFhAcJiWTaUV4DxmAAvj0FF/gMjkx4Dn/G8zD4Sf4n7+K1tHDcEeZxJgISxswQQ/XnuJ+CIVlyLJzoQM8cBQY0KIG4Drl4l4eXczwydkm7amX4TMbF1josCIOenLFOfYJSu/rFl9Vxn8Q9RqUPxGdJhTLsCGbNtJOj67kZWhme6u6soCRhYNzeL3RIo6v264O6JVIjl+F067YqJopipTtlUfG4xHuVvcTgrcVe0KZP8qfBK8pLfur84HJG6AUcmB9czyX9IrmBnbp7iJcSKcNDeSRTz9mI5eK3AiUCfJprUePONNlIfyDjDjBfq12Lvmd0zKZLJ9a26dtpYs/QEzjUnLSlRFUFPGGY9XJcJW72+abpeHMskRKjfV/JKBLNxOfetTSaZQyakPByosl4xC26PMJbOKXPFPORIPP6eMMKw7uROnaGNnvmHsV1gKPH+wOf3064m2YpuJlPHOz9OuvEYonWv5NN2oFmMZJd2g7ODQ0uo0XMjfWAqzkU/KBTdM34Avwd</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iKGbRUGih3Z05j83fniKA/g1vJx0gQ5vvayOzXpwCj8=</DigestValue>
      </Reference>
      <Reference URI="/xl/calcChain.xml?ContentType=application/vnd.openxmlformats-officedocument.spreadsheetml.calcChain+xml">
        <DigestMethod Algorithm="http://www.w3.org/2001/04/xmlenc#sha256"/>
        <DigestValue>we+E14CqAKyI2s9jZHyZe6J7yoDgv4LjgJxiDlexThU=</DigestValue>
      </Reference>
      <Reference URI="/xl/comments1.xml?ContentType=application/vnd.openxmlformats-officedocument.spreadsheetml.comments+xml">
        <DigestMethod Algorithm="http://www.w3.org/2001/04/xmlenc#sha256"/>
        <DigestValue>7Jq6Xr+FZfvkOf5QEWtGNnGMGDhRCG8nNzsZLvCmjlY=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vmlDrawing1.vml?ContentType=application/vnd.openxmlformats-officedocument.vmlDrawing">
        <DigestMethod Algorithm="http://www.w3.org/2001/04/xmlenc#sha256"/>
        <DigestValue>3d1c5MvybT2hJ9mXYWgfSlbq8I+gkAQo3iF8A9p8aQQ=</DigestValue>
      </Reference>
      <Reference URI="/xl/drawings/vmlDrawing2.vml?ContentType=application/vnd.openxmlformats-officedocument.vmlDrawing">
        <DigestMethod Algorithm="http://www.w3.org/2001/04/xmlenc#sha256"/>
        <DigestValue>nuF73y0cvHXfvdOM58831l1eD64Ftk+EgKIBxl5wvqY=</DigestValue>
      </Reference>
      <Reference URI="/xl/media/image1.emf?ContentType=image/x-emf">
        <DigestMethod Algorithm="http://www.w3.org/2001/04/xmlenc#sha256"/>
        <DigestValue>Pu+elG1v1gZ+f3MW+i1m3oz3ZqGTJB7bQCqMaM3zawk=</DigestValue>
      </Reference>
      <Reference URI="/xl/printerSettings/printerSettings1.bin?ContentType=application/vnd.openxmlformats-officedocument.spreadsheetml.printerSettings">
        <DigestMethod Algorithm="http://www.w3.org/2001/04/xmlenc#sha256"/>
        <DigestValue>6gFOwASb0LJf0AwZEIr0Ep/FwNlSgRxhhjMJ31PEvx4=</DigestValue>
      </Reference>
      <Reference URI="/xl/printerSettings/printerSettings2.bin?ContentType=application/vnd.openxmlformats-officedocument.spreadsheetml.printerSettings">
        <DigestMethod Algorithm="http://www.w3.org/2001/04/xmlenc#sha256"/>
        <DigestValue>0cQfxfcscNdQuzWr6kU1EsuVjml1Zjvpt0zJ46KWwts=</DigestValue>
      </Reference>
      <Reference URI="/xl/sharedStrings.xml?ContentType=application/vnd.openxmlformats-officedocument.spreadsheetml.sharedStrings+xml">
        <DigestMethod Algorithm="http://www.w3.org/2001/04/xmlenc#sha256"/>
        <DigestValue>LM+OhzAw12gv7gb2RNXI5nUABqLZlg0cy+uiydBe2AQ=</DigestValue>
      </Reference>
      <Reference URI="/xl/styles.xml?ContentType=application/vnd.openxmlformats-officedocument.spreadsheetml.styles+xml">
        <DigestMethod Algorithm="http://www.w3.org/2001/04/xmlenc#sha256"/>
        <DigestValue>87EJ6VuKVTk3ydd8DvFDjsT0hdO7kfsOKVWlBFQTxMA=</DigestValue>
      </Reference>
      <Reference URI="/xl/theme/theme1.xml?ContentType=application/vnd.openxmlformats-officedocument.theme+xml">
        <DigestMethod Algorithm="http://www.w3.org/2001/04/xmlenc#sha256"/>
        <DigestValue>eFh2MU54ThLbPGcChj3+uMIrSIYICPEb+b006qIK144=</DigestValue>
      </Reference>
      <Reference URI="/xl/workbook.xml?ContentType=application/vnd.openxmlformats-officedocument.spreadsheetml.sheet.main+xml">
        <DigestMethod Algorithm="http://www.w3.org/2001/04/xmlenc#sha256"/>
        <DigestValue>CL/DqnTnc1yDTXjZYzlv2yq8luVvRNv7zk8t8J7wYnw=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akUnFniyHKwcqVlub1OZRsfQvqGOzSpgPk/OZAPfvQY=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oBxdZAZGlddRP9r/kvzPJh4PKpPcfXbBlmSWrmO9s5U=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sheet1.xml?ContentType=application/vnd.openxmlformats-officedocument.spreadsheetml.worksheet+xml">
        <DigestMethod Algorithm="http://www.w3.org/2001/04/xmlenc#sha256"/>
        <DigestValue>cOS2/P2g5QRZcqutHZwVAYwR/9485WnG6zSbol46QYk=</DigestValue>
      </Reference>
      <Reference URI="/xl/worksheets/sheet10.xml?ContentType=application/vnd.openxmlformats-officedocument.spreadsheetml.worksheet+xml">
        <DigestMethod Algorithm="http://www.w3.org/2001/04/xmlenc#sha256"/>
        <DigestValue>Ux0ViDg6mG8uGXapMWqdX0sC4V6qUvAoGBOcowkNM8M=</DigestValue>
      </Reference>
      <Reference URI="/xl/worksheets/sheet11.xml?ContentType=application/vnd.openxmlformats-officedocument.spreadsheetml.worksheet+xml">
        <DigestMethod Algorithm="http://www.w3.org/2001/04/xmlenc#sha256"/>
        <DigestValue>aX41Cie/eqZ+Tx3yQl7aW6XKt+kcXaJ/s1H/CCdz26k=</DigestValue>
      </Reference>
      <Reference URI="/xl/worksheets/sheet12.xml?ContentType=application/vnd.openxmlformats-officedocument.spreadsheetml.worksheet+xml">
        <DigestMethod Algorithm="http://www.w3.org/2001/04/xmlenc#sha256"/>
        <DigestValue>f4TE5yleoXcQuqOVv+MmIjCe7S/HvfiTFpyKUlFCEaU=</DigestValue>
      </Reference>
      <Reference URI="/xl/worksheets/sheet13.xml?ContentType=application/vnd.openxmlformats-officedocument.spreadsheetml.worksheet+xml">
        <DigestMethod Algorithm="http://www.w3.org/2001/04/xmlenc#sha256"/>
        <DigestValue>044lC+hK1kp6wIKSUoXFHDkeGRs3edD11baxbnG4HdQ=</DigestValue>
      </Reference>
      <Reference URI="/xl/worksheets/sheet14.xml?ContentType=application/vnd.openxmlformats-officedocument.spreadsheetml.worksheet+xml">
        <DigestMethod Algorithm="http://www.w3.org/2001/04/xmlenc#sha256"/>
        <DigestValue>D0mz6dtQwGBdD/B1IOm+JiKHNiesawVu5vCGagiqBHA=</DigestValue>
      </Reference>
      <Reference URI="/xl/worksheets/sheet15.xml?ContentType=application/vnd.openxmlformats-officedocument.spreadsheetml.worksheet+xml">
        <DigestMethod Algorithm="http://www.w3.org/2001/04/xmlenc#sha256"/>
        <DigestValue>62X1D7brC6OQ5xljPg8gMfoKq/w18Tines6gf9nbj6I=</DigestValue>
      </Reference>
      <Reference URI="/xl/worksheets/sheet16.xml?ContentType=application/vnd.openxmlformats-officedocument.spreadsheetml.worksheet+xml">
        <DigestMethod Algorithm="http://www.w3.org/2001/04/xmlenc#sha256"/>
        <DigestValue>et1l1z/p/dENyL10WljG9whLUDyGu21dqciGIPmZzBg=</DigestValue>
      </Reference>
      <Reference URI="/xl/worksheets/sheet17.xml?ContentType=application/vnd.openxmlformats-officedocument.spreadsheetml.worksheet+xml">
        <DigestMethod Algorithm="http://www.w3.org/2001/04/xmlenc#sha256"/>
        <DigestValue>7NnyByuA/BPmGlcWa2Omvl6E1ZCgLqCGi3LoUBgVXPk=</DigestValue>
      </Reference>
      <Reference URI="/xl/worksheets/sheet18.xml?ContentType=application/vnd.openxmlformats-officedocument.spreadsheetml.worksheet+xml">
        <DigestMethod Algorithm="http://www.w3.org/2001/04/xmlenc#sha256"/>
        <DigestValue>FwBmeoM41J9Yrwb/Z6y5f8lyHWdVB/U8ZrHNQUEo+PA=</DigestValue>
      </Reference>
      <Reference URI="/xl/worksheets/sheet19.xml?ContentType=application/vnd.openxmlformats-officedocument.spreadsheetml.worksheet+xml">
        <DigestMethod Algorithm="http://www.w3.org/2001/04/xmlenc#sha256"/>
        <DigestValue>iPoYBvJwzXJqjeuxqwVj5QNQv/F3oYUSWILKRug3jKU=</DigestValue>
      </Reference>
      <Reference URI="/xl/worksheets/sheet2.xml?ContentType=application/vnd.openxmlformats-officedocument.spreadsheetml.worksheet+xml">
        <DigestMethod Algorithm="http://www.w3.org/2001/04/xmlenc#sha256"/>
        <DigestValue>Z4G2khqvuypIrxOhPO9VmhdPKie9Xx3zBUe1DntgrGs=</DigestValue>
      </Reference>
      <Reference URI="/xl/worksheets/sheet20.xml?ContentType=application/vnd.openxmlformats-officedocument.spreadsheetml.worksheet+xml">
        <DigestMethod Algorithm="http://www.w3.org/2001/04/xmlenc#sha256"/>
        <DigestValue>CB5LHmuMwbwZitF9URtZvyQJTAkL6W3AS+Vy+pOkvHI=</DigestValue>
      </Reference>
      <Reference URI="/xl/worksheets/sheet3.xml?ContentType=application/vnd.openxmlformats-officedocument.spreadsheetml.worksheet+xml">
        <DigestMethod Algorithm="http://www.w3.org/2001/04/xmlenc#sha256"/>
        <DigestValue>holBGavoFafAgZjGef2KsNTe/Jh5y5JQUACPzBmyZks=</DigestValue>
      </Reference>
      <Reference URI="/xl/worksheets/sheet4.xml?ContentType=application/vnd.openxmlformats-officedocument.spreadsheetml.worksheet+xml">
        <DigestMethod Algorithm="http://www.w3.org/2001/04/xmlenc#sha256"/>
        <DigestValue>B/kdFVaNhEhA+yaM0b4BN9i7ovqt/V4uzvCxsL9xiKg=</DigestValue>
      </Reference>
      <Reference URI="/xl/worksheets/sheet5.xml?ContentType=application/vnd.openxmlformats-officedocument.spreadsheetml.worksheet+xml">
        <DigestMethod Algorithm="http://www.w3.org/2001/04/xmlenc#sha256"/>
        <DigestValue>piLGWFzDvffHm4jxOQJQdluKbeN2tXu8KUQ4d1SddCg=</DigestValue>
      </Reference>
      <Reference URI="/xl/worksheets/sheet6.xml?ContentType=application/vnd.openxmlformats-officedocument.spreadsheetml.worksheet+xml">
        <DigestMethod Algorithm="http://www.w3.org/2001/04/xmlenc#sha256"/>
        <DigestValue>B90m4Bc7HjZhofgzp14uWimHPQRHJknc4O4YGfWoqIY=</DigestValue>
      </Reference>
      <Reference URI="/xl/worksheets/sheet7.xml?ContentType=application/vnd.openxmlformats-officedocument.spreadsheetml.worksheet+xml">
        <DigestMethod Algorithm="http://www.w3.org/2001/04/xmlenc#sha256"/>
        <DigestValue>18KHAZ4yZbcCr51WJeWsG2l2779IKvDWESNe54XZo7k=</DigestValue>
      </Reference>
      <Reference URI="/xl/worksheets/sheet8.xml?ContentType=application/vnd.openxmlformats-officedocument.spreadsheetml.worksheet+xml">
        <DigestMethod Algorithm="http://www.w3.org/2001/04/xmlenc#sha256"/>
        <DigestValue>Hz9zKJuudtjcMbL4qa4QrIl/xk5CsP/OBTbSGPZaBpw=</DigestValue>
      </Reference>
      <Reference URI="/xl/worksheets/sheet9.xml?ContentType=application/vnd.openxmlformats-officedocument.spreadsheetml.worksheet+xml">
        <DigestMethod Algorithm="http://www.w3.org/2001/04/xmlenc#sha256"/>
        <DigestValue>jXs25pwTIOeShXS4ApNCi5IxJMobAf46XjoA/aFDzkA=</DigestValue>
      </Reference>
    </Manifest>
    <SignatureProperties>
      <SignatureProperty Id="idSignatureTime" Target="#idPackageSignature">
        <mdssi:SignatureTime xmlns:mdssi="http://schemas.openxmlformats.org/package/2006/digital-signature">
          <mdssi:Format>YYYY-MM-DDThh:mm:ssTZD</mdssi:Format>
          <mdssi:Value>2026-03-27T08:16:55Z</mdssi:Value>
        </mdssi:SignatureTime>
      </SignatureProperty>
    </SignatureProperties>
  </Object>
  <Object Id="idOfficeObject">
    <SignatureProperties>
      <SignatureProperty Id="idOfficeV1Details" Target="#idPackageSignature">
        <SignatureInfoV1 xmlns="http://schemas.microsoft.com/office/2006/digsig">
          <SetupID>{A00F3B4E-4EB8-45BC-94DA-E2DCA08001A7}</SetupID>
          <SignatureText/>
          <SignatureImage>AQAAAGwAAAAAAAAAAAAAAHoAAAAYAAAAAAAAAAAAAAAvDQAArAIAACBFTUYAAAEAoKQAAA8AAAABAAAAAAAAAAAAAAAAAAAAgAcAADgEAAAPAgAAKAEAAAAAAAAAAAAAAAAAAJgKCABAhAQARgAAACwAAAAgAAAARU1GKwFAAQAcAAAAEAAAAAIQwNsBAAAAYAAAAGAAAABGAAAAfDEAAHAxAABFTUYrIkAEAAwAAAAAAAAAHkAJAAwAAAAAAAAAJEABAAwAAAAAAAAAMEACABAAAAAEAAAAAACAPyFABwAMAAAAAAAAAAhAAAXIMAAAvDAAAAIQwNsBAAAAAAAAAAAAAAAAAAAAAAAAAAEAAACJUE5HDQoaCgAAAA1JSERSAAABAAAAADUIBgAAAK6yNcwAAAABc1JHQgCuzhzpAAAACXBIWXMAAB7CAAAewgFu0HU+AAAAGXRFWHRTb2Z0d2FyZQBNaWNyb3NvZnQgT2ZmaWNlf+01cQAAMB1JREFUeF7tXQl8VNW5P3ebubMFQgjIJqC4sBUEEQjJAIIoYhE3Hgq1Wn1irdZaWYyIcUAaQ3jW3VbFpS4VhIIsKlYQQgibsrlQUED2QAiBZJY7M3d5/+9OZjKTjUDVn5A5OmTm3rOf8+3f+Y7o8XhYMiVnIDkDjXMGxMY57OSokzOQnAGagSQCSO6D5Aw04hlIIoBGvPgjOvttFRW7L1dCFZeGQr5mwaDC8aIc8npP7kyxt/76K1//Hxrx9DSKoScRQKNY5qpBjujlbx4KlPzB2azjb49+t6pjKBhgmiGwpi27M6ujJVPDClODPqZpIdbTuzko2dIWHSvZ+9KeQNbKRjZVjWK4SQTQKJaZsYyO3zcXwyXPB4/5xrTqMpaV7FnFOvQYxziOsXCogh3b9wUr3bONhcMqC4XDLBQKMSUUsgaV4C26Hr7FaXx1SLanjz8m37KkkUxZoxhmEgE0gmW+OVN4wNk06xnGWfhWnUcxSW7CjGApK929mPGCzBiQgIXXWJOm6SwcDDIlHGJBcAaiEmSiYGGBALiEkNLaV7ZrsZV7YWVqzx4ji4uzKhrB1J3zQ0wigHN8iYdeuHVJxYGyEbI8gqV1vJIJkswObX2b2VIvZB1a9WLhQCk7tvszpoe8TJSsTJUsTATw8zzPeI43kQPjDGZwOsQCg4WU8kFHv9hwyJqy74pgytjt5/j0nfPDSyKAc3iJh3TcsNHVpO3lrTrfy47tWsZ8Jd+wA5teYczQAdQCM7QwEywOdt4loxgv2SECrGD+0h2MtwvgDARTPDDzGgbTVI3pFp2pusaUoOL0H9v/bQp7t48vZewX5/AUnvNDSyKAc3SJB7df++92XW66XA972YHNr4GiW0yqX7ZvHRNEB4Ab1B2rD9oOwF/JdNXPmrbrx1pcPIId/vYDxsp2McNmY0wH5QfQq2ELUzWVWdQwU1UB33VWemT/+jT58wt9lsFJa8FZuo+SCOAsXbj6uj28+/4pbS++feiRHUvAwXNMtDZh9iYdWbDiMOT/FCADicHeR7w9MAAoOwBbFy2s/PBWdnxvIWt+4VDW4qLr2L5Nfwewh1lYlSPKQdXCJEuYSfge5g280/hj+zettV04uNU5OI2NYki1IoCcgxmys5n4GjZPsL5Z0A3DQJ4joBHr/E9ducQzbZpRX/78gPtJ5E/YLKjgk4nyKpCc+lOuP6O9wMR7IZoOQSMdOGbwhs7txx5epRjqa1PtRV9Ha8gNDbxM0owHscG16DOdGZZJtoLfVG/lcuucOwWRz4x7LoV1/rNf+/65zBUsycfzcPQdOGF5on3V2Dxl8EOCoXc7VZ8T3huMC/PsHUV3rnVyFa+eam5rq9vgjK0T5YLn6mt30qRJHY5+8/qTB7a8xSxyM7D2MgDeylLa9mUnD2wAMkhhnGgHiy+Z1ehAALyqQAcA0x8jmZ9jx/d8DqofZOf3Gs+8x/ewnRteBeBLzGJaB0QoBnkmAAEIPAdxIHBeaO/fX7S0H/+H05oPZM5w5PbWdX4YpI32VBbz+wNkjM+KgtlntVjRy5rTVmaiTcGYNgWnfneqeRlizT0/wFSriuXYEJy661T5f8z3tXMAqakSZ1XHslCg3raw/qaMKGAzuaYUVORq7uHZ9oI1tRXK8Wc0d1nlKQx25kTA4K7B7zoRQI41w+4s49+VLLZRUFGbRalZ+hdcbBp2TU+bxf4gkMtKr6He4rEXHVPU8E5Jsv8WqutYU7Thc0Pu57ItBRvj2xdE7nHU1QG4DBubY1+FO+b/+dhj5zv1o2nMbvkNU6vq4Kx2KjqWZ9pwNH/VaS0EMJfI6ZuYvnsTZzl/LLRvp1W8ctxkgqsXAWxZfPdrmq+YORxNTUpPwM9hoWwpbdkJYx22ZZqJAATBas6hoYeZLqAv4AgMhX5D5hc0TKvG9kNfIDdpx/qMeplt+uQJWAN2MJEXIEKIAP4w6tZNZWHAd/y+FsbqGSe4rEMNGVRG0+ndONWyxCIK7UPY9dFEOgeLTcjtL+Yd4NTQDUXBqWclInBa7fOwl/paiRwGI9u1l5HTXJblS8yxKsp/ijhPaXTcqix8JvPCRZpqwPzCaGF+tvTfiwC0apARsWNckigV5hgZ6R6u6Fj1EdiZeF8UgOPfcaLYmih2tmXV5uplcv1D2jmD+maO09LgnRKF/MRs1D6AFFt3kFOw7p/uH9jLY1+1HQgB5dhlscxQeIkc92v8jiGADOtbTQTJ2SGsGqB9+s68k3c8tlYbMFe2+PohH8jh2ZWu7l7eVT1xcIhkhYwPgKYPz+HDy+Z3weqCFQAfC3EBZP6LIAAOFgBzcrGOhh6C2I9nKCcgT6BsD/tm2cPs4v5/ZulHd7GNy/JRHyYHSIWmnj4a9AE/7PjiL00vzbrjVDOWYZ3eQzIsW8Jg/cLYNuAkwqpm7EFtkihyHYAQUCXX1mqzbnSzXHdBMHv1qer8Bb7XMSWm/jSa5BR5mE0S3qXfQV6+lQXY+9F3yKbjP3Bj9O/Pm04DARA6i4eJaty+iQhU5gxZ/gQc9lj1YWDT3EcqpxqJANMw7sXz8fHvctZeYXH20jZzOoDfVEefItG20VVZFvitufqQlryhzgVBBwKIa1M3RqEWUPxIUkX5Wgs2sqEreUOOvbnBJWrzOT3oz5ZXr88PuU+PxT9V/36G9+VHtvxJEnQm24iV5zFtGBv4a8nWDEo8L4DfAUKPDxCBCO0/B0uApoL5xBSZgK9aK/UDsAAQlGO96a8IMeKb5U8yR4sebPjd89miV25BWULIHBAMhCsgji49h/72kMLuONUweYvl7bAKvYRAiMOYVuCbnBMtc541R75QtL0h8PyYIAQvXhI+BEVsdqo6f3Hvg/rDhsinwmYS23xgljSoTiIJLGR8nzlVuwckyAlVa8Lzn2NcDUcAYCcNQ52B1fZiAMBVICuGcR82WYuEjur6xdU7Dta7jyRYWsaz5Il5uDurIwBnD/ldztATgR9sOnYuM1Twz5yhcYLFabLoUQRhIgFdEkPaYpWJo8He5yaw8KLUHSKF7AkWReQQXRhkDR7tedXxD4a5JH0+oAED406pj6htYdCzIzCX78a72rGVrvEqzxWzMuyKZoGtyBSTAVA2FV2PsIeViSxvAMt1GBFApTJx7D/1bQrI7eOsEmT7KPCjqICKra5WLOQ/jsdQ/kEU4jGHEqaOflPSRExnqFIxCBaf7P9g7k18DxA3EQmx/SWwIOzbWchGjp/Plr33J7ZnxwboBAx2WcZoFgTpLv/+lVEpne5ZWFcfO3+dI9gHObr7MPuqbpQUxQE/lSkOepTiILs1wznzSjTZQhJZaoY19/KzTScArmUtEFciWABmouQTeCCBEhb4sgt+DmCvrY2GIwBBZN6g8gJk7OJoRfmK+z/QJr1vigBVO/d49YYEFdSfr5KlI9pnskVXSvOCKOX53SMn2wsWUVlQ8FaSVbg5UV9g5v0yEAiPmZpS8L2Zz5/RGjLpGzBpDYvxW4QERHGAyIdckKiOoFTLqr6BOp6UhjOZLaBnGwI3j5/pd79mFY27CPixy6EUD713hosxb4Kt4P5Tlm1DObb3jM+HsV8vCOJC4qCiCcPwT5BXxysn6616SOfSC/1HA+DraUmJpNMsm8wlkxzw8AvQspikHngb+JvYfPM74ZmIrZ/+M/8SojW/05xHuFJz9vFI14Js/nNXs6wbn2aDbs5DUY5tLHiPrV31KnO4ml2HXAvr6mjrTNaMWOPK5KgrH29oeaCIg4IhE+9Y44HJbZsxQuPFx9CV3oLAibpuHEWH32/qCkxdWuyp4Z2YacsdZwj8HzGkHlBaWqC49mIcawxVzwViWUV9yHDl3sBp/D1QskqqYty9Qcv+Ib5vUFY+AEQ4HBMgGyWB61mafAM4ozHII67xTR6W4ZhxLTbds0C2ncDVvIB8ASDNbjSVohaaCueqXE7n0zUSmVAIKPbRAY6836Ev29f6H3kY3/+Ox+2wIMoa7yM3RtvOaJrTmgs7ZqLQCDCqTZE/gL4XCGro0YLg1E2JfZzeCSv9BHb/VYCr5gRaWMdirPSHrEJ5DDqHGnBJ5RuOACKtiWDNRfZJhcHuSbU6m3G3JQC/CP1FyPd89YVFZ+K077TBWCGmoi/6WKmKhuDHGIkBJgKAC+pdQCxV1dBMctzWibaCyxlM09GUbS8ipdPVMxX3p8CuVUo5cAWQp+5Hne+jbVgDKhMQFdxfSA+wICfncc7xyMpPeYEfGgM8TWOT5cJP69qY9T830nP87ktIP1ZbPlVVy4A8D9f2Dso0dL+GeNQAuaeqttIj2/oLgC6IU6btnsRJUuiRll+Sm7Jgybf0GOY+aKWg8Q8Rr0OaD7IAQDGrQ+sfkf/BBZmIISLEYh7NeqhaE0XgAQcOYuWCx9if/hoZzt//MhJKRRH1hPvUN0fLT3hKMp15yEKiA2fPcD71Xmo4MH5pMBFwC33ZTyMTfRJShuOpd3hRGqsCT8IogTqw3QyuJXr0YIXffrfbMb1ngW+qSRwoIf8KODQNJsY6ml/TOCd0D1dbbcLV/cW/zFzre3Qypr8jWKVrLCLpkzRXIoNONfHdAFTDZQvHAqnYsxx/Mf2GMYT1s+WOkS3SPxWILDRXRH/wnnRIWfiuhzjLC3aJG0bKTnNp8AKI6DJTf2KwplQ79rYbPy/Fa3+0725H7hBm2D8jkiCSywaJTDpngxhxtWi3Xp3B504sCmTPovyZjhnXWSzWxQpoLIGNhA+1FVK51pwh/J5Psf8uQ8jtVHQi+0D1OW04AoBFwGV17md90Zu+EMuohThNNn4GQqHgDVPsRd/EN5KvDLyFE9CtKJcAthSy0VvYAl4MmiwAZoJsOJzkfk//DdDocYMTAAIbTjXChCBqTT5dvQN9OxjPMUD+Hwqz2ziekx6E9BUrh9UhKsXkySv+yPPi0HhNDTa9iYDOJEGeHu2ySKPrLmu8gXe/O5O6G1LmV4Mf7rpzzfNgZCpMxx2BABmCJzgaU/kX9pcCcG2QwiIcggHAJ9UnoBZl/PjjYwbWk7wDI0iALAGYN0NFfeQMBF8BIEj6LsCp6Nf/+x7b9c1yE6m4R/yJLXzHw6w2R9dT9tXQHxdFYRoBJfbArYrdcWuG+BREG34xr2off21TVp844YmzDURqBBV+RBSEsQRkgJwleiD0WLmiFttT7DehoudUjXOAwJPVoCnlH+B66hnUP7gyfyHyTyhn6i6ZWfoKFvHVYJhrJUviJIgYQPhnpu+F8lIFAZltjsUwPsaEbcffzeA4ekQlQV7ybwgZ8hgAb3+R501ihDn8K+ONdZjSGspyet/LyG0DmPmMdCVQkh7GAt2rBENFoih2AXi/FgzzF0HZlZ/JZmwrDEz51ODE9wkBQeMTNML6rfDUXKMqoktySg8JAv8HzI0VXAcpHWtwlA1HAISyqpvw4lebYxYgyLtzSpuu8KSdqII4Q7/PRI3RBGD2Bx0f2PkK0jBdEwNAsOD2y+S7ke0lLFy7eARA1Ajmu3V1bS5Q1kMQR2DEAnMfS0brbMvqL/E8QSjnJDk9R++VDhXY8AQ1LaFOVTO1tGeUiGKSpaLuVGNTn1E7dRRav+gRZ4+BD2DD6Ozot+8zCYo7g4CWC4EqWAH4UN2Y2n3iwPAXQGwqCSmPyQV4kccHgAYZQT56boCj0IFMNCAFDcAfDgVZervebMCofPbOrKGs+PB+nBg0WJsLMtiQUQ+xVYv/Wiv3E99lUPfpA+y5NotFyCalmLlxOf5SEJBLBVmY+CvdwVRH3np0Nq+oItsU1XJycrgVTztyTc26YSyF7oC4uAiMVbCX3K4Zu8EZfKzqXJNMR+6joc+UWdJwx4NUP0a7vcg7OSuuD0vdam6mLYXfBQoJvwj+AfgzLSe11ukmzB9wmSHCjNG3yJe9IVp+gDPv99HvRSdMc98c9Iu4AxMBoK21hRXZdeqabC7ueYyFsIquhfwXFwU9ZKYhk2LB451zLl2+316mhLgUThD/hqcXWCXOQUpTSGzL1wQic4a5Ocp87P5M51OpIHppmm7UCusNRwBE8bGpEjTypIAjGdL0NyPumt3scPTsyNjKy82FO5iR4mppG8SwwaLJCClfeeyfnszRM+a7dAdczSqBhvwJmEHOJC+ZPGwi2GITPM55PPU4GhkG7ei4NYR6OjIRC9CvG2Iv0Ge74fw1bONXJ3AZKOvtXTKPnaXHWzSD57asmMVatOnCug/ysPIDhezk4S9BaGACJM4WR36JKyCAFmD3hwK1UhUDSo81IGuA6ROA7yQOYOcBb4fwPITjwfgA+PuOzAOn1oTN9vSA0k83lYgwMrA9OzewMDbsZRk3sOJ4VU8dELXGn/1ohpaDyuQ7QemuRf8Ggf2WYj4BHNfXwgv/Agv/dpHvkduXzZRH0xgsaCsY1qdUr7agYsonkKMPYaCtDY6/U7zS/o3pzkAMjqFPq5Ffy96dGZqBPcGLEJVOws4BynpaElesStCt5+OB/3SRSG354Wh1Q6U94KUY8FdmnLbdo4MbygfHOV2WuI6d9dw0cARAEJxTErhr+zvz/iaFQ69EdQSF3kfG1tenhiMAAH8gFOymMvVItEI7k4ZBxiJtfeQR5pAXxN75fnfWRHvBanuqdC+D0qgqQSgyjDfpt4cvKp0VGrgTX6usBqLcBbb/VgIX3om1i2nFaWnsk1cQ6764tsGYnn+SxMdr/CEXkkYe/BabCwHqhpgIgr7yhjHdNHOZyq5IMjR1lWf79jO2w5IIBOpaHpmFWtNPenyW520hFWx8eeketmnpn1m7S4exDv0eMu3/jrSL4d57FSv5bhkTiLUHsEMeMBGDKe+TjG/K//QBNxBFAgD+QMDLbE07sQFj/4+tWzKVfbXuPZNWRuzcMFUA8IEK2K7t61jPK4Y2mIxiY59ENc9UftgV1undRdFyPTp2O+Tdi8hHwCLxv8m05X1gCFwvai8iY/NvgcImrBPxMVjvlMot2FHj9L6aLjAr9ASKn62tbTUKfVMWRp9nOvK617Fm9T6GlYLpAf2MrEZ1VQyRpAVJzBGxgo3CWAfE5zWZNp1Lo2c0R6kufgD27h1WqzTPNJ0ybjxvs44fJOfBwYJ9i1X6SFDCrxRoVbqR+PoajgDQsihLx6fyBfFyy3uzFPefUWHvWKVEOXjmxu/VkF/uq85ZAe7unBVwj47o9YxmCeCCjQdN6gPkHoyd++sq8QCn1nhhds7BER08bZbGFCXUZk5OZ971KJtjOhnFcQDA/MvovTegLHCl0N6oslSAdWudwP6T2UtTz5z9N3ee8Rq09n88k430Y5RRguXfcvDbp0AecMhiR35Yw04eWs8uynzUrD4dh3zKizfBsWcv6F7EMagSA0TkfaL+9AHCNpEAxL1QSGGXDM7BuqexRS8MZidPlgLYRfgUID4AQFDDQpmKRYAfD6XLvu/W7bV36l/ncNzC9C5MFJ3gzHnVpmzecMITow5wgf0KLO5XKPwklIPPwxR5f4jEAwEWJIP/xvRTQltgd3skMHpma1U4F/0CI8k3MZ/isc0GFFCvZHbms080BAzP3jOvoZaSNgbWLJIwp22h0GtbM1dkvMTh4FCWtSgw5YMMfnpnGHxzsA+vg4LVCREC+INBJ8N1FVOsE/uHc3PXerMjmyEuNRwBoBCZb+ML5xzs7HSmsa7VSR7PGdbpfndXm2Rpn2j7J80zg0Y1UZKIrxOOJeMBSGmzgoNfjD03SZWe7mzuP5AXcv/Rr6of4biaJrP0Ic5H+Wexa9smsP/QM+ghP0QJcBppG4IzA+6N0BjXraEGMPiPheYw09P3zBJGZs8pvcLKWpO+to5kU1XPCSg5f4LkcLbddvLYNlhbyU0XdAC7g+dsbPeGF5gL4b7KD30Bc2BLlo5DPkT1fTj26yvZzpSKgybFp0Qsv61Je3AI0BvActCtzwNs06dPsD3bFhPrDYSAQ0BAMPhqxgYg6q+ZJkVy7DGgBBK31Ds0u/UlAPRAB3ZdMCATZSuqLb8SNvJSHex+0mqDgFyElpZDHcbsMDIZpb5myzlPWX3tDHDmgu2HshkQoAVE8lMpqZ5/oGN6d3L+BkeLbY1zzrGk1tAIktqkNr6uct//uM47AeUks0cspNC7PLK6PJvMJqdMRb6p5CNyK2XMMHLSeLvFDe78ZmD624gzgBdidoZj+nzk+zK+soYjAGwSp6F/OotlmUgAMyY608VunKZGeMloIvZFD2+WOeP+uh1/6hmPYG0Gx6H+UFjNEHhxSoJ931BT4dryNjT+qACfqA6iGknQw6E3YSKMmTxAqOYC5QAB1M6hQlO+xdOmiNj3M048L9zlSk29q8q9p5aqfPpiENCRZ9xIPQW3+7I2tNS/RiQfmPkIAVTOCcn8ZQe/RBCQ2eYePrbrI/N8gKtFd5Z6/gAcEb7AjAUQ8haD6vtZanti3uDVtOtztvT5/iygBHDgJ8j8AQXf8QloLIANhUfgqQTmbNaOdWrblbW/oCuTOO2zL/bU3UlV19dyBj+QzHjgGe5CzloRgCyyDlF/AbCJB8QwW89B/RSkck5ENvGxd6q3Ajae9EcpUFsehki6WgAextklwLZ4AziABMtUhjXHbpEd20hJaOH4xVBEfkKAQBwGJqfKb6SyEdBSIKEz0xHUNhtmO3UkiEYVA6Q84n0ktEl7pQYCcFun98fpzUE0Ol3VF/ISP57wMFDeXHIqMs8ZBExflwXQFyyD9eStiH5FJGXoGSIAtABVX89ov000Saa9eOCL2KC92XLhgnwlK+brHC2D1zAcVwneZFoGu0LsGkF0JEGEEA3ugYm2wtugwb8W035Z1VyZnEA1a0TcwphyhbBvkm3lnfHzC+fAOYKFz69VS4/+q4ZWY0PVvUR1vKG5OMXhKdM433CUe9pdUA3pk3DQf03EGF1pt4cw6T15iIUNeHKGysyDWwanQjzYwE4cXG+y/ho+Is4HdB0OH5bKpELxl3nbu+ZxYAocSsFCSSSg1SMkg6PAzOs9wQ7t3cH27d7A1n7yERBKr3eYvR78pgaetdodjxBFskjc77A595atV2Zs7+aJUVEAZ2u4CLxD7D+xuOjbnILglNUDpJnlaBqyHP8cKNwSbPIT0b5mWGeMFCXpBUIsmOOpkO/fhFJQwTzAFMI/AbPaG5u47IPR/Jxkf9kPBGba1sPsdeLkI+w0iRwC+azEfEHgW9AVfg9X/vdOurzJZhFXggNUid6z1VYay/d3zPP9VonPyLDNuAks/vyqsea4NMm+BOdwm0HE/t6mKC8ZDsfv4TRFpzlJ/qoSx/Ej6mBiHtzjWcyJL1rfj7cdCfh4SVc5xZ2nuEeCeoMPT5AYyuDI07r6rjb9BHh+boJDEc8TK3Ob97JBlzs3rVwDdrZfBD3Xk0g7Yhg7vaWhK5jpbVeVsu3L9+cHBh5Clhrtw0iOidHO1PvvtIH0pywgyY7nfWXHI74V5MRjmvA0drJkF8iDi/m8+7DpcTgIqns6xUfQokK737rrDaxJ6z5s46IHcWqwPTt2+BtWWgzxALsqCBFaQWzAAD5EgQkwiXKGNYGFKl3brBBUU5ukFQbtI0mxV2cCdSvOFHMnS6KQR3WAa/KkZ9gfb6blgUIbpYCNDlbJ0ZEQBNEVKIy/LfJNedkcjha+1WIVl4bCXKrYxF48QM99B8B0EIJOH9jHh5sIQzAOFZVnP0n5OV6/TRKEf8HeLzhT+B/6a7lvAyvuh4n5Rhxk6oZpAXIxthX6Ji+k/OSgRCROEvhxAxwz4VykrQEavQj7Y2xYM4Lozn91So9XQ7tFC5waiSvh2LMwz92C9r5f451Mpu+EFBL8D1s1+ziMtanFIs0bwM9cgd4WolxLgbePI58HcmwKhfXfQBwqGRB6ah04qn7oby8gvv2Yt7k8b/gwCb2gNB1ByEvk9YrStsrc6lauuhEAnReHhHTqBMAzHUvUxZqm3EveefmhwbPMFaw8c24uoBqcU1td3vMCH7rKoNSMP3YLMSJPybzDs33am/D865/rH/hHSeRnYMs4TaeeKNdB5Ijcd+HbBvQ9Y6J99bTqwB9rk9Pn4RhcTSWdHt6bLX5ew0MP1ISXbNDHxFkKzPGQFMHDZaymJurUU0XCcm2JFFeIxcdAmaMJqt5T2tSrV1Us3vqRgz17MBBQ2pA7LzntqNjpJcXfsWYtLmAV3gogADoiDOUdlH3tuoxkzTtksl1fvs2+XvM6DYyF927BxkLwD/CM5N9PGzYMQNcgNpB/IVg205sNYUQAoFA7YQfZLQZr1rz1YydOPQMMfgAzQfkPw9T1MubQoaocHVf4VcQmGdFsWzEVoZD+7vHzA7dHNyyo4EcZLPdGycK/h2mUDUO4y6Rq1Gvzr7HFd9J/ZZRTh519QT9r7jjZyr8OZaUFZrM7o0tGlF/XjI0AtJhjjB5Wr5NkcQmAi7pyFU5RXUVafpwULRQ5Yx2WfIIFv3HgiUtzGnBRBrLA7zKFFO+JA4c+FLjN3DoxfQLMctsyxLx1UGL2Qxt4yw2EP4Cp8CN1jcntkEyFBOVoaIiR00Vx2j4HEF+C+q9EriujWxGIzgfgvx7mR9M3pmk4cGWZZF8BrqofkEZbcNWkmDfns/LQ1V41ZAzeDhNi9SWqHQH07u0zNq4cjJk9pYJDFY0KZWfJV55u26vyqvoT4HafiDWmGpzXpcMkUTORUiw34O4LRUIVhlXDRsjJxxQ32fZVz6Hkc+AsroEMeRW8rS4geQTmp/28rq30fl+yMKH9Wtrx+rRpTik8H2eCExQBSiBcjKgCNZKSqn4vlnkHYaGqJi14EkIvsqrqQ0A6qQ3Y7wlZoG2q1fPLG9A/d6rKQIgHsb6pkEvOhObYbC3uOXli91K/H957QP3Eqh/et421aN+PlVfAFwDQclHvMSz1vK5s9+Y57Nv175k+AVFuwWT5AYVhk/Wn71D8YWXDYXALwF8kS4YJscCJxgLFH2zPzOFMKThhv2lVQ+cDG/dt5H2bXFjR+EDASRvI2ZBN2HHglS+Dfv8c00xYzScDrq8LxhzISfmhtTyaF/m+WBg7VudAMKAvgl//puqAuC6Y/e4VtpwPxLA8BoDUB/ltiGNyUAuFFq2ppgwrCk5Z2kvJSbc75XHwJbgU0xTWVXXJGt+UZXDL7aCHtUU+hEBwpbKTesD4G2b3Iz9+i6nKEXai2siF0Hg9LDYxVR1xCQ5M/TOE6b2hl+hKXtiiEhmhpgVv4zTRTkxJNDso+2HoOi6FCNIfLi4jcJLoPCAML0BjzdBJyrxpHk+sbrhSB6Dn6O925HTheHmkYfAdSNIAh7TPV6Evw9mGjXWtTa0IAJRXx0Zf2dAFhV4/ISFqzmmd4UYQkZgXVX1tTpYLPsF7+iSmau3XimjSisgjq6DGuzo0/zgx6IdVoNZNDR+Hrxs8Nw3I6Kmrbw0oWz3LMeetH1m8L3+sKMeHawbIVaCCDf/dO6x1x77YaGBrYALcseEt5it8HcwTTlaafv9k/gOyIMAGtKvgssKEBMgFOAygx04iyhjC9gRiwjsicdChw/XCYRNZ+679Ru+pDgQN6Dtk9SXIRp8Gp/fTPGFs9nfNTwMSUVNk+0flp94SmzjPMQDdM9UzQbH2A57RJ5r2ov06zX8FJ6Zuq6uhIg1a+ECiIq66Zj6+LM42kB9Dgi9Dkaf22gt8HiKytRLauvrz4+kAGrAYySw/zwyEzvv9tdz+vx5t3rZreqdug5m/4jiz4i4AYrI+nz8FpnicZ6Ejw7DqRg/4aKQzIF9/mPcIEWhw5iA5Gf7u4AaQk7gA8ztCgYFRteCEilMG65/e8aY9J/rEnMN+nhEmW/mxZiCJAH6smfyF1fP4q2U9X88bsfPTeU854CLJrh13kP17zkScEUDQj0p9CwlDplaCbEjEUJLdnMLSmHZ+4ghQMooECDGYyiTTQ485rDpLbd5+akXKLf/6hQ092Z3TmIEkAjiNyTqbsk6bNu2Q1X/kYsFi36IGlfQtRfNZpx43sp1bKFIwUqV9yLQFmNZbMyoVuAAIp4QISPGHvybLX4kdLNBUSTjx5cSR7GbNOk6oaAr/4GQ6q2cgiQDO6uWrv/Mwyx26cYS1/QdLZi3d8fW6wbeMf45tLloAY4gl4QCseeYfWqbKUAKV3n2mm6mp6ScNNQJ4QusN1ZDN6mvW5uIRJywjG6z0O4en+KwfWhIBnPVLWP8Alm4PBuwXPnCl7fAbo33lJ152NWvfrOw4Ds7FqczJvGf+HycC0ANE3MGdgZH4fQ7EGZQdaW/17XndfUXFbRLOY5zjU3hODy+JAM7p5a0aHNfqzrkbdxhzL/jV0Ls2rZ73oBb2dzcpPBABiQGEBEgtSEdI4HNhUn0r2H2LRa6QZec/2nfsMm1PMOtoVUC4RjJx5/gwkwjgHF/g6sPbe7zd7LSuD822+he5AqVl13mV8j7wDbg04DsJeg+gt1qZLNuLcaJwa8vWnZYXc1duJd3Anp/oRF0jm/5f3HCTCOAXtyQ/T4egH6jg7eyfcK7/J7UYOX9WlcgoUMNx/OfpWrKVn3EGkgjgZ5zsZFPJGfilzUASAfzSVqQR9CdPGXgrpxu9fL1LJv83UZgawVT95ENMIoCffIoZw7Hm6ZCj18KVGYFMzp6E+woe1Hn9GI53N8jttqEjg8GxNY69+Oxftria2bd/3NByp5Mv3581R+eNzxDm/dXTKdfY8iYRwE+84rl6RhvcJNx2sq3QBH5ENLp3sqWAorn+olMk2pPeDwBkRpn5MZO31PWyo3nF7Mn2VU/8mPVG68KhsTtg13iNN7jxuJR2AV0Y+1O0cy7UmUQAp1jFXMQrEA39aUTYaQoq/r3Gc7+ji0wRtWigoBnXT7Ktjhy9JOBW3LjfUFcBNLMR9/CLiqcG9/F4PAdxpPnOnLVjLM6eB5fSRb25/syggGOeuK78kWhZhC17Bha4V3HQ6Jsc6wi780T5KzDKVUbX4D6sOB4ej6hFCfZ3tDcBLnw7JtsLzWCpCMbaDX47r/uOq0Ocafwrii5Mm4qLUqNtIPbCJq+vVV9P2vvh6eUDL5YlHbcqcd1xdDiAEHJPgUP5azSvmJ7e1tCMiyiyczRaEjiC2xGnbsBE66rYPY549jg8houy5YLPzDnwu0fgmEEOLAp06UsAh41Kcc5gBo6Jx8K621O9Y2sLzgRO6R54HnnQJwf68x+4Jd+Ng2KxgzX5/szBBs+PnSQXxM7QIyBsL0HVH8YphucR6+A6hED4HHN8N8VDoxvZHUz4BPO0DmeX6Fhtc/g60Il8VI+zlnB1QIwKHEVuvCmJAOpZe8Qk+I3E854KNdzDYys6Pt2f0dMmyJtz/ENaOvlwc2woBF2sSvCXwTFMIRLzzyL3ZnPncmz79sixzR5bAfMthuKc/3ME/LxkmZzrdy/FBjdPTmJDdsWGdNF3l1fZhlh7b062rx4XAezM6c50K50I6xHfHjb6hTovmEE48svdXQBy2zhD7QqArZilZPXC6WKzvmjC9eaXMd9unrgSnJPfgTM+mUBma0yEc7Lis5mBAa0m2dZMovxWXZ8KH8CgPY2jUFu59AwxRNoiFPg96Pcy9Ns8A4BTgRfjn++ibeDcfEs4FRz0+sIAUhtvt6k9Jaud+h47NY+YkdNwDPgkENYlQHg7qCyAdAoO0d/iLQ1eiv6fBGD3xrVvW6fr7k4IRLuL8njzSle5Hm+3AhfI3GdeIIMk6Nx9Gs9/gTAnrRAKrDNiHXwFIC/3lWojZTly85RiY0E5oOC7zPEO4Q+Cwbet8FUA+cp8/E1T8XPVWL4nEUA9K434gy8ainaFJ6XoOGWbai/aAo7gRsSZQqRWOkoTHy2EgvBQzPG6Y8fR0duJttUPghI/q6nhaRLHSP6tCodGgAAKyvOqD1TdjGxDaaK9cOpMJSsldnNSfJ/hy5Nb7u4jWoyVqq51BKWtPKYKTx7znrC4RD8zr1GFTZ//hXFadra1YA299QSX+nP0zkNc1nbEYZgIAKB9k/d4uLmrmUChtEwEAG6D14xArsiL7+OS1ZTYJavV5hDjDFQecaY3/55lDGc5Xz8ueLpN00DlByHO3xeIRDwPUzUB7//XbE2Un/SGjqV72mwyERoQ05d5/sz7ZI3/PwDpKLOfnu16vtJiES6QuQ0/36RnCE9yl6K7Upx8RexqOHAQASARc81iqfLYNxCNF3cAon+bagQKrTaMRvEziQDqW2ZJdk2Ul1G01VjKllctoB/YyB0RXK/HzJAbsiaFoqagidzlgBLzfW2Jw86LPdeN7wyBzaLLSSfZK1lakGxc7IPwZ8aiaD5CCOZ10rz+CTsfB/jNSNSVCTIJPPeyJIf8mh4MPF0F/HiPQ/64KfzxWUG3Kf/i2G8IV2kyxHrQ8rmsTFVXn4/vo8e+PTBTab43P+juimr7ATjfABB5gaz24hLWTNRdaAYB4LkShAG/33VSXIB7mHBhZs2EiDQZM4NZs3mdo5BKWQbne4KA38xpcNmYhnx/bskK55RWb+LJ/+IuiHYSHyz32DclyOqITfypjWOIBFWV4LH4Mqh8Dp68CTEsC2R9o8e+tIJugIolw7jCbJ+uScaqBHXu3Sn2Vf+ua10a8/MkAqhv9c24eYkpp3REmswO86ID4Mzp+xRFexEx6SREyDFsEvtDLAoUUdvRCPvmQYRqSmWpBktLoMj8RGvBE/nBwfsQQr0HmNHKhC8cmHOkygtMx4Cz8OEi3P+R0/WBeFwVbAIH9pBxWDjobSsK1l1gmxeCclYGYzFEQ+Xm435EM0AE+ue1Sfw9lUCIyKt0j3hiwoisCJNdgbBhE4DP1oBFfxS3qBQj0PhDyFlo5sbpIOgKXkHYt/GEnOA+mMhlIAtgbmdQYy/iFDJisRpzEB5rIZDIP5SAesiVahuGu8o/t2en98LRw0NQit6myIHlYpCCM1ZLKuR0SxzCw2sKCpMfHPRxZG5W3Q1R6Zka5XBPSVDjXsTmNvc3Hwjv/W9Cvteo/xx6kEQA9SymofiLczn3ICi4VkazOV3KbF13ktKtDDv/xNSUos3Rd7gkJRZb0Lx2e/KXxN6bNwLJqbYWhoGg+tWSoulDAPwkI38BgOFwMedqThTouujHKq9Coyi1bBZs5wB3BN+PqwBCuq5xU0CdD0IudyP88zpcntIEl6dUmCHTAPzx0ZZMVrx0jORwHPxI1DS63joWaca8al0Sz1PKVeZ0GOkY2xLQTwLKHZwkzaNboZ2XVbXtrQhe67QLP4CaI6JPjfCFpVPtBZuiucFFzIHcP8TpkNOMsH8BTh7vxnEDirX2N3AJk3FL1Hv5htuSHxrYZaJlVSyijWzVR0OpV8NMiBvz3nJOWfk/4ItuBff021qWsCy+/STw173JkwigHgSA6Kp34EbXj0GlrsNlJN84eXE0WPFBoEKjwHLeVB8hMNTwP528ugiKQ1BdUZd5bTYo+QvVy0BL/x3qepmz2B4zlMATk52Fn+YH3IhinLVQMYIP41oewaoZT4MlT9AVxOrBxXb0nQB9ZiDrKVd6ABFk67kEhe3mfaXiFFe6tQTy8D6/7n1fZq72oiR8gPsUbnc6pMdgP8+FqXJhDICD7gVyj8SAqpDxj6D8w4Jkf5FpSrWgIEYrcCODwS3QXaXn8ZJwmz8cfsAlCHvCnHEZ+rq7qu6B04B8zse83iQyaTXY+hsVVf0O185dD85hio+Fa0Rs1AT+RVzqtxKhgpfWsQYtqX3SgtB7iA3luFx2fX3r1VjfJRFAPSs/2V6wDBvJLarcIw5ObINz8xv9JcHzzcjDvLQDV2l9EF8cNH8VXaZNz2AevA0eb5NkTniNmGIE3PgXFHvPmhtSNVboFrY/WnaiXDB1lj/LgbKH6BlMU24ghftlZnvdDOvL+Bc0Q8NNSXqiPVtj/8bmjsW7R5uPzgpkiaZFQGSzYYlLiHZsBL3Ps51M8/QvUmHea+VI5ac7Oec81HsEwSbHZNsLV8/yu3/l19XX4jkNRWMeCxOGAKBXx4eVBSJ8CQ43bXCicHs0PwJhfiUZxiZR40aRig5myaASVjvRjIHyv5htqwJ+cy40Yxx0C53oLglwMftF3siG6a4tlCHrvVpKOuT7Ghe2QMzZOCuQ+XJYFKoclHi2UwtxH4Lr+Q829XpEGB0GPYiVLi3D9O9H/0wEgPcbeJXFrBaNFfCj404igFPsANps2DxV1L7yzoGJluVfoyh9YqkyaGnc71Uz8YM+CWmys+DD6s8m2Kv8CUwkIBcQt1CDY4gvBxNajXBcE2yrJ1WatmoEh5xIdxdWXt1HCj7URbJ9QppgL5hY/RnY6a14Rp8aCaHYp8Q/NOcLirk6prXG3XRAsjEgBmfwBcrVy1lF651gKyQLQixNtCBQqyW2Hg9B7FiBYEYTEFE6JopQZnACqxLEqDo62lgeJxFAY1npRjZO3DcxjD04HLxLHSF0G9l81DXcJAJIboRzcgZw34SaBP5TL+3/A2II32liA+gGAAAAAElFTkSuQmCCAAAACEABCCQAAAAYAAAAAhDA2wEAAAADAAAAAAAAAAAAAAAAAAAAG0AAAEAAAAA0AAAAAQAAAAIAAAAAAACAAAAAgAAAgEMAAFRCAwAAAAAAgLIAAICy/f/1QgAAgLIAAICy/f/HQSEAAAAIAAAAYgAAAAwAAAABAAAAFQAAAAwAAAAEAAAAFQAAAAwAAAAEAAAARgAAABQAAAAIAAAAVE5QUAYBAABRAAAAIAcAAAAAAAAAAAAAegAAABgAAAAAAAAAAAAAAAAAAAAAAAAAAAEAADUAAABQAAAAMAAAAIAAAACgBgAAAAAAAIYA7gB7AAAAGQAAACgAAAAAAQAANQAAAAEAAQAAAAAAAAAAAAAAAAAAAAAAAAAAAAAAAAAAAAAA////AAAAAAAAAAAAAAAAAAAAAAAAAAAAAAAAAAAAAAAAAAAAAAAAAAAAAAAAAAAAAAAAAAAAAAAAAAAAAAAAAAAAAAAAAAAAAAAAAAAAAAAAAAAAAAAAAAAAAgAAAAAAAAAAAAAAAAAAAAAAAFABRAFAABHAAAUQRAAFRAAAAAAAAAAAAAAAAAAAAAAAiwumZuCKEqhojti7gz6MAAAAAAAAAAAAAAAAAAAAAAEBEhREIRIUFFEEUSEFFAQAAAAAAAAAAAAAAAAAAAAAAQM6EqigojYWio7roIW+CAAAAAAAAAAAAAAAAAAAAAABAVIVBAFBVBSURcEghBUEAAAAAAAAAAAAAAAAAAAAAAGLChcsIKIWEoyMTiCIrAwAAAAAAAAAAAAAAAAAAAAAAQkSFgRBEBIRGAREEQgUBAAAAAAAAAAAAAAAAAAAAAAA8goaI4CKE+MIj4IOCC+/AAAAAAAAAAAAAAAAAAAAAAAAAEAAAAAAAQAAAAAABQAAAAAAAAAAAAAAAAAAAAAAAAAAYAAAAAAAgAACAAACAAAAAAAAAAAAAAAAAAAAAAAAAAAAAAAAAAAAAAAAAAAAAAAAAAAAAAAAAAAAAAAAAAAAAAAAAAAAAAAAAAAAAAAAAAAAAAAAAAAAAAAAAAAAAAAAAAAAAAAAAAAAAAAAAAAAAAAAAAAAAAAAAAAAAAAAAAAAAAAAAP4AAAAAAAAAAAAAAAAAAAAAAAAAAAAAAAAAAAAAAAAH/0AAAAAAAAAAAAAAAAAAAAAAAAAAAAAAAAAAAAAAAD//8AAAAAAAAAAAAAAAAAAAAAAAAAAAAAAAAAAAAAAAf//4AAAAAAAAAAAAAAAAAAAAAAAAAAAAAAAAAAAAAAD///4AAAAAAAAAAAAAAAAAAAAAAAAAAAAAAAAAAAAAAf///wAAAAAAAAAAAAAAAAAAAAAAAAAAAAAAAAAAAAAD////gAAAAAAAAAAAAAAAAAAAAAAAAAAAAAAAAAAAAAf///+AAAAAAAAAAAAAAAAAAAKqgoAoDoAKgKKqoCoAD////8AA6AKAKA4iAgogqA6AA//HwHw/wB8B9//wPgAH////wAP8B8D8H3cHH3H8H8AD//Pg/P/wP4P3//A+AA/////gD/8+8+878wc/c/574AP/+/39//g/wff/8H4AH////+APBzhzh3B3Bxx3B3BgA//7//v//D/D9//wPgAf////4A4DuCuDuHuHOHcC4OAD4H3/8/B8f8H3wAA+AB/////wHAMwBwAwdwcYdwAB4APg+f/74H5/4/fgAD4AP/////AAA7/7ADAzBzh3/7/gA+D58ffAPH/B9//AfgAf////8AAfff8AcHcHHHdffwAD//j598A+++P3/+A+AD/////wAP44O4K4e4c4dgP4AAP/8Hn3wD758ff/wD4AH/////AH/DAzAzB3hxh3B3BAA//g++fgPvvz8//gPgA/////8A/gOvPvsDPvOnOueuAD4fB/x8B98fH3wAB+AB/////wDwAf4f9wd3d/cfx/wAPg+H/j+P34+/fgAD4AP////+AOA4/A/jg7P/5w+D+AA/XwP8H//fEx9/VFf1Af////4A4HAAAAAAAAGAAAAAAD//g/gf/78Lv3/+f/8A/////gDg8AAAAAAAI4IAAAAAP/8B+A//Hwyff/5//wD////8AH3gAAAAAABxxwAAAAA//gH4B/4+D79//v//AP////wAP+AAAAAAAHCHAAAAABVQAVABcBQFFRVUVVUAf////AAFAAAAAAAAAAAAAAAAAAAAAAAAAAAAAAAAAAA////4AAAAAAAAAAAAAAAAAAAAAAAAAAAAAAAAAAAAAB////AAAAAAAAAAAAAAAAAAAAAAAAAAAAAAAAAAAAAAH///4AAAAAAAAAAAAAAAAAAAAAAAAAAAAAAAAAAAAAAH///AAAAAAAAAAAAAAAAAAAAAAAAAAAAAAAAAAAAAAAP//4AAAAAAAAAAAAAAAAAAAAAAAAAAAAAAAAAAAAAAAf/8AAAAAAAAAAAAAAAAAAAAAAAAAAAAAAAAAAAAAAAAv/gAAAAAAAAAAAAAAAAAAAAAAAAAAAAAAAAAAAAAAAABAAAAAAAAAAAAAAAAAAAAAAAAAAAAAAAAAAAAAAAAAAAAAAAAAAAAAAAAAAAAAAAAAAAAAAAAAAAAAAAAAAAAAAAAAAAAAAAAAAAAAAAAAAAAAAAAAAAAAAAAAAAAAAAAAAAAAAAAAAAAAAAAAAAABRAAAAeGoAAAAAAAAAAAAAegAAABgAAAAAAAAAAAAAAAAAAAAAAAAAAAEAADUAAABQAAAAKAAAAHgAAAAAagAAAAAAAMYAiAB7AAAAGQAAACgAAAAAAQAANQ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gF/3//f/9//3//f/9//3//f/9//3//f/9//3//f/9//3//f/9//3//f/9//3//f/9//3//f/9//3//f/9//3//f/9//3//f/9//3//f/9//3//f/9//3//f/9//3//f/9//3//f/9//3//f/9//3//f/9//3//f/9//3//f/9//3//f/9//3//f/9//3//f/9//3//f/9//3//f/9//3//f/9//3//f/9//3//f/9//3//f/9//3//f/9//3//f/9//3//f/9//3//f/9//3//f/9//3//f/9//3//f/9//3//f/9//3//f/9//3//f/9//3//f/9//3//f/9//3//f/9//3//f/9//3//f/9//3//f/9//3//f/9//3//f/9//3//f/gF/3/4Bf9//3//f/9//3//f/9//3//f/9//3/4Bf9/+AX/f/9//3/4Bf9//3//f/9//3//f/9//3//f/gF/3/4Bf9//3//f/9//3//f/9//3//f/9//3//f/9//3//f/9//3/4Bf9//3//f/cF+An4Bf9//3//f/9//3//f/9//3//f/9//3//f/9//3//f/9//3//f/9/+An/f/gF/3//f/9/+AX/f/9//3//f/9/+AX/f/9//3/4Bf9//3//f/9//3//f/9//3//f/9//3//f/9//3//f/gF/3/4Bf9/+AX/f/9//3/4Bf9//3//f/9//3//f/9//3//f/9//3//f/9//3//f/9//3//f/9//3//f/9//3//f/9//3//f/9//3//f/9//3//f/9//3//f/9//3//f/9//3//f/9//3//f/9//3//f/9//3//f/9//3//f/9//3//f/9//3//f/9//3//f/9//3//f/9//3//f/9//3//f/9//3//f/9//3//f/9//3//f/9//3//f/9//3//f/9//3//f/9//3//f/9//3//f/9//3//f/9//3//f/9//3//f/9//3//f/9//3//f/9//3//f/9//3//f/9//3//f/9//3//f/9//3//f/9//3//f/9//3//f/9//3//f/9//3//f/gF/3//f/9/+AX/f/gF+An/f/9//3//f/gF/3/3BfgJ1wH/f/gF/3//f/gJ+AX/f/9/+AkZBv9//3/4CfcF/3/3AfgF+AX/f/9//3//f/9/+AX/f/9//3/4Bf9/9wX/f/9//3//fxkK/3//f/gF/3/WAf9/+AX/f/gF/3//f/9//3/4CfcF/3/3Bf9//3//f/kF/3//f/9/+AX4CfgF/3/XBRgK/3/4CfcF/3//f/9/+AX/f/cFGAr3Bf9/+AX4CdcB/3//f/9//3//f/gF+An/f/9/+AX4CfcF+An4Bf9/+AX/f/9//3/3BfgJ/3//f/9//3//f/9//3//f/9//3//f/9//3//f/9//3//f/9//3//f/9//3//f/9//3//f/9//3//f/9//3//f/9//3//f/9//3//f/9//3//f/9//3//f/9//3//f/9//3//f/9//3//f/9//3//f/9//3//f/9//3//f/9//3//f/9//3//f/9//3//f/9//3//f/9//3//f/9//3//f/9//3//f/9//3//f/9//3//f/9//3//f/9//3//f/9//3//f/9//3//f/9//3//f/9//3//f/9//3//f/9//3//f/9//3//f/9//3//f/9//3//f/9//3//f/9//3//f/9//3//f/9//3//f/9//3//f/gF/3//f/9//3//f/9//3/4Bf9//3//f/gJ/3//fxkK/3//f/9//3/4Bf9/+AX/f/9//3/4Bf9//3//f/gF/3//f/9//38YCv9//3//f/9/+AX/f/9//3/4Bf9//38YCv9//3//f/9/GQr/f/gF/3//f/9//3//f/gF/3/4Bf9//3//f/gF/3/4Bf9//3//f/gF/3//f/9//3//f/gF/3//f/9/+AX/f/gF/3//f/9/+AX/f/9/+An/f/9//3//f/gF/3//f/9//3//f/gF/3/4Bf9//3//f/gJ/3/4Bf9//3//f/9//3//f/9/+AX/f/9//3//f/9//3//f/9//3//f/9//3//f/9//3//f/9//3//f/9//3//f/9//3//f/9//3//f/9//3//f/9//3//f/9//3//f/9//3//f/9//3//f/9//3//f/9//3//f/9//3//f/9//3//f/9//3//f/9//3//f/9//3//f/9//3//f/9//3//f/9//3//f/9//3//f/9//3//f/9//3//f/9//3//f/9//3//f/9//3//f/9//3//f/9//3//f/9//3//f/9//3//f/9//3//f/9//3//f/9//3//f/9//3//f/9//3//f/9//3//f/9//3//f/9//3//f/9//3//f/9//3//f/9//3//f/9/GQr/f/9//3//f/9//3/4BfgJ/3//f9cB+An4Bf9/+AX/f/9//3//f/gJ/3//f9cF/3/4Bf9/9wX/f/gF/3//f/9/+AX/f/gF/3//f/9//3//f/gF/3/4Bf9//3//f/cF/3//f/9/1wEZCv9/+An4Bf9//3//f/9/+An/f/gJ9wX/f/gF/3//f/9/+AX/f/gF/3/4Bf9//3//f/gF+AnXAf9/1wX4CdcF/38ZBv9/9wX4CfgF/3/3Bf9//3//f/9//3/4Bf9//3//f/9/+An/f/gF+AX/f/cF+An4BfgJ1wH/f/9//3//f/9/+AX/f/9//3//f/9//3//f/9//3//f/9//3//f/9//3//f/9//3//f/9//3//f/9//3//f/9//3//f/9//3//f/9//3//f/9//3//f/9//3//f/9//3//f/9//3//f/9//3//f/9//3//f/9//3//f/9//3//f/9//3//f/9//3//f/9//3//f/9//3//f/9//3//f/9//3//f/9//3//f/9//3//f/9//3//f/9//3//f/9//3//f/9//3//f/9//3//f/9//3//f/9//3//f/9//3//f/9//3//f/9//3//f/9//3//f/9//3//f/9//3//f/9//3//f/9//3//f/9//3//f/9//3//f/9//3//f/9//38ZBv9//3//f/9//3//f/9/+AX/f/gJ/3/4Bf9//38ZCv9//3//f/9/+AX/f/gF/3/4Bf9//3//f/9//3/4Bf9//3//f/9//3//f/9//3//f/gF/38ZCv9//3//f/9//3/4Bf9/+An/fxkG/3/4Bf9//3//f/9//3/4Bf9/+AX/f/9/GAr/f/9/+AX/f/gF/3//f/9/+AX/f/9//3/4Cf9/+AX4CfgF/3//f/9//3//f/gF/3//f/gJ/3//f/9//3//fxgK/3//f/9//3/4Bf9//3//f/9//3/4Bf9/+AX/f/gF/3//f/9//3//f/gF/3//f/9//3//f/9//3//f/9//3//f/9//3//f/9//3//f/9//3//f/9//3//f/9//3//f/9//3//f/9//3//f/9//3//f/9//3//f/9//3//f/9//3//f/9//3//f/9//3//f/9//3//f/9//3//f/9//3//f/9//3//f/9//3//f/9//3//f/9//3//f/9//3//f/9//3//f/9//3//f/9//3//f/9//3//f/9//3//f/9//3//f/9//3//f/9//3//f/9//3//f/9//3//f/9//3//f/9//3//f/9//3//f/9//3//f/9//3//f/9//3//f/9//3//f/9//3//f/9//3//f/9//3//f/9//3//f/gJ1wX/f/9//3/4Bf9/+AX4Cf9//3//f/9/+AX/f/kF/3//f/9//3/4Cf9/+An4BfgJ/3//f/gF/3/XBfgJ/3//f/9//3/3Bf9//3//f/9//3/YBf9/9wX/f/9//3/4Bf9//3//f/9/GQr/f/gF+AX/f/9//3//fxkK/3//f/gF/3/3Bf9//3//f/cF+An/f/9/9wX/f/9//3/4BfgF/3//f/9/GQr/f/9/9wX4BfgF/3//f/9/+QX/f/9//3//f/9/9wX/f/9//3/4Bf9//3//f/cF/3/4Bf9/9wX4Cf9//3//f/9//3//f/cF+An/f/9//3//f/9//3//f/9//3//f/9//3//f/9//3//f/9//3//f/9//3//f/9//3//f/9//3//f/9//3//f/9//3//f/9//3//f/9//3//f/9//3//f/9//3//f/9//3//f/9//3//f/9//3//f/9//3//f/9//3//f/9//3//f/9//3//f/9//3//f/9//3//f/9//3//f/9//3//f/9//3//f/9//3//f/9//3//f/9//3//f/9//3//f/9//3//f/9//3//f/9//3//f/9//3//f/9//3//f/9//3//f/9//3//f/9//3//f/9//3//f/9//3//f/9//3//f/9//3//f/9//3//f/9//3//f/9/+AX/f/9//3//fxkK/3//f/gF/3//f/9/+An/f/9/GQr/f/9//3//f/gJ/3/4BRkK/3//f/9//3//f/9/+AX/f/9//3/3Bf9//3//f/9//3/4Bf9//3//f/gF/3//f/9//3//f/9//38ZCv9//38ZCv9//3//f/9/9wX/f/9//3/4Bf9//3//f/gFGQr/f/9//3//f/9//3//f/9/+AX/f/9//38ZBv9//3//f/gF/3//f/9//3//f/gF/3//f/9/+AX/f/9//3//fxkK/3//f/9//3//f/9/+An/f/gF/3//f/9//3//f/9//3/4Bf9//3//f/9//3//f/9//3//f/9//3//f/9//3//f/9//3//f/9//3//f/9//3//f/9//3//f/9//3//f/9//3//f/9//3//f/9//3//f/9//3//f/9//3//f/9//3//f/9//3//f/9//3//f/9//3//f/9//3//f/9//3//f/9//3//f/9//3//f/9//3//f/9//3//f/9//3//f/9//3//f/9//3//f/9//3//f/9//3//f/9//3//f/9//3//f/9//3//f/9//3//f/9//3//f/9//3//f/9//3//f/9//3//f/9//3//f/9//3//f/9//3//f/9//3//f/9//3//f/9//3//f/9//3//f/9//3//f/gF+An3BfgF/3//f/cF/3//f/9//3//f/cF/3/3Bf9//3//f/9/+An4Bf9/9wX/f/9//3/3Bf9//3//f/cF+An4Bf9//3//f/9//3//f/9/9wX/f/9//3/4Bf9/9wX/f/9//3//f/gJ/3//f9gB+An4BfgJ9wX/f/9//3/3AfgF/3//f/9//3/4Bf9//3//f/gF/3//f/9/+AX4CfcF+An3Bf9//3//f/9//3/3Bf9//3//f/9//3/3BfgJ+AX/f/9//3//f/9/+AX/f/9//3//f/9/1wX/f/gF+An3BfgF9wX/f/cF+An4BfgJ9wX4Cf9//3//f/9//3//f/9//3//f/9//3//f/9//3//f/9//3//f/9//3//f/9//3//f/9//3//f/9//3//f/9//3//f/9//3//f/9//3//f/9//3//f/9//3//f/9//3//f/9//3//f/9//3//f/9//3//f/9//3//f/9//3//f/9//3//f/9//3//f/9//3//f/9//3//f/9//3//f/9//3//f/9//3//f/9//3//f/9//3//f/9//3//f/9//3//f/9//3//f/9//3//f/9//3//f/9//3//f/9//3//f/9//3//f/9//3//f/9//3//f/9//3//f/9//3//f/9//3//f/9//3//f/9//3//f/9//3//f/9//3//f/9//3//f/9//3//f/9//3//f/9//3//f/gF/3//f/9//3//f/9//3//f/9//3//f/9//3//f/9//3//f/9//3//f/9//3//f/9//3//f/9//3//f/9//3//f/9//3//f/9//3//f/9//3//f/9//3//f/9/9wX/f/9//3//f/9//3//f/9//3//f/9//3//f/9//3//f/9//3//f/9//3//f/9//3//f/9//3//f/9//3//f/9//3//f/9//3//f/9//3//f/9//3//f/9//3/4Bf9/+AX/f/9//3//f/9//3//f/9//3//f/9//3//f/9//3//f/9//3//f/9//3//f/9//3//f/9//3//f/9//3//f/9//3//f/9//3//f/9//3//f/9//3//f/9//3//f/9//3//f/9//3//f/9//3//f/9//3//f/9//3//f/9//3//f/9//3//f/9//3//f/9//3//f/9//3//f/9//3//f/9//3//f/9//3//f/9//3//f/9//3//f/9//3//f/9//3//f/9//3//f/9//3//f/9//3//f/9//3//f/9//3//f/9//3//f/9//3//f/9//3//f/9//3//f/9//3//f/9//3//f/9//3//f/9//3//f/9//3//f/9//3//f/9//3//f/9//3//f/9//3//f/9//3//f/9//3//f/9//3//f/9/+An4Bf9//3//f/9//3//f/9//3//f/9//3//f/9//3//f/9//3//f/9//3//f/9//3//f/9//3//f/9//3//f/9//3//f/9//3//f/9//3//f/9//3//f/9//3//f/cF/3//f/9//3//f/9//3//f/9//3//f/9//3//f/9//3//f/9//3//f/9/+AX/f/9//3//f/9//3//f/9//3//f/9//3//f/9//3//f/9//3//f/9//3//f/9/9w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iOYM9QDVhOWE5g0GDQf9//3//f/9//3//f/9//3//f/9//3//f/9//3//f/9//3//f/9//3//f/9//3//f/9//3//f/9//3//f/9//3//f/9//3//f/9//3//f/9//3//f/9//3//f/9//3//f/9//3//f/9//3//f/9//3//f/9//3//f/9//3//f/9//3//f/9//3//f/9//3//f/9//3//f/9//3//f/9//3//f/9//3//f/9//3//f/9//3//f/9//3//f/9//3//f/9//3//f/9//3//f/9//3//f/9//3//f/9//3//f/9//3//f/9//3//f/9//3//f/9//3//f/9//3//f/9//3//f/9//3//f/9//3//f/9//3//f/9//3//f/9//3//f/9//3//f/9//3//f/9//3//f/9//3//f/9//3//f/9//3//f/9//3//f/9//3//f/9//3//f/9//3//f/9//3//f/9//3//f/9//3//f/9//3//f/9//3//f/9//3//f/9//3//f/9//3//f/9//3//f/9//3//f/9//3//f/9//3//f/9//3//f/9//3//f/9//3//f/9//3//f/9//3//f/9//3//f/9//3//f/9//3//f/9//3//f/9//3//f/9//3//f/9//3//f2I5YTlANUE1QDVBNUE1QTVBNWE5YT3/f6NB/3//f/9//3//f/9//3//f/9//3//f/9//3//f/9//3//f/9//3//f/9//3//f/9//3//f/9//3//f/9//3//f/9//3//f/9//3//f/9//3//f/9//3//f/9//3//f/9//3//f/9//3//f/9//3//f/9//3//f/9//3//f/9//3//f/9//3//f/9//3//f/9//3//f/9//3//f/9//3//f/9//3//f/9//3//f/9//3//f/9//3//f/9//3//f/9//3//f/9//3//f/9//3//f/9//3//f/9//3//f/9//3//f/9//3//f/9//3//f/9//3//f/9//3//f/9//3//f/9//3//f/9//3//f/9//3//f/9//3//f/9//3//f/9//3//f/9//3//f/9//3//f/9//3//f/9//3//f/9//3//f/9//3//f/9//3//f/9//3//f/9//3//f/9//3//f/9//3//f/9//3//f/9//3//f/9//3//f/9//3//f/9//3//f/9//3//f/9//3//f/9//3//f/9//3//f/9//3//f/9//3//f/9//3//f/9//3//f/9//3//f/9//3//f/9//3//f/9//3//f/9//3//f/9//3//f/9//3//f/9/pEGwXoQ9YTlANUE5QTVhOUA1QTVANUE1IDFBNUA1YTlhPaNF/3//f/9//3//f/9//3//f/9//3//f/9//3//f/9//3//f/9//3//f/9//3//f/9//3//f/9//3//f/9//3//f/9//3//f/9//3//f/9//3//f/9//3//f/9//3//f/9//3//f/9//3//f/9//3//f/9//3//f/9//3//f/9//3//f/9//3//f/9//3//f/9//3//f/9//3//f/9//3//f/9//3//f/9//3//f/9//3//f/9//3//f/9//3//f/9//3//f/9//3//f/9//3//f/9//3//f/9//3//f/9//3//f/9//3//f/9//3//f/9//3//f/9//3//f/9//3//f/9//3//f/9//3//f/9//3//f/9//3//f/9//3//f/9//3//f/9//3//f/9//3//f/9//3//f/9//3//f/9//3//f/9//3//f/9//3//f/9//3//f/9//3//f/9//3//f/9//3//f/9//3//f/9//3//f/9//3//f/9//3//f/9//3//f/9//3//f/9//3//f/9//3//f/9//3//f/9//3//f/9//3//f/9//3//f/9//3//f/9//3//f/9//3//f/9//3//f/9//3//f/9//3//f/9//3//f/9/gj1AOfJiYT1hOWE9YT2BPWE5YT1hOWE5QTlBOUA1QTVBNWE5YDmCQf9//3//f/9//3//f/9//3//f/9//3//f/9//3//f/9//3//f/9//3//f/9//3//f/9//3//f/9//3//f/9//3//f/9//3//f/9//3//f/9//3//f/9//3//f/9//3//f/9//3//f/9//3//f/9//3//f/9//3//f/9//3//f/9//3//f/9//3//f/9//3//f/9//3//f/9//3//f/9//3//f/9//3//f/9//3//f/9//3//f/9//3//f/9//3//f/9//3//f/9//3//f/9//3//f/9//3//f/9//3//f/9//3//f/9//3//f/9//3//f/9//3//f/9//3//f/9//3//f/9//3//f/9//3//f/9//3//f/9//3//f/9//3//f/9//3//f/9//3//f/9//3//f/9//3//f/9//3//f/9//3//f/9//3//f/9//3//f/9//3//f/9//3//f/9//3//f/9//3//f/9//3//f/9//3//f/9//3//f/9//3//f/9//3//f/9//3//f/9//3//f/9//3//f/9//3//f/9//3//f/9//3//f/9//3//f/9//3//f/9//3//f/9//3//f/9//3//f/9//3//f/9//3//f/9/YT1hPedJSlJgPYFBgT2BQWA9gUFgPYE9YDlhPUE5YTlANUE1IDFBOUA5gUHERf9//3//f/9//3//f/9//3//f/9//3//f/9//3//f/9//3//f/9//3//f/9//3//f/9//3//f/9//3//f/9//3//f/9//3//f/9//3//f/9//3//f/9//3//f/9//3//f/9//3//f/9//3//f/9//3//f/9//3//f/9//3//f/9//3//f/9//3//f/9//3//f/9//3//f/9//3//f/9//3//f/9//3//f/9//3//f/9//3//f/9//3//f/9//3//f/9//3//f/9//3//f/9//3//f/9//3//f/9//3//f/9//3//f/9//3//f/9//3//f/9//3//f/9//3//f/9//3//f/9//3//f/9//3//f/9//3//f/9//3//f/9//3//f/9//3//f/9//3//f/9//3//f/9//3//f/9//3//f/9//3//f/9//3//f/9//3//f/9//3//f/9//3//f/9//3//f/9//3//f/9//3//f/9//3//f/9//3//f/9//3//f/9//3//f/9//3//f/9//3//f/9//3//f/9//3//f/9//3//f/9//3//f/9//3//f/9//3//f/9//3//f/9//3//f/9//3//f/9//3//f/9/KVJhPWA98maAQaFFgUGhRYFFoUWBQaFFgUGBQYE9gUFhPWE9QTlBOUE1QTVBOYFBxEX/f/9//3//f/9//3//f/9//3//f/9//3//f/9//3//f/9//3//f/9//3//f/9//3//f/9//3//f/9//3//f/9//3//f/9//3//f/9//3//f/9//3//f/9//3//f/9//3//f/9//3//f/9//3//f/9//3//f/9//3//f/9//3//f/9//3//f/9//3//f/9//3//f/9//3//f/9//3//f/9//3//f/9//3//f/9//3//f/9//3//f/9//3//f/9//3//f/9//3//f/9//3//f/9//3//f/9//3//f/9//3//f/9//3//f/9//3//f/9//3//f/9//3//f/9//3//f/9//3//f/9//3//f/9//3//f/9//3//f/9//3//f/9//3//f/9//3//f/9//3//f/9//3//f/9//3//f/9//3//f/9//3//f/9//3//f/9//3//f/9//3//f/9//3//f/9//3//f/9//3//f/9//3//f/9//3//f/9//3//f/9//3//f/9//3//f/9//3//f/9//3//f/9//3//f/9//3//f/9//3//f/9//3//f/9//3//f/9//3//f/9//3//f/9//3//f/9//3//f/9/gkEHTq9eNW//f/JmoUXCSaJJwkmiScJJoUWhRYFFoUWBQYFBYD1hPUA5QTUgMUE1QDWBPcVF/3//f/9//3//f/9//3//f/9//3//f/9//3//f/9//3//f/9//3//f/9//3//f/9//3//f/9//3//f/9//3//f/9//3//f/9//3//f/9//3//f/9//3//f/9//3//f/9//3//f/9//3//f/9//3//f/9//3//f/9//3//f/9//3//f/9//3//f/9//3//f/9//3//f/9//3//f/9//3//f/9//3//f/9//3//f/9//3//f/9//3//f/9//3//f/9//3//f/9//3//f/9//3//f/9//3//f/9//3//f/9//3//f/9//3//f/9//3//f/9//3//f/9//3//f/9//3//f/9//3//f/9//3//f/9//3//f/9//3//f/9//3//f/9//3//f/9//3//f/9//3//f/9//3//f/9//3//f/9//3//f/9//3//f/9//3//f/9//3//f/9//3//f/9//3//f/9//3//f/9//3//f/9//3//f/9//3//f/9//3//f/9//3//f/9//3//f/9//3//f/9//3//f/9//3//f/9//3//f/9//3//f/9//3//f/9//3//f/9//3//f/9//3//f/9//3//f/9/o0WBQYFBoUVXc/5/8WYSayZW41HjTQNS403jTcJJwk2hSaFFgUGBQYE9YT1hOWE5QTVBNUE5gkH/f/9//3//f/9//3//f/9//3//f/9//3//f/9//3//f/9//3//f/9//3//f/9//3//f/9//3//f/9//3//f/9//3//f/9//3//f/9//3//f/9//3//f/9//3//f/9//3//f/9//3//f/9//3//f/9//3//f/9//3//f/9//3//f/9//3//f/9//3//f/9//3//f/9//3//f/9//3//f/9//3//f/9//3//f/9//3//f/9//3//f/9//3//f/9//3//f/9//3//f/9//3//f/9//3//f/9//3//f/9//3//f/9//3//f/9//3/YBf9/2AX/f/gF/3/YBf9/+AX/f/cF/3//f/9//3//f/gF/3/YBf9//3//f/9//3//f/9//3//f/gF/3/YBf9//3//f/9//3//f/9/2AX4CfgF/3/3Bf9//3//f/9//3//f/9//3//f/9//3/YBf9/+AX/f7cB/3//f/9//3//f/9//3/YBf9/+AX/f/9//3/4Bf9/2AX/f/gF/3/YBf9/+AX/f9gF/3/4Bf9//3//f/9//3//f/9/2AX/f9gF/3/YBf9//3//f/9//3//f/9//3//f/9//3//f/9/xUmhRYFFwknCSQVS8WYEUuNRz2Y0b2le41EEVgRSBFLjTeNNwkmiSYBBgUFgPWE9QDlBNSAxQTlAOaNB/3//f/9//3//f/9//3//f/9//3//f/9//3//fyFeQV4hXv9/IV7/f/9//3//f/9//3//f/9//38hXv9/IV7/f/9//3//f/9//3//f/9//38hXv9/IV7/f/9//3//f/9//3//fyFeQWIhXv9//3//fyFi/3//f/9/IWL/f/9//3//f/9//3//fyFi/3//f/9//3//fwBe/38hXv9//3//fyFi/3//f/9//3//fyBe/38hXv9/IV7/f/9//3//f/9//3//fyFeQWIhXv9/AVr/f/9//3//f/9//3//f/9//3//f/9//3//fzoK+AkZCvgFGQr4CRkK+AUZCvgJGQr4Bf9//3//f/gFGQr4CRkK+AX/f/9//3//f/9//3//fxkGGQr4CRkKGQb/f/9//3//fxkK+An4CfgFGAr4CRkK+AX/f/9//3//f/9//3//f/9//3/4CRkK+AUZCvgJ/3//f/9//3//f/9//38ZChkK+AUZChoK/3/4BRkK+AkZCvgFGQr4CRkK+AUZCvgJGQr4BRkK+An/f/9//3//f/9//38ZCvgJGQr4BRkK/3//f/9//3//f/9//3//f/9//3//f/9//3//f6FFw03jTQRSal7vaiVaRl5GWkZe72p3d4tiJVolWiVWBFIEUsJNwkmhRaFFgT2BPUE5YTlBNWE5YT3/f/9//3//f/9//3//f/9//3//f/9//39CYkFiQmIhXkJiIV5CYkFi/3//f/9//3//f/9//39BYkJiQV5CYkFi/3//f/9//3//f/9/QmJBYkJiQV5CYkFi/3//f/9//3//f0FiQmIhXkJiQWL/fyFiYmZhZv9/IV5iZmFm/3//f/9//3//f0FiYmZBYv9//3//fyFeQmZBYkJiQWL/f0FiYmZBYv9//3//fyFeQmIhXkJiIV5CYkFi/3//f/9//3//f0FiQmIhXkJiQV5CZiFe/3//f/9//3//f/9//3//f/9//3//f/9/+QX4CfgF+An3BfgJ+AX4CfcF+An4BfgJ9wX4Cf9//3/4BfgJ+AX4CfcF/3//f/9//3//f/gFGAr3BfgJ+AX4Cf9//3/4BRgK9wX4CfgF+An3BfgJ+AX4CfgF+An/f/9//3//f/9//3/4BfgJ+AX4CfcF+An5Bf9//3//f/9//3/3BRkK+AX4CfcFGQr/f/gJ9wX4CfgF+An3BfgJ+AX4CfcF+An4BfgJ9wX4Cf9//3//f/9//3//f/gF+An4BfgJ9wX/f/9//3//f/9//3//f/9//3//f/9//3//f6FFw03jTQRSBFbvaqxiZ15nYohiaGKIYmdiMW93d4pizmZpXgNS41HBSaFJgEGAQWA9YDlANUE1QDVhOYI9/3//f/9//3//f/9//3//f/9/IV5CYiFeQWJBYkFiIV5BXkFiQmIhXkFi/3//fyBeQWIhXkFiIV7/fyFeQWIhXkFi/3//fyFeQWIhXkFiIV7/fyFeQmIhXkFi/3//fyFeQV5BYv9/IV5BYkFiQWIhXkFm/3//fyFeQWb/f/9//3//f/9/QWIhXkFi/3//fyBeQWIhXkFiIV5BYv9/QmIhXkFe/3//fyFeQV5BYkJiIV5BYkFiQmJBYv9//39BYiFeQWIhXv9/IV5BYkFeQmIhXv9//3//f/9//3//f/9//3//f/9//38ZCvgFGAr4CfgJ+AUYCvgJ+An4BRgK+An4CfgFGAr/f/gJ+AUYCvgJ+An4BfgJ+AX/f/gFGAr4CfgJ+AUYCvgF/3/4BRgK+An4CfgFGAr4CfgJ+AUYCvgJ+An4BRkK/3//f/9//3//fxkK+AUYCvgJ+An4BRgK+AX/f/9//3//f/9/+AUYCvgJ+AkZBv9/+AX4CfgFGAr4CfgJ+AUYCvgJ+An4BRgK+An4CfgF/3//f/9//3//f/gFGQr4BRgK+An4Cf9//3//f/9//3//f/9//3//f/9//3//f8NJ403jTQVWJVZHXjNvq2aIZqpqqWaqaqlmqWqIZqpq3H//f/9/d3eZd5l3d3NXczVrVm8UaxRn0l5uVsZFYD3/f/9//3//f/9//3//f/9//39iZkFeQmIhXv9//3//f/9//39BXkJiQWL/f/9/QmIhXkJi/3//f/9//38hXkJiIV7/f/9/QmIhXkJi/3//f/9//39BXkJiQWL/fyFeQmIhXv9//3//f/9//39BYkJiQWL/fyFeQmJBYv9//3//f/9//39BXkJiIV7/f/9//39BYkJiIWL/f/9//39BXkJiIV7/f0FiQmJBYv9//3//f/9//39BXkJiQWL/f0FiQmIhXv9//3//f/9//39BYkJi/3//f/9//3//f/9//3//f/9//3//fxkG+An3BfgJ+AX4CfcF+An3BRgK9wX4CfgF+An4Bf9/9wX4CfcF+An4BfgJ9wX4CfgF+An3BfgJ+AX4CfgF/3/3BfgJ9wX4CfgF+An4BRkK+QX4CfcF+An4BfgJ9wX4Bf9//3//f/9/+AX4CfcF+An4BfgJ9wX4Cf9//3//f/9/+AUZCvcF+An4BRkK/3/4CfgF+An3BfgJ+AUZCvkFGQoZBhkK+QUZChkGGQr/f/9//3//f/9//3/4BfgJ9wX4CfgF/3//f/9//3//f/9//3//f/9//3//f/9/403jTQRSJVZHXmded3eqZqpqqWarahBvl3u7e9x/mXuYe/9//393dyVa41HiUaFJoUVgQWA9QDlBOYQ9CUqOWv9//3//f/9//3//f/9//3//fyFeQWIhXv9//3//f/9//3//f/9/QWJCYiFe/39BYkJiIV7/f/9//3//f/9/IV7/fyFe/39BYkJiIV7/f/9//3//f/9/QWJCYkFi/38hXkJiIF7/f/9//3//f0FiIV5iZiBe/38hXmJmIV7/f/9//3//f0FiIV5CYv9//38hXkJiIV7/f/9//3//f0FeIV5BYv9/QWIhXkFe/3//f/9//3//f/9/IV7/fyFeQWIhXv9//3//f/9//38hXkFiIV7/f/9//3//f/9//3//f/9//3//f/9/GQr4CfgJ+AUZCv9//3//f/9//3//f/gFGAr4CfgJ+AX/f/kJ+An4BRgK+An4CfgFGAr4CfgJ+AUYCvgJ/3//fxkK+An4CfgF+An4Bf9//3//f/9//3/4BRgK+An4CfgF/3//f/9/+AUYCvgJ+An4BRgK+An4CfgF/3//f/9//3//fxkK+An4BRgKGQr/f/gFGAr4CfgJ+AX/f/9//3//f/9//3//f/9//3//f/9//3//f/9//3//fxkK+An4CfgFGAr/f/9//3//f/9//3//f/9//3//f/9//3/jTQRWJVZnXmhiqmbdf5d7M3O6e5l7dXcPb8xuq2rMaqpqD2/tbhBv3X/OZgNSBFLCSaJJgUGBQWE5YTkhNUE5gkH/f/9//3//f/9//3//f0FiQmJBZv9//3//f/9//3//f/9//39iZkFe/3//f0JiQWb/f/9//3//f/9//3//f/9//38hXkJiQWL/f/9//3//f/9//3//f/9//3//f0JiQWL/f/9//3//f/9/IV5CYkFi/38hXkJiQWL/f/9//3//f/9/IV5CYkFe/3//f/9/QWJCYv9//3//f/9/IV5CYkFe/39BYkJiIV7/f/9//3//f/9//3//f/9//3//f/9//3//f/9//39BYkJiIV5iZv9//3//f/9//3//f/9//3//f/9//3/5BfgJ+AX4CfgF/3//f/9//3//f/gF+An3BfgJ+AX/f/9/+An4BfgJ9wX4CfgF+AnXBfgJ+AX4CfcF+An4Bf9/+AX4CfgF+An4Bf9//3//f/9//3//f/gJ9wX4CfgF+An3Bf9//38ZCvcF+An4BfgJ9wX4CfgF+AnXBf9//3//f/cFGQr4BfgJ9wUZCv9/+An3BfgJ+AX4CfcF/3//f/9//3//f/9//3//f/9//3//f/9//3//f/9/+AX4CfgF+An3Bf9//3//f/9//3//f/9//3//f/9//38FTgRSBVZGXmdeiGZ3d/9//38Qc8xq7m7Nau5uzmrubsxqzGqrastqiWaIZndzmncFVuNNokmhRWA9YT1BOUE1IDGCPf9//3//f/9//3//f/9//3//f/9//3//f/9//3//f/9//3//fyFeQV4hXv9/IV5BXkFiQmZBYkFiQWJCZkFiQWJBYv9/IV5BZv9//3//f/9//3//f/9//3//f/9/IV5BYv9//3//f/9//3//fyFeQWb/f/9/IV5BYv9//3//f/9//39BYiFeQWL/f/9/IV5BYkFi/3//f/9//39CYiFeQV7/f0JmIV5BYkFiQmZBYkFiQWJCZkFiYWYhXv9/IF5BYiFeQmYhXkFeIV5CZiFe/3//f/9//3//f/9//3//f/9//3//fxkK+AUYCvgJGQr/f/9//3//f/9/GQr4CfgJ+AUZCv9//3/4BRgK+An4CfgF/3//f/9/+AUYCvgJ+An5Bf9/+AX4CfgFGAr4Cf9//3//f/9//3//f/9//38ZCvgFGAr4Cf9//3//f/gJ+An4BRgK+AUYCvgFGAr4Cf9//3//f/9//3/4BRgK+An4CRkG/3/4BfgJ+AUYCvgJ+An4BRgK+An4CfgFGAr4Cf9//3//f/9//3//f/9/+AUZCvgFGAr4CfgJ/3//f/9//3//f/9//3//f/9//3//f/9/BFJGWkZeD2+Yd7l7/393e81qD2/vbhBv724Qc+9u7m7Nau1uy2rLaolmiGKrYv1/rWLCTaFFgUFhPWE9QTVBNQlK/3//f/9//3//f/9//3//f/9//3//f/9//3//f/9/IV5CYkFiQmJBYv9/QV5CYkFeQmJBXv9/IV5CYkFiQmIhXkJiIV5CYkFi/3//f/9//3//f/9//3//f/9/IWJCYkFi/3//f/9//3//fyFeQmJBYv9/IV5CYkFi/3//f/9//3//f0FeQmIhXv9//3//f0FiQmIhYv9//3//f0FeQmIhXv9/QWJCYiFe/39BXv9/IV5CYiFeQmJBYv9/IV5CZiFeQmJBYkJiIV7/f/9//3//f/9//3//f/9//3//f/9//3//f/9/GQb4CfcF+An3BRkK+AUZCvkF+An3BfgJ+AX4CfgF/3//f/9/+AX4CfgF+An3Bf9//38ZCvcF+An4BfgJ/3/4CfgF+An3BfgJ/3//f/9//3//f/9//3//f/cF+An3BfgJ+AX/f/cF+An4BfgJ+AX/f/gF+An3BfgJ+AX/f/9//3/4BRkK9wX4CfgFGQr/f/gJ+AX4CfcF+An4BfgJ9wX4CfgF+An3BfgJ9wX/f/9//3//f/9//3//f/gF+An3BfgJ+AX/f/9//3//f/9//3//f/9//3//f/9/BVIlVmlemHcQb6pqq2bbf85q727wbhFzEW8ycxFvEHPvbu9uzWrMaqtqqmqIZmdeJVZVc1dvoUWBQYFBYDlBOcdFKk7/f/9//3//f/9//3//f/9//3//f/9//38hXkFiQWJCYiFeQV5BYv9//3//f0FiQmIhXv9//3//f/9//38hXkJiIV7/f0FiQmIhXv9//3//f/9//38gXv9/IF7/fyFeQmIhXv9//3//f/9/QV4hXmJmIF7/fyFeQmIhXv9//3//f/9/QWIhXkJi/3//fyFeQmIhXv9//3//f/9/QV4hXkFi/39BYiFe/3//f/9//3//f/9//38hXkJm4VVBYiFeQmIhXv9//3//f/9//3//f/9//3//f/9//3//f/9//3//f/9//38ZCvgJ+An4BRgK+An4CfgFGAr4CfgJ+AUYCvgF/3//f/9//3//f/gFGAr4CRkK/3//f/gJ+An4BRkK+AX/f/gFGAr4CfgJ+AX/f/9//3//f/9//3//f/9/GAr4CfgJ+AUYCv9/+An4BRgK+AkZCv9//3/4CfgJ+AUZCvgF/3//f/9/GQr4CfgFGAoZCv9/+AUYCvgJ+An4BRgK+An4CfgFGAr4CfgJ+AX/f/9//3//f/9//3//f/9/GQr4CfgJ+AUYCv9//3//f/9//3//f/9//3//f/9//3//fzNvM3NoYstqy2rNbrt7EHMQbzJzM3NUd1RzVHMyczJz727vbs1qzG6raqpqaGJHXgRWal67e+RNYD1gPedFj1ZANf9//3//f/9//3//f/9//3//fyFeYmZBYkJiIV5CYkFiQmIhXv9//3//f/9/QmJBXv9//3//f/9//3//f0JmQWL/f/9/YmZBXv9//3//f/9//3//f2JmQWL/f/9/QmJBYv9//3//f/9//38hXkJiQWL/fyFeQmJBXkJi/3//f/9//38hXkJiQV7/f/9//39BYkJi/3//f/9//38hXkJiQV7/fyFeQmJBXv9//3//f/9//38hXkJiQV7/f0FiQmJBXv9//3//f/9//38hXv9//3//f/9//3//f/9//3//f/9//3//f/kF+An4BfgJ9wUZChkGGQr5BfgJ+AX4CfcF/3//f/9//3//f/gFGAr3BfgJ+AX/f/cF+An4BfgJ+AX/f/9/+An3BfgJ+AUZCvcF/3//f/9//3//f/9//3/4BfgJ+AX4CfcF/3/4BfgJ9wX4CfgF/3/XBfgJ+AX4CfcF+An/f/9/9wUZCvgF+An3BRkK/3//f/cF+An4BfgJ+AUZCvgFGQr4BRkK+AUZCtcF/3//f/9//3//f/9//3/4BfgJ+AX4CfcF/3//f/9//3//f/9//3//f/9//3//f1ZvaV5nXqlmqmbMas1qunsRbzJzNHNWd1Zzd3dWc1VzMnMRc+9u7m7MastqqWaJZkZaJVbjTeNNeHN4c1dvsF4gMWI5/3//f/9//3//f/9//3//fyFeQmIhXkFiQWJBYiFe/3//f/9//3//f/9//38hXkFiQWL/fyBe/38hXkFiIV5BYv9//38hXkFiIV5BYiBe/38gXkFiIV5BYiFe/38hXkFi/3//f/9//3//f/9/IV5BZv9//38hXkFeIV5CYiFe/38hXkFiIV5BYv9//38hXkFiIV7/fyFe/3//f0JiIV5BXv9//38hYkFeIV7/fyBe/38hXkJiQWL/f/9/QWIhXkFiIV7/fwBa/39BYkJiIV7/f/9//3//f/9//3//f/9//3//f/9/GQr4BRgK+AkZCv9//3//f/9/+AUYCvgJ+An5Bf9//3//f/9//3/4BfgJ+AUYCvgF+An4BRgK+An/f/9//3/4BfgJ+AUYCvgJ/3//f/9//3//f/9//3/4BfgJ+AUYCvgJ/3/4BRgK+An4CfgF/3//f/9/+AUZCvgJ+An4Bf9//3//f/gFGAr4CfgJGQb/f/gF+An4BRgK+An/f/9//3//f/9//3//f/9//3//f/9//3//f/9//3/4BRkK+AUYCvgJ+An/f/9//3//f/9//3//f/9//3//f/9//39GWohiqWbLasxq7m6Ze1R3M3N2d3d3mXeZd5h3dndVdzJzEHPubu1uy2rLaolmZ2IlVgRWwknDSf9//39iPUE1Qjn/f/9//3//f/9//3//f/9/QmJBXkJiIV7/f/9//3//f/9//3//f/9//3//f/9/IV5CZiFeQmJBYkJiQV5CYv9//3//f/9/IV5CYiFeQmJBYkJiIV5CZiFe/38hYkJiQWL/f/9//3//f/9/IV5CYkFi/38hXkJiQWL/f0FiQmIhXv9/QV5CYiFe/39BYkJiIV5CYkFiQmJBXv9/QV5CYiFe/3//f/9/QWJCYkFiYmZBYkJiQWL/f/9//38hYmJmIV5CYkFiQmYhXkJiQWL/f/9//3//f/9//3//f/9//3//f/9//38ZBvgJ9wX4CfkF/3//f/9//3//f/gF+An4BfgJ1wX/f/9//3//f/gF+AX4CfcF+An3BfgJ9wX4CfgF/3//f/9/+QX4CfcF+An4BfgJ1wH/f/9//3/3BfgJ+AX4CfcFGQr/f/gJ9wX4CfgFGAr4Bf9//3//f9cF+An4BRkK9wX/f/gFGQr3BfgJ+AUZCv9/+An4BfgJ9wX4CfgF/3//f/9//3//f/9//3//f/9//3//f/9//3//f/9/+AX4CfcF+An4Bf9//3//f/9//3//f/9//3//f/9//3+tYmdeaGKqaqtqzW7Oand3VXNUc1ZzmXeae7t7mXd3d1VzM3Pwbu9uzWrMaqpmiWZHXiZa5FHCSRNreHNYb21WIDH/f/9//3//f/9//3//f/9//39BYkFiIV7/f/9//3//f/9//3//fyFeQWIhXv9//3//fyBeQWIhXkJiIV5BYv9//3//f/9//3//fyFeQWIhXkJiIV5BYiFe/3//f/9/IV5BYgFa/3//f/9//3//fyFeQWLAXf9/IV5BYv9//38hXkJiIV4hXiFeQWIgXkFeIV5CYiFeQWIhXv9//39BYiFeQWL/f/9//3//fyFeQWIhXkFiIV7/f/9//3//f/9/IF5BYiFeQWIhXkFiIV7/f/9//3//f/9//3//f/9//3//f/9//3//fxkK+An4CfgFGQr4Bf9/9wX/f/gF+An4BRgK+An/f/9//3//f/9//38ZCvgJ+An4BRgK+An4CfgF/3//f/9//3//f/gJ+An4BRgK+AkZCvgFGAr4CfgJ+AUYCvgJ+An4Bf9/GQr4CfgFGAr4Cf9//3//fyZe/3//fxkK+An/f/9//38ZCvgJ+AUYChkK/3/4BRgK+An4CfgFGAr4Cf9/+AX/f/gJ/3/4Bf9//3//f/gF/3/4Cf9/+AUYCvgJ+An4BfgJ+AX/f/gF/3/4Cf9//3//f/9//3//f/9/Z16IYqpmzG7Nau5uVHOYe1Rzd3eZd7t/u3u6e3d3dnczcxFz727ubsxqy2qJZmdiJVolVnlzJ1JgQWA9K1IrTv9//3//f/9//3//f/9//3//f2JmIV5CYv9//3//f/9//3//fyFeQmJBYv9//3//f/9//3//f/9//3//f/9//3//f/9//3//f/9//3//f/9//3//f/9//3//f/9//3//f/9//3//f/9//3//f/9//3//f/9//3//f/9//3//f/9//3//f/9//3//f/9//3//f0FiQmL/f/9//3//f/9//3//f/9//3//f/9//3//f/9//3//f/9//3//f/9//3//f/9//3//f/9//3//f/9//3//f/9//3//f/9//3//f/9//3//f/9/+QX4CfgF+An3BfgJ+AX4CfcF+An4BfgJ9wX4CfgF/3//f/9//3//f/cF+An4BfgJ9wX4CfgF/3//f/9//3//f/9/+An3BfgJ9wX4CfgF+An3BfgJ+AX4CfcF+An4Bf9/2AX4CfgF+An3BfgJ/3//f/9//39GYv9/2AH4CfcF/3/3BRkK+AX4CfcFGQr/f/gJ9wX4CfgF+An3BfgJ+AX4CfcF+An4BfgJ+AX/f/9/GQr3BfgJ+AX4CfcF+An4BfgJ9wX4CfgF+An3BfgJ/3//f/9//3//f/9//3//f2diqmqrasxu7moRc7p7VHNWc5h3mXeae5h3d3dUczJz8G7vbs1qzGqqZolmRlqsYnhz402hRYFBYD1BOSpO/3//f/9//3//f/9//3//f/9/IV5CYiFe/3//f/9//3//fyFeQmIhXkFi/3//f/9//3//f/9//3//f/9//3//f/9//3//f/9//3//f/9//3//f/9//3//f/9//3//f/9//3//f/9//3//f/9//3//f/9//3//f/9//3//f/9//3//f/9//38hXv9//3//fyFeQWJBYv9//3//f/9//38hXv9//3//f/9//3//f/9//3//f/9//3//f/9//3//f/9//3//f/9//3//f/9//3//f/9//3//f/9//3//f/9//3//f/9//38ZCvgFGAr4CfgJ+AUYCvgJ+An4BRgK+An4CfgF/3//f/9//3//f/9//3/4BRgK+An4CfgFGQr/f/9//3//f/9//3//fxkK+An4CfgFGAr4CfgJ+AUYCvgJ+An4Bf9//3//f/gFGAr4CfgJ+AX/f/9//3//f2ZiRl7/f/9/GQr/f/9/+AUYCvgJ+AkZBv9/+AX4CfgFGAr4CfgJ+AUYCvgJ+An4BRgK+AkYCv9//38ZCvgJ+AUYCvgJ+An4BRgK+An4CfgFGAr4CfgJ+AX/f/9//3//f/9//3//f/9/iGapZstqzGrubu9u3H8yc1V3dnd4d3d3d3dVc1RzEXMQc+5u7W7LaqpqiGJ2dxFr41HCSaJFgUGBPUE5/3//f/9//3//f/9//3//f/9//3//f0FiQmJBXkJiIV7/f0FiQmIhXkJm/3//f/9//3//f/9//3//f/9//3//f/9//3//f/9//3//f/9//3//f/9//3//f/9//3//f/9//3//f/9//3//f/9//3//f/9//3//f/9//3//f/9//3//f/9//39BYkJiQWL/f/9//39BYmJmIWL/f/9//39BYkJiIWL/f/9//3//f/9//3//f/9//3//f/9//3//f/9//3//f/9//3//f/9//3//f/9//3//f/9//3//f/9//3//f/9//3//fxkG+An3BfgJ+AX4CfcF+An4BfgJ9wX4CfgF/3//f/9//3//f/9//3//fxkK9wX4CfgF+An4Bf9//3//f/9//3//f/9//3/4CfgF+An3BfgJ+AX4CfcFGQr4Bf9//3//f/gF+An3BfgJ+AX/f/9//3//f/9/JV5GXiVeRmIpRv9/2AUZCvcF+An4BRkK/3/4CfgF+An3BfgJ+AX4CfcF+An4BfgJ9wX4CfgF/3/VARkK+AX4CfcF+An4BfgJ9wX4CfgF+An3BfgJ+AX4Cf9//3//f/9//3//f/9//3+rYohmqmrMas1q7m67exFzM3NUc1VzVXc0czRzEm8Qc+5u7m7Maqtq7mq5e2leJVbjTcJJgUGBQWA5YTn/f/9//3//f/9//3//f/9//3//f/9//38hXkJiIV5BYiFeQmJBYkFeIF7/f/9//3//f/9//3//f/9//3//f/9//3//f/9//3//f/9//3//f/9//3//f/9//3//f/9//3//f/9//3//f/9//3//f/9//3//f/9//3//f/9//3//f/9//3//f0FiQWJCYv9//3//f/9/IV7/f/9//3//f0FiQWJBYv9//3//f/9//3//f/9//3//f/9//3//f/9//3//f/9//3//f/9//3//f/9//3//f/9//3//f/9//3//f/9//3//f/9//3/4Cf9/+AX/f/gJ/3/4Bf9/+AX/f/9//3//f/9//3//f/9//3//f/9/+AX/f/gF/3/4Cf9//3//f/9//3//f/9//3//f/9//3/4Bf9/+AUYCvgF/3//f/9//3//f/9//3/4Cf9/+AX/f/9//3//f/9//3//fyVe/38lXv9//3//f/gJ/3/4Bf9/+AX/f/9//3/4Cf9/+AX/f/gJ/3/4Bf9/+An/f/gF/3//f/9/+AX/f/gJ/3/4Bf9/+An/f/gF/3/4Cf9/+AX/f/gF/3//f/9//3//f/9//3//f/9/MnOpaqtqzW7Naph7EW8xczJzU3MzczNzEXMQc+9u7m7Masxud3dTc0ZeRloEUuNNokmhRYE9YT2DPf9//3//f/9//3//f/9//3//f/9//3//f/9//3//fyFe/38hXv9//3//f/9//3//f/9//3//f/9//3//f/9//3//f/9//3//f/9//3//f/9//3//f/9//3//f/9//3//f/9//3//f/9//3//f/9//3//f/9//3//f/9//3//f/9//3//f/9//3//f/9//3//f/9//3//f/9//3//f/9//3//f/9//3//f/9//3//f/9//3//f/9//3//f/9//3//f/9//3//f/9//3//f/9//3//f/9//3//f/9//3//f/9//3//f/9//3//f/9//3//f/9//3//f/9//3//f/9//3//f/9//3//f/9//3//f/9//3//f/9//3//f/9//3//f/9//3//f/9//3//f/9//3//f/9//3//f/9//3//f/9//3//f/9//3//f/9//3//f/9//3//f/9//3//f/9//3//f/9//3//f/9//3//f/9//3//f/9//3//f/9//3//f/9//3//f/9//3//f/9//3//f/9//3//f/9//3//f/9//3//f/9//3//f/9//3//f/9//3//f/9//3//f/9//3//f/9//3//f1Rzy2qras1uEG92d+9uEHPwbhBz8G4Qb+5u7m7ManV3d3eqamhiR14FVgRSwkmiRYFBYT1hPf9//3//f/9//3//f/9//3//f/9//3//f/9//3//f/9//3//f/9//3//f/9//3//f/9//3//f/9//3//f/9//3//f/9//3//f/9//3//f/9//3//f/9//3//f/9//3//f/9//3//f/9//3//f/9//3//f/9//3//f/9//3//f/9//3//f/9//3//f/9//3//f/9//3//f/9//3//f/9//3//f/9//3//f/9//3//f/9//3//f/9//3//f/9//3//f/9//3//f/9//3//f/9//3//f/9//3//f/9//3//f/9//3//f/9//3//f/9//3//f/9//3//f/9//3//f/9//3//f/9//3//f/9//3//f/9//3//f/9//3//f/9//3//f/9//3//f/9//3//f/9//3//f/9//3//f/9//3//f/9//3//f/9//3//f/9//3//f/9//3//f/9//3//f/9//3//f/9//3//f/9//3//f/9//3//f/9//3//f/9//3//f/9//3//f/9//3//f/9//3//f/9//3//f/9//3//f/9//3//f/9//3//f/9//3//f/9//3//f/9//3//f/9//3//f/9//3//f/9//38zczJzq2rMapl77m7ubu9u7m7vbu5u7W5Uc7l77m6qaohiaGImWgVW403CSaFFgUFhPf9//3//f/9//3//f/9//3//f/9//3//f/9//3//f/9//3//f/9//3//f/9//3//f/9//3//f/9//3//f/9//3//f/9//3//f/9//3//f/9//3//f/9//3//f/9//3//f/9//3//f/9//3//f/9//3//f/9//3//f/9//3//f/9//3//f/9//3//f/9//3//f/9//3//f/9//3//f/9//3//f/9//3//f/9//3//f/9//3//f/9//3//f/9//3//f/9//3//f/9//3//f/9//3//f/9//3//f/9//3//f/9//3//f/9//3//f/9//3//f/9//3//f/9//3//f/9//3//f/9//3//f/9//3//f/9//3//f/9//3//f/9//3//f/9//3//f/9//3//f/9//3//f/9//3//f/9//3//f/9//3//f/9//3//f/9//3//f/9//3//f/9//3//f/9//3//f/9//3//f/9//3//f/9//3//f/9//3//f/9//3//f/9//3//f/9//3//f/9//3//f/9//3//f/9//3//f/9//3//f/9//3//f/9//3//f/9//3//f/9//3//f/9//3//f/9//3//f/9//3//f4pmzGqXd+5uVXfNas1uzWrNbs1qdnd3dw9vqmaqaohiaF4mWiVW403DTaFFgUGBPf9//3//f/9//3//f/9//3//f/9//3//f/9//3//f/9//3//f/9//3//f/9//3//f/9//3//f/9//3//f/9//3//f/9//3//f/9//3//f/9//3//f/9//3//f/9//3//f/9//3//f/9//3//f/9//3//f/9//3//f/9//3//f/9//3//f/9//3//f/9//3//f/9//3//f/9//3//f/9//3//f/9//3//f/9//3//f/9//3//f/9//3//f/9//3//f/9//3//f/9//3//f/9//3//f/9//3//f/9//3//f/9//3//f/9//3//f/9//3//f/9//3//f/9//3//f/9//3//f/9//3//f/9//3//f/9//3//f/9//3//f/9//3//f/9//3//f/9//3//f/9//3//f/9//3//f/9//3//f/9//3//f/9//3//f/9//3//f/9//3//f/9//3//f/9//3//f/9//3//f/9//3//f/9//3//f/9//3//f/9//3//f/9//3//f/9//3//f/9//3//f/9//3//f/9//3//f/9//3//f/9//3//f/9//3//f/9//3//f/9//3//f/9//3//f/9//3//f/9//3//f/9//3//f4hmMnO6e/9/VHN1d3d3dXfMastqqmqqaohiaGJGWiVWBFLjTaJJoUWCQf9//3//f/9//3//f/9//3//f/9//3//f/9//3//f/9//3//f/9//3//f/9//3//f/9//3//f/9//3//f/9//3//f/9//3//f/9//3//f/9//3//f/9//3//f/9//3//f/9//3//f/9//3//f/9//3//f/9//3//f/9//3//f/9//3//f/9//3//f/9//3//f/9//3//f/9//3//f/9//3//f/9//3//f/9//3//f/9//3//f/9//3//f/9//3//f/9//3//f/9//3//f/9//3//f/9//3//f/9//3//f/9//3//f/9//3//f/9//3//f/9//3//f/9//3//f/9//3//f/9//3//f/9//3//f/9//3//f/9//3//f/9//3//f/9//3//f/9//3//f/9//3//f/9//3//f/9//3//f/9//3//f/9//3//f/9//3//f/9//3//f/9//3//f/9//3//f/9//3//f/9//3//f/9//3//f/9//3//f/9//3//f/9//3//f/9//3//f/9//3//f/9//3//f/9//3//f/9//3//f/9//3//f/9//3//f/9//3//f/9//3//f/9//3//f/9//3//f/9//3//f/9//3//f/9//38zc1Rz/n//fxBvqWaqZqpqiWaJZmhiZ14mWiVW5FHjTaJJoUWiRf9//3//f/9//3//f/9//3//f/9//3//f/9//3//f/9//3//f/9//3//f/9//3//f/9//3//f/9//3//f/9//3//f/9//3//f/9//3//f/9//3//f/9//3//f/9//3//f/9//3//f/9//3//f/9//3//f/9//3//f/9//3//f/9//3//f/9//3//f/9//3//f/9//3//f/9//3//f/9//3//f/9//3//f/9//3//f/9//3//f/9//3//f/9//3//f/9//3//f/9//3//f/9//3//f/9//3//f/9//3//f/9//3//f/9//3//f/9//3//f/9//3//f/9//3//f/9//3//f/9//3//f/9//3//f/9//3//f/9//3//f/9//3//f/9//3//f/9//3//f/9//3//f/9//3//f/9//3//f/9//3//f/9//3//f/9//3//f/9//3//f/9//3//f/9//3//f/9//3//f/9//3//f/9//3//f/9//3//f/9//3//f/9//3//f/9//3//f/9//3//f/9//3//f/9//3//f/9//3//f/9//3//f/9//3//f/9//3//f/9//3//f/9//3//f/9//3//f/9//3//f/9//3//f/9//3//f/9/aWKIZjNzq2YybzNzEW+rZkZaRlolVgVW403jTcJJ/3//f/9//3//f/9//3//f/9//3//f/9//3//f/9//3//f/9//3//f/9//3//f/9//3//f/9//3//f/9//3//f/9//3//f/9//3//f/9//3//f/9//3//f/9//3//f/9//3//f/9//3//f/9//3//f/9//3//f/9//3//f/9//3//f/9//3//f/9//3//f/9//3//f/9//3//f/9//3//f/9//3//f/9//3//f/9//3//f/9//3//f/9//3//f/9//3//f/9//3//f/9//3//f/9//3//f/9//3//f/9//3//f/9//3//f/9//3//f/9//3//f/9//3//f/9//3//f/9//3//f/9//3//f/9//3//f/9//3//f/9//3//f/9//3//f/9//3//f/9//3//f/9//3//f/9//3//f/9//3//f/9//3//f/9//3//f/9//3//f/9//3//f/9//3//f/9//3//f/9//3//f/9//3//f/9//3//f/9//3//f/9//3//f/9//3//f/9//3//f/9//3//f/9//3//f/9//3//f/9//3//f/9//3//f/9//3//f/9//3//f/9//3//f/9//3//f/9//3//f/9//3//f/9//3//f/9//3//f/9//3//f85m/3/wamdiRVpGWoxiz2atYqxii15qWmxa/3//f/9//3//f/9//3//f/9//3//f/9//3//f/9//3//f/9//3//f/9//3//f/9//3//f/9//3//f/9//3//f/9//3//f/9//3//f/9//3//f/9//3//f/9//3//f/9//3//f/9//3//f/9//3//f/9//3//f/9//3//f/9//3//f/9//3//f/9//3//f/9//3//f/9//3//f/9//3//f/9//3//f/9//3//f/9//3//f/9//3//f/9//3//f/9//3//f/9//3//f/9//3//f/9//3//f/9//3//f/9//3//f/9//3//f/9//3//f/9//3//f/9//3//f/9//3//f/9//3//f/9//3//f/9//3//f/9//3//f/9//3//f/9//3//f/9//3//f/9//3//f/9//3//f/9//3//f/9//3//f/9//3//f/9//3//f/9//3//f/9//3//f/9//3//f/9//3//f/9//3//f/9//3//f/9//3//f/9//3//f/9//3//f/9//3//f/9//3//f/9//3//f/9//3//f/9//3//f/9//3//f/9//3//f/9//3//f/9//3//f/9//3//f/9//3//f/9//3//f/9//3//f/9//3//f/9//3//f/9//3//f/9//3//f/9//3//f/9//38nVv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RgAAABQAAAAIAAAAVE5QUAcBAABMAAAAZAAAAAAAAAAAAAAAegAAABgAAAAAAAAAAAAAAHsAAAAZAAAAKQCqAAAAAAAAAAAAAACAPwAAAAAAAAAAAACAPwAAAAAAAAAAAAAAAAAAAAAAAAAAAAAAAAAAAAAAAAAAIgAAAAwAAAD/////RgAAABwAAAAQAAAARU1GKwJAAAAMAAAAAAAAAA4AAAAUAAAAAAAAABAAAAAUAAAA</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2026-03-27T08:16:55Z</xd:SigningTime>
          <xd:SigningCertificate>
            <xd:Cert>
              <xd:CertDigest>
                <DigestMethod Algorithm="http://www.w3.org/2001/04/xmlenc#sha256"/>
                <DigestValue>02bixBlifhugFELYbUEOyz9vsMsS99wyI+y54NwNLiI=</DigestValue>
              </xd:CertDigest>
              <xd:IssuerSerial>
                <X509IssuerName>C=VN, O=VIETNAM POSTS AND TELECOMMUNICATIONS GROUP, CN=VNPT-CA SHA2</X509IssuerName>
                <X509SerialNumber>111660364346756482179648018886328623511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Object Id="idValidSigLnImg">AQAAAGwAAAAAAAAAAAAAADEBAAB/AAAAAAAAAAAAAADQIAAAtQ0AACBFTUYAAAEALIwAAL4AAAAFAAAAAAAAAAAAAAAAAAAAgAcAADgEAAAPAgAAKAEAAAAAAAAAAAAAAAAAAJgKCABAhAQACgAAABAAAAAAAAAAAAAAAEsAAAAQAAAAAAAAAAUAAAAeAAAAGAAAAAAAAAAAAAAAMgEAAIAAAAAnAAAAGAAAAAEAAAAAAAAAAAAAAAAAAAAlAAAADAAAAAEAAABMAAAAZAAAAAAAAAAAAAAAMQEAAH8AAAAAAAAAAAAAADI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xAQAAfwAAAAAAAAAAAAAAMgEAAIAAAAAhAPAAAAAAAAAAAAAAAIA/AAAAAAAAAAAAAIA/AAAAAAAAAAAAAAAAAAAAAAAAAAAAAAAAAAAAAAAAAAAlAAAADAAAAAAAAIAoAAAADAAAAAEAAAAnAAAAGAAAAAEAAAAAAAAA8PDwAAAAAAAlAAAADAAAAAEAAABMAAAAZAAAAAAAAAAAAAAAMQEAAH8AAAAAAAAAAAAAADIBAACAAAAAIQDwAAAAAAAAAAAAAACAPwAAAAAAAAAAAACAPwAAAAAAAAAAAAAAAAAAAAAAAAAAAAAAAAAAAAAAAAAAJQAAAAwAAAAAAACAKAAAAAwAAAABAAAAJwAAABgAAAABAAAAAAAAAPDw8AAAAAAAJQAAAAwAAAABAAAATAAAAGQAAAAAAAAAAAAAADEBAAB/AAAAAAAAAAAAAAAyAQAAgAAAACEA8AAAAAAAAAAAAAAAgD8AAAAAAAAAAAAAgD8AAAAAAAAAAAAAAAAAAAAAAAAAAAAAAAAAAAAAAAAAACUAAAAMAAAAAAAAgCgAAAAMAAAAAQAAACcAAAAYAAAAAQAAAAAAAADw8PAAAAAAACUAAAAMAAAAAQAAAEwAAABkAAAAAAAAAAAAAAAxAQAAfwAAAAAAAAAAAAAAMgEAAIAAAAAhAPAAAAAAAAAAAAAAAIA/AAAAAAAAAAAAAIA/AAAAAAAAAAAAAAAAAAAAAAAAAAAAAAAAAAAAAAAAAAAlAAAADAAAAAAAAIAoAAAADAAAAAEAAAAnAAAAGAAAAAEAAAAAAAAA////AAAAAAAlAAAADAAAAAEAAABMAAAAZAAAAAAAAAAAAAAAMQEAAH8AAAAAAAAAAAAAADIBAACAAAAAIQDwAAAAAAAAAAAAAACAPwAAAAAAAAAAAACAPwAAAAAAAAAAAAAAAAAAAAAAAAAAAAAAAAAAAAAAAAAAJQAAAAwAAAAAAACAKAAAAAwAAAABAAAAJwAAABgAAAABAAAAAAAAAP///wAAAAAAJQAAAAwAAAABAAAATAAAAGQAAAAAAAAAAAAAADEBAAB/AAAAAAAAAAAAAAAy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VZXbQV9C20HEAAAABAAAAAkAAABMAAAAAAAAAAAAAAAAAAAA//////////9gAAAAMwAvADIANwAvADIAMAAyADYAAAAGAAAABAAAAAYAAAAGAAAABAAAAAYAAAAGAAAABgAAAAYAAABLAAAAQAAAADAAAAAFAAAAIAAAAAEAAAABAAAAEAAAAAAAAAAAAAAAMgEAAIAAAAAAAAAAAAAAADI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BVldtBX0LbQQoAAABLAAAAAQAAAEwAAAAEAAAACQAAACcAAAAgAAAASwAAAFAAAABYAGjC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I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B2fVPwAAAAAAAAAAoyfNPwAAJEIAAPhBJAAAACQAAAAHZ9U/AAAAAAAAAACjJ80/AAAkQgAA+EEEAAAAcwAAAAwAAAAAAAAADQAAABAAAAApAAAAHw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HsAAAAZAAAAAAAAACEAAAAIAAAAYgAAAAwAAAABAAAAFQAAAAwAAAAEAAAAFQAAAAwAAAAEAAAARgAAABQAAAAIAAAAVE5QUAYBAABRAAAAIAcAACkAAAAfAAAA9QAAAEYAAAAAAAAAAAAAAAAAAAAAAAAAAAEAADUAAABQAAAAMAAAAIAAAACgBgAAAAAAAIYA7gB7AAAAGQAAACgAAAAAAQAANQAAAAEAAQAAAAAAAAAAAAAAAAAAAAAAAAAAAAAAAAAAAAAA////AAAAAAAAAAAAAAAAAAAAAAAAAAAAAAAAAAAAAAAAAAAAAAAAAAAAAAAAAAAAAAAAAAAAAAAAAAAAAAAAAAAAAAAAAAAAAAAAAAAAAAAAAAAAAAAAAAAAAgAAAAAAAAAAAAAAAAAAAAAAAFABRAFAABHAAAUQRAAFRAAAAAAAAAAAAAAAAAAAAAAAiwumZuCKEqhojti7gz6MAAAAAAAAAAAAAAAAAAAAAAEBEhREIRIUFFEEUSEFFAQAAAAAAAAAAAAAAAAAAAAAAQM6EqigojYWio7roIW+CAAAAAAAAAAAAAAAAAAAAAABAVIVBAFBVBSURcEghBUEAAAAAAAAAAAAAAAAAAAAAAGLChcsIKIWEoyMTiCIrAwAAAAAAAAAAAAAAAAAAAAAAQkSFgRBEBIRGAREEQgUBAAAAAAAAAAAAAAAAAAAAAAA8goaI4CKE+MIj4IOCC+/AAAAAAAAAAAAAAAAAAAAAAAAAEAAAAAAAQAAAAAABQAAAAAAAAAAAAAAAAAAAAAAAAAAYAAAAAAAgAACAAACAAAAAAAAAAAAAAAAAAAAAAAAAAAAAAAAAAAAAAAAAAAAAAAAAAAAAAAAAAAAAAAAAAAAAAAAAAAAAAAAAAAAAAAAAAAAAAAAAAAAAAAAAAAAAAAAAAAAAAAAAAAAAAAAAAAAAAAAAAAAAAAAAAAAAAAAAAAAAAAAAP4AAAAAAAAAAAAAAAAAAAAAAAAAAAAAAAAAAAAAAAAH/0AAAAAAAAAAAAAAAAAAAAAAAAAAAAAAAAAAAAAAAD//8AAAAAAAAAAAAAAAAAAAAAAAAAAAAAAAAAAAAAAAf//4AAAAAAAAAAAAAAAAAAAAAAAAAAAAAAAAAAAAAAD///4AAAAAAAAAAAAAAAAAAAAAAAAAAAAAAAAAAAAAAf///wAAAAAAAAAAAAAAAAAAAAAAAAAAAAAAAAAAAAAD////gAAAAAAAAAAAAAAAAAAAAAAAAAAAAAAAAAAAAAf///+AAAAAAAAAAAAAAAAAAAKqgoAoDoAKgKKqoCoAD////8AA6AKAKA4iAgogqA6AA//HwHw/wB8B9//wPgAH////wAP8B8D8H3cHH3H8H8AD//Pg/P/wP4P3//A+AA/////gD/8+8+878wc/c/574AP/+/39//g/wff/8H4AH////+APBzhzh3B3Bxx3B3BgA//7//v//D/D9//wPgAf////4A4DuCuDuHuHOHcC4OAD4H3/8/B8f8H3wAA+AB/////wHAMwBwAwdwcYdwAB4APg+f/74H5/4/fgAD4AP/////AAA7/7ADAzBzh3/7/gA+D58ffAPH/B9//AfgAf////8AAfff8AcHcHHHdffwAD//j598A+++P3/+A+AD/////wAP44O4K4e4c4dgP4AAP/8Hn3wD758ff/wD4AH/////AH/DAzAzB3hxh3B3BAA//g++fgPvvz8//gPgA/////8A/gOvPvsDPvOnOueuAD4fB/x8B98fH3wAB+AB/////wDwAf4f9wd3d/cfx/wAPg+H/j+P34+/fgAD4AP////+AOA4/A/jg7P/5w+D+AA/XwP8H//fEx9/VFf1Af////4A4HAAAAAAAAGAAAAAAD//g/gf/78Lv3/+f/8A/////gDg8AAAAAAAI4IAAAAAP/8B+A//Hwyff/5//wD////8AH3gAAAAAABxxwAAAAA//gH4B/4+D79//v//AP////wAP+AAAAAAAHCHAAAAABVQAVABcBQFFRVUVVUAf////AAFAAAAAAAAAAAAAAAAAAAAAAAAAAAAAAAAAAA////4AAAAAAAAAAAAAAAAAAAAAAAAAAAAAAAAAAAAAB////AAAAAAAAAAAAAAAAAAAAAAAAAAAAAAAAAAAAAAH///4AAAAAAAAAAAAAAAAAAAAAAAAAAAAAAAAAAAAAAH///AAAAAAAAAAAAAAAAAAAAAAAAAAAAAAAAAAAAAAAP//4AAAAAAAAAAAAAAAAAAAAAAAAAAAAAAAAAAAAAAAf/8AAAAAAAAAAAAAAAAAAAAAAAAAAAAAAAAAAAAAAAAv/gAAAAAAAAAAAAAAAAAAAAAAAAAAAAAAAAAAAAAAAABAAAAAAAAAAAAAAAAAAAAAAAAAAAAAAAAAAAAAAAAAAAAAAAAAAAAAAAAAAAAAAAAAAAAAAAAAAAAAAAAAAAAAAAAAAAAAAAAAAAAAAAAAAAAAAAAAAAAAAAAAAAAAAAAAAAAAAAAAAAAAAAAAAAABRAAAAeGoAACkAAAAfAAAA9QAAAEYAAAAAAAAAAAAAAAAAAAAAAAAAAAEAADUAAABQAAAAKAAAAHgAAAAAagAAAAAAAMYAiAB7AAAAGQAAACgAAAAAAQAANQ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cF/3//f/9//3//f/9//3//f/9//3//f/9//3//f/9//3//f/9//3//f/9//3//f/9//3//f/9//3//f/9//3//f/9//3//f/9//3//f/9//3//f/9//3//f/9//3//f/9//3//f/9//3//f/9//3//f/9//3//f/9//3//f/9//3//f/9//3//f/9//3//f/9//3//f/9//3//f/9//3//f/9//3//f/9//3//f/9//3//f/9//3//f/9//3//f/9//3//f/9//3//f/9//3//f/9//3//f/9//3//f/9//3//f/9//3//f/9//3//f/9//3//f/9//3//f/9//3//f/9//3//f/9//3//f/9//3//f/9//3//f/9//3//f/9//3//f/gF/3/4Bf9//3//f/9//3//f/9//3//f/9//3/4Bf9/+AX/f/9//3/YBf9//3//f/9//3//f/9//3//f/gF/3/4Bf9//3//f/9//3//f/9//3//f/9//3//f/9//3//f/9//3/4Bf9//3//f/cF+An4Bf9//3//f/9//3//f/9//3//f/9//3//f/9//3//f/9//3//f/9/+AX/f/gF/3//f/9/+AX/f/9//3//f/9/+AX/f/9//3/4Bf9//3//f/9//3//f/9//3//f/9//3//f/9//3//f/gF/3/4Bf9/+AX/f/9//3/4Bf9//3//f/9//3//f/9//3//f/9//3//f/9//3//f/9//3//f/9//3//f/9//3//f/9//3//f/9//3//f/9//3//f/9//3//f/9//3//f/9//3//f/9//3//f/9//3//f/9//3//f/9//3//f/9//3//f/9//3//f/9//3//f/9//3//f/9//3//f/9//3//f/9//3//f/9//3//f/9//3//f/9//3//f/9//3//f/9//3//f/9//3//f/9//3//f/9//3//f/9//3//f/9//3//f/9//3//f/9//3//f/9//3//f/9//3//f/9//3//f/9//3//f/9//3//f/9//3//f/9//3//f/9//3//f/9//3//f/gF/3//f/9/+AX/f/cF+An/f/9//3//f/cF/3/3BfgJ1wH/f/gF/3//f/gJ9wX/f/9/+AUZBv9//3/4BfcF/3/3AfgF+AX/f/9//3//f/9/9wX/f/9//3/4Bf9/9wX/f/9//3//fxkK/3//f/gF/3/2Af9/+AX/f/gF/3//f/9//3/4BdcF/3/3Bf9//3//f/kF/3//f/9/+AX4BfgF/3/XBRgK/3/4CfcB/3//f/9/+AX/f/cF+An3Bf9/2AX4CfYB/3//f/9//3//f/gF+An/f/9/9wX4CfcF+AX4Bf9/+AX/f/9//3/3BfgJ/3//f/9//3//f/9//3//f/9//3//f/9//3//f/9//3//f/9//3//f/9//3//f/9//3//f/9//3//f/9//3//f/9//3//f/9//3//f/9//3//f/9//3//f/9//3//f/9//3//f/9//3//f/9//3//f/9//3//f/9//3//f/9//3//f/9//3//f/9//3//f/9//3//f/9//3//f/9//3//f/9//3//f/9//3//f/9//3//f/9//3//f/9//3//f/9//3//f/9//3//f/9//3//f/9//3//f/9//3//f/9//3//f/9//3//f/9//3//f/9//3//f/9//3//f/9//3//f/9//3//f/9//3//f/9//3//f/gF/3//f/9//3//f/9//3/4Bf9//3//f/gJ/3//fxkK/3//f/9//3/4Bf9/+AX/f/9//3/4Bf9//3//f/gF/3//f/9//3/4Cf9//3//f/9/+AX/f/9//3/4Bf9//38YCv9//3//f/9/GQr/f/cF/3//f/9//3//f/gF/3/4Bf9//3//f/gF/3/4Bf9//3//f/gF/3//f/9//3//f/gF/3//f/9/+AX/f/gF/3//f/9/+AX/f/9/+An/f/9//3//f/gF/3//f/9//3//f/cF/3/4Bf9//3//f/gJ/3/4Bf9//3//f/9//3//f/9/+AX/f/9//3//f/9//3//f/9//3//f/9//3//f/9//3//f/9//3//f/9//3//f/9//3//f/9//3//f/9//3//f/9//3//f/9//3//f/9//3//f/9//3//f/9//3//f/9//3//f/9//3//f/9//3//f/9//3//f/9//3//f/9//3//f/9//3//f/9//3//f/9//3//f/9//3//f/9//3//f/9//3//f/9//3//f/9//3//f/9//3//f/9//3//f/9//3//f/9//3//f/9//3//f/9//3//f/9//3//f/9//3//f/9//3//f/9//3//f/9//3//f/9//3//f/9//3//f/9//3//f/9//3//f/9//3//f/9/GQr/f/9//3//f/9//3/4BfgJ/3//f9gB+An4Bf9/+AX/f/9//3//f/gJ/3//f9cF/3/4Bf9/9wX/f/gF/3//f/9/9wX/f/gF/3//f/9//3//f/cF/3/4Bf9//3//f/cF/3//f/9/1wEZCv9/+An4Bf9//3//f/9/+An/f/gJ9wX/f/cF/3//f/9/9wX/f/gF/3/3Bf9//3//f/gF+AnXAf9/1wX4CdcB/38ZBv9/9wX4CfcF/3/3Bf9//3//f/9//3/4Bf9//3//f/9/+An/f/gF1wX/f/cF+An3BfgJ1wH/f/9//3//f/9/+AX/f/9//3//f/9//3//f/9//3//f/9//3//f/9//3//f/9//3//f/9//3//f/9//3//f/9//3//f/9//3//f/9//3//f/9//3//f/9//3//f/9//3//f/9//3//f/9//3//f/9//3//f/9//3//f/9//3//f/9//3//f/9//3//f/9//3//f/9//3//f/9//3//f/9//3//f/9//3//f/9//3//f/9//3//f/9//3//f/9//3//f/9//3//f/9//3//f/9//3//f/9//3//f/9//3//f/9//3//f/9//3//f/9//3//f/9//3//f/9//3//f/9//3//f/9//3//f/9//3//f/9//3//f/9//3//f/9//38ZBv9//3//f/9//3//f/9/+AX/f/gF/3/4Bf9//38ZCv9//3//f/9/+AX/f/gF/3/4Bf9//3//f/9//3/4Bf9//3//f/9//3//f/9//3//f/gF/38ZCv9//3//f/9//3/4Bf9/+AX/fxkG/3/4Bf9//3//f/9//3/4Bf9/+AX/f/9/GAr/f/9/+AX/f/gF/3//f/9/+AX/f/9//3/4Bf9/+AX4CfgF/3//f/9//3//f/gF/3//f/gJ/3//f/9//3//fxgK/3//f/9//3/4Bf9//3//f/9//3/4Bf9/+AX/f/gF/3//f/9//3//f/gF/3//f/9//3//f/9//3//f/9//3//f/9//3//f/9//3//f/9//3//f/9//3//f/9//3//f/9//3//f/9//3//f/9//3//f/9//3//f/9//3//f/9//3//f/9//3//f/9//3//f/9//3//f/9//3//f/9//3//f/9//3//f/9//3//f/9//3//f/9//3//f/9//3//f/9//3//f/9//3//f/9//3//f/9//3//f/9//3//f/9//3//f/9//3//f/9//3//f/9//3//f/9//3//f/9//3//f/9//3//f/9//3//f/9//3//f/9//3//f/9//3//f/9//3//f/9//3//f/9//3//f/9//3//f/9//3//f/gJ1wX/f/9//3/YBf9/+AX4Cf9//3//f/9/9wX/f/kF/3//f/9//3/4Cf9/+An4BfgJ/3//f/cF/3/XBfgJ/3//f/9//3/3Bf9//3//f/9//3/YBf9/9wX/f/9//3/4Bf9//3//f/9/GQr/f/gF+AX/f/9//3//fxkK/3//f/gF/3/XBf9//3//f9cF+An/f/9/9wX/f/9//3/4BfgF/3//f/9/GQr/f/9/1wX4BfcF/3//f/9/+QX/f/9//3//f/9/9wX/f/9//3/3Bf9//3//f/cF/3/3Bf9/9wX4Bf9//3//f/9//3//f/cF+An/f/9//3//f/9//3//f/9//3//f/9//3//f/9//3//f/9//3//f/9//3//f/9//3//f/9//3//f/9//3//f/9//3//f/9//3//f/9//3//f/9//3//f/9//3//f/9//3//f/9//3//f/9//3//f/9//3//f/9//3//f/9//3//f/9//3//f/9//3//f/9//3//f/9//3//f/9//3//f/9//3//f/9//3//f/9//3//f/9//3//f/9//3//f/9//3//f/9//3//f/9//3//f/9//3//f/9//3//f/9//3//f/9//3//f/9//3//f/9//3//f/9//3//f/9//3//f/9//3//f/9//3//f/9//3//f/9/+AX/f/9//3//fxkK/3//f/gF/3//f/9/+An/f/9/GQr/f/9//3//f/gJ/3/4BRkK/3//f/9//3//f/9/+AX/f/9//3/3Bf9//3//f/9//3/4Bf9//3//f/gF/3//f/9//3//f/9//38ZCv9//38ZCv9//3//f/9/9wX/f/9//3/4Bf9//3//f/gFGQr/f/9//3//f/9//3//f/9/+AX/f/9//38ZBv9//3//f/gF/3//f/9//3//f/gF/3//f/9/+AX/f/9//3//fxkK/3//f/9//3//f/9/+An/f/gF/3//f/9//3//f/9//3/4Bf9//3//f/9//3//f/9//3//f/9//3//f/9//3//f/9//3//f/9//3//f/9//3//f/9//3//f/9//3//f/9//3//f/9//3//f/9//3//f/9//3//f/9//3//f/9//3//f/9//3//f/9//3//f/9//3//f/9//3//f/9//3//f/9//3//f/9//3//f/9//3//f/9//3//f/9//3//f/9//3//f/9//3//f/9//3//f/9//3//f/9//3//f/9//3//f/9//3//f/9//3//f/9//3//f/9//3//f/9//3//f/9//3//f/9//3//f/9//3//f/9//3//f/9//3//f/9//3//f/9//3//f/9//3//f/9//3//f/gF+An3BfgF/3//f/cF/3//f/9//3//f/cF/3/3Bf9//3//f/9/+An4Bf9/9wX/f/9//3/3Bf9//3//f9cF+An3Bf9//3//f/9//3//f/9/9wX/f/9//3/3Bf9/9wX/f/9//3//f/gJ/3//f9gB+AX3BfgJ9wX/f/9//3/3AfgF/3//f/9//3/4Bf9//3//f/cF/3//f/9/1wX4CfcF+AX3Bf9//3//f/9//3/3Bf9//3//f/9//3/3BfgJ9wX/f/9//3//f/9/+AX/f/9//3//f/9/1wX/f9cF+An3BfgF9wX/f9cF+An3BfgJ9wX4Cf9//3//f/9//3//f/9//3//f/9//3//f/9//3//f/9//3//f/9//3//f/9//3//f/9//3//f/9//3//f/9//3//f/9//3//f/9//3//f/9//3//f/9//3//f/9//3//f/9//3//f/9//3//f/9//3//f/9//3//f/9//3//f/9//3//f/9//3//f/9//3//f/9//3//f/9//3//f/9//3//f/9//3//f/9//3//f/9//3//f/9//3//f/9//3//f/9//3//f/9//3//f/9//3//f/9//3//f/9//3//f/9//3//f/9//3//f/9//3//f/9//3//f/9//3//f/9//3//f/9//3//f/9//3//f/9//3//f/9//3//f/9//3//f/9//3//f/9//3//f/9//3//f/gF/3//f/9//3//f/9//3//f/9//3//f/9//3//f/9//3//f/9//3//f/9//3//f/9//3//f/9//3//f/9//3//f/9//3//f/9//3//f/9//3//f/9//3//f/9/9wX/f/9//3//f/9//3//f/9//3//f/9//3//f/9//3//f/9//3//f/9//3//f/9//3//f/9//3//f/9//3//f/9//3//f/9//3//f/9//3//f/9//3//f/9//3/4Bf9/9wX/f/9//3//f/9//3//f/9//3//f/9//3//f/9//3//f/9//3//f/9//3//f/9//3//f/9//3//f/9//3//f/9//3//f/9//3//f/9//3//f/9//3//f/9//3//f/9//3//f/9//3//f/9//3//f/9//3//f/9//3//f/9//3//f/9//3//f/9//3//f/9//3//f/9//3//f/9//3//f/9//3//f/9//3//f/9//3//f/9//3//f/9//3//f/9//3//f/9//3//f/9//3//f/9//3//f/9//3//f/9//3//f/9//3//f/9//3//f/9//3//f/9//3//f/9//3//f/9//3//f/9//3//f/9//3//f/9//3//f/9//3//f/9//3//f/9//3//f/9//3//f/9//3//f/9//3//f/9//3//f/9/+AX3Bf9//3//f/9//3//f/9//3//f/9//3//f/9//3//f/9//3//f/9//3//f/9//3//f/9//3//f/9//3//f/9//3//f/9//3//f/9//3//f/9//3//f/9//3//f/cF/3//f/9//3//f/9//3//f/9//3//f/9//3//f/9//3//f/9//3//f/9/+AX/f/9//3//f/9//3//f/9//3//f/9//3//f/9//3//f/9//3//f/9//3//f/9/9w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iOYM9QDVBOWE5g0GDQf9//3//f/9//3//f/9//3//f/9//3//f/9//3//f/9//3//f/9//3//f/9//3//f/9//3//f/9//3//f/9//3//f/9//3//f/9//3//f/9//3//f/9//3//f/9//3//f/9//3//f/9//3//f/9//3//f/9//3//f/9//3//f/9//3//f/9//3//f/9//3//f/9//3//f/9//3//f/9//3//f/9//3//f/9//3//f/9//3//f/9//3//f/9//3//f/9//3//f/9//3//f/9//3//f/9//3//f/9//3//f/9//3//f/9//3//f/9//3//f/9//3//f/9//3//f/9//3//f/9//3//f/9//3//f/9//3//f/9//3//f/9//3//f/9//3//f/9//3//f/9//3//f/9//3//f/9//3//f/9//3//f/9//3//f/9//3//f/9//3//f/9//3//f/9//3//f/9//3//f/9//3//f/9//3//f/9//3//f/9//3//f/9//3//f/9//3//f/9//3//f/9//3//f/9//3//f/9//3//f/9//3//f/9//3//f/9//3//f/9//3//f/9//3//f/9//3//f/9//3//f/9//3//f/9//3//f/9//3//f/9//3//f/9//3//f2I5YTlANUE1QDVBNUE1QTVBNWE5YT3/f6NB/3//f/9//3//f/9//3//f/9//3//f/9//3//f/9//3//f/9//3//f/9//3//f/9//3//f/9//3//f/9//3//f/9//3//f/9//3//f/9//3//f/9//3//f/9//3//f/9//3//f/9//3//f/9//3//f/9//3//f/9//3//f/9//3//f/9//3//f/9//3//f/9//3//f/9//3//f/9//3//f/9//3//f/9//3//f/9//3//f/9//3//f/9//3//f/9//3//f/9//3//f/9//3//f/9//3//f/9//3//f/9//3//f/9//3//f/9//3//f/9//3//f/9//3//f/9//3//f/9//3//f/9//3//f/9//3//f/9//3//f/9//3//f/9//3//f/9//3//f/9//3//f/9//3//f/9//3//f/9//3//f/9//3//f/9//3//f/9//3//f/9//3//f/9//3//f/9//3//f/9//3//f/9//3//f/9//3//f/9//3//f/9//3//f/9//3//f/9//3//f/9//3//f/9//3//f/9//3//f/9//3//f/9//3//f/9//3//f/9//3//f/9//3//f/9//3//f/9//3//f/9//3//f/9//3//f/9//3//f/9/hD2wXoQ9YTlANUE5QTVhOUA1QTVANUE1IDFBNUA1YTlhPaNF/3//f/9//3//f/9//3//f/9//3//f/9//3//f/9//3//f/9//3//f/9//3//f/9//3//f/9//3//f/9//3//f/9//3//f/9//3//f/9//3//f/9//3//f/9//3//f/9//3//f/9//3//f/9//3//f/9//3//f/9//3//f/9//3//f/9//3//f/9//3//f/9//3//f/9//3//f/9//3//f/9//3//f/9//3//f/9//3//f/9//3//f/9//3//f/9//3//f/9//3//f/9//3//f/9//3//f/9//3//f/9//3//f/9//3//f/9//3//f/9//3//f/9//3//f/9//3//f/9//3//f/9//3//f/9//3//f/9//3//f/9//3//f/9//3//f/9//3//f/9//3//f/9//3//f/9//3//f/9//3//f/9//3//f/9//3//f/9//3//f/9//3//f/9//3//f/9//3//f/9//3//f/9//3//f/9//3//f/9//3//f/9//3//f/9//3//f/9//3//f/9//3//f/9//3//f/9//3//f/9//3//f/9//3//f/9//3//f/9//3//f/9//3//f/9//3//f/9//3//f/9//3//f/9//3//f/9/gj1AOfJiYT1hOWE9YT2BPWE5YT1hOWE5QTlBOUA1QTVBNWE5YDmCQf9//3//f/9//3//f/9//3//f/9//3//f/9//3//f/9//3//f/9//3//f/9//3//f/9//3//f/9//3//f/9//3//f/9//3//f/9//3//f/9//3//f/9//3//f/9//3//f/9//3//f/9//3//f/9//3//f/9//3//f/9//3//f/9//3//f/9//3//f/9//3//f/9//3//f/9//3//f/9//3//f/9//3//f/9//3//f/9//3//f/9//3//f/9//3//f/9//3//f/9//3//f/9//3//f/9//3//f/9//3//f/9//3//f/9//3//f/9//3//f/9//3//f/9//3//f/9//3//f/9//3//f/9//3//f/9//3//f/9//3//f/9//3//f/9//3//f/9//3//f/9//3//f/9//3//f/9//3//f/9//3//f/9//3//f/9//3//f/9//3//f/9//3//f/9//3//f/9//3//f/9//3//f/9//3//f/9//3//f/9//3//f/9//3//f/9//3//f/9//3//f/9//3//f/9//3//f/9//3//f/9//3//f/9//3//f/9//3//f/9//3//f/9//3//f/9//3//f/9//3//f/9//3//f/9/YT1hPedJSlJgPYFBgT2BQWA9gUFgPYE9YDlhPUE5YTlANUE1IDFBOUA5gUHERf9//3//f/9//3//f/9//3//f/9//3//f/9//3//f/9//3//f/9//3//f/9//3//f/9//3//f/9//3//f/9//3//f/9//3//f/9//3//f/9//3//f/9//3//f/9//3//f/9//3//f/9//3//f/9//3//f/9//3//f/9//3//f/9//3//f/9//3//f/9//3//f/9//3//f/9//3//f/9//3//f/9//3//f/9//3//f/9//3//f/9//3//f/9//3//f/9//3//f/9//3//f/9//3//f/9//3//f/9//3//f/9//3//f/9//3//f/9//3//f/9//3//f/9//3//f/9//3//f/9//3//f/9//3//f/9//3//f/9//3//f/9//3//f/9//3//f/9//3//f/9//3//f/9//3//f/9//3//f/9//3//f/9//3//f/9//3//f/9//3//f/9//3//f/9//3//f/9//3//f/9//3//f/9//3//f/9//3//f/9//3//f/9//3//f/9//3//f/9//3//f/9//3//f/9//3//f/9//3//f/9//3//f/9//3//f/9//3//f/9//3//f/9//3//f/9//3//f/9//3//f/9/KU5hPWA98maAQaFFgUGhRYFFoUWBQaFFgUGBQYE9gUFhPWE9QTlBOUE1QTVBOYFBxUX/f/9//3//f/9//3//f/9//3//f/9//3//f/9//3//f/9//3//f/9//3//f/9//3//f/9//3//f/9//3//f/9//3//f/9//3//f/9//3//f/9//3//f/9//3//f/9//3//f/9//3//f/9//3//f/9//3//f/9//3//f/9//3//f/9//3//f/9//3//f/9//3//f/9//3//f/9//3//f/9//3//f/9//3//f/9//3//f/9//3//f/9//3//f/9//3//f/9//3//f/9//3//f/9//3//f/9//3//f/9//3//f/9//3//f/9//3//f/9//3//f/9//3//f/9//3//f/9//3//f/9//3//f/9//3//f/9//3//f/9//3//f/9//3//f/9//3//f/9//3//f/9//3//f/9//3//f/9//3//f/9//3//f/9//3//f/9//3//f/9//3//f/9//3//f/9//3//f/9//3//f/9//3//f/9//3//f/9//3//f/9//3//f/9//3//f/9//3//f/9//3//f/9//3//f/9//3//f/9//3//f/9//3//f/9//3//f/9//3//f/9//3//f/9//3//f/9//3//f/9/gkEHTq9eNW//f/JmoUXCSaJJwkmiScJJoUWhRYFFoUWBQYFBYD1hPUA5QTUgMUE1QDWBPcVJ/3//f/9//3//f/9//3//f/9//3//f/9//3//f/9//3//f/9//3//f/9//3//f/9//3//f/9//3//f/9//3//f/9//3//f/9//3//f/9//3//f/9//3//f/9//3//f/9//3//f/9//3//f/9//3//f/9//3//f/9//3//f/9//3//f/9//3//f/9//3//f/9//3//f/9//3//f/9//3//f/9//3//f/9//3//f/9//3//f/9//3//f/9//3//f/9//3//f/9//3//f/9//3//f/9//3//f/9//3//f/9//3//f/9//3//f/9//3//f/9//3//f/9//3//f/9//3//f/9//3//f/9//3//f/9//3//f/9//3//f/9//3//f/9//3//f/9//3//f/9//3//f/9//3//f/9//3//f/9//3//f/9//3//f/9//3//f/9//3//f/9//3//f/9//3//f/9//3//f/9//3//f/9//3//f/9//3//f/9//3//f/9//3//f/9//3//f/9//3//f/9//3//f/9//3//f/9//3//f/9//3//f/9//3//f/9//3//f/9//3//f/9//3//f/9//3//f/9/o0WBQYFBoUVXc/5/8WYSayZW41HjTQNS403jTcJJwk2hSaFFgUGBQYE9YT1hOWE5QTVBNUE5gkH/f/9//3//f/9//3//f/9//3//f/9//3//f/9//3//f/9//3//f/9//3//f/9//3//f/9//3//f/9//3//f/9//3//f/9//3//f/9//3//f/9//3//f/9//3//f/9//3//f/9//3//f/9//3//f/9//3//f/9//3//f/9//3//f/9//3//f/9//3//f/9//3//f/9//3//f/9//3//f/9//3//f/9//3//f/9//3//f/9//3//f/9//3//f/9//3//f/9//3//f/9//3//f/9//3//f/9//3//f/9//3//f/9//3//f/9//3/YBf9/2AX/f9gF/3/YBf9/2AX/f/cF/3//f/9//3//f9gF/3/YBf9//3//f/9//3//f/9//3//f9gF/3/YBf9//3//f/9//3//f/9/1wX4BfgF/3/XBf9//3//f/9//3//f/9//3//f/9//3/YBf9/2AX/f7cB/3//f/9//3//f/9//3/YBf9/2AX/f/9//3/YBf9/2AX/f9gF/3/YBf9/2AX/f9gF/3/YBf9//3//f/9//3//f/9/2AX/f9gF/3/XBf9//3//f/9//3//f/9//3//f/9//3//f/9/xUmhRYFFwknCSQVS8WYEUuNRz2Y0b2le41EEVgRSBFLjTeNNwkmiSYBBgUFgPWE9QDlBNSAxQTlAOaJB/3//f/9//3//f/9//3//f/9//3//f/9//3//fyFeQV4hXv9/IV7/f/9//3//f/9//3//f/9//38hXv9/IV7/f/9//3//f/9//3//f/9//38hXv9/IV7/f/9//3//f/9//3//fyFeQV4hXv9//3//fyFi/3//f/9/IWL/f/9//3//f/9//3//fyFi/3//f/9//3//fwBe/38hXv9//3//fyFi/3//f/9//3//fyBi/38hXv9/IV7/f/9//3//f/9//3//fyFeQV4hXv9/AVr/f/9//3//f/9//3//f/9//3//f/9//3//fzoK+AkZCvgFGQr4CRkK+AUZCvgJGQr4Bf9//3//f/gFGQr4CRkK+AX/f/9//3//f/9//3//fxkGGQr4CRkKGQb/f/9//3//fxkK+An4CfgFGAr4CRkK+AX/f/9//3//f/9//3//f/9//3/4CRkK+AUZCvgJ/3//f/9//3//f/9//38ZChkK+AUZChoK/3/4BRkK+AkZCvgFGQr4CRkK+AUZCvgJGQr4BRkK+AX/f/9//3//f/9//38ZCvgJGQr4BRkK/3//f/9//3//f/9//3//f/9//3//f/9//3//f6FFw03jTQRSal7vaiVaRl5GWkZe72p3d4tiJVolWiVWBFIEUsJNwkmhRaFFgT2BPUE5YTlBNWE5YT3/f/9//3//f/9//3//f/9//3//f/9//39CYkFiQmIhXkJiIV5CYkFi/3//f/9//3//f/9//39BYkJiQV5CYkFi/3//f/9//3//f/9/QmJBYkJiQV5CYkFi/3//f/9//3//f0FiQmIhXkJiQWL/fyFiYmZhZv9/IV5iZmFm/3//f/9//3//f0FiYmZBYv9//3//fyFeQmZBYkJiQWL/f0FiYmZBYv9//3//fyFeQmIhXkJiIV5CYkFi/3//f/9//3//f0FiQmIhXkJiQV5CZiFe/3//f/9//3//f/9//3//f/9//3//f/9/+QX4CfgF+An3BfgJ+AX4CfcF+An4BfgJ9wX4Cf9//3/4BfgJ+AX4CfcF/3//f/9//3//f/gFGAr3BfgJ+AX4Cf9//3/3BRgK9wX4CfgF+An3BfgJ+AX4CfgF+AX/f/9//3//f/9//3/3BfgJ+AX4CfcF+An5Bf9//3//f/9//3/3BRkK+AX4CfcFGQr/f/gJ9wX4CfgF+An3BfgJ+AX4CfcF+An4BfgJ9wX4Cf9//3//f/9//3//f/gF+An4BfgJ9wX/f/9//3//f/9//3//f/9//3//f/9//3//f6FFw03jTQRSBFbvaqxiZ15nYohiaGKIYmdiMW93d4pizmZpXgNS41HBSaFJgEGAQWA9YDlANUE1QDVhOYI9/3//f/9//3//f/9//3//f/9/IV5CYiFeQWIhYkFiIV5BXkFiQmIhXkFe/3//fyBeQWIhXkFiIV7/fyFeQWIhXkFi/3//fyFeQWIhXkFiIV7/fyFeQmIhXkFi/3//fyFeQV5BYv9/IV4hYkFiQWIhXkFm/3//fyFeQWb/f/9//3//f/9/QWIhXkFi/3//fyBeQWIhXkFiIV5BXv9/QWIhXkFe/3//fyFeQV5BYkFiIF5BXkFiQmJBYv9//39BYiFeQWIhXv9/IF5BYkFeQmIhXv9//3//f/9//3//f/9//3//f/9//38ZCvgFGAr4CfgJ+AUYCvgJ+An4BRgK+An4CfgF+An/f/gJ+AUYCvgJ+An4BfgJ+AX/f/gF+An4CfgJ+AUYCvgF/3/4BRgK+An4CfgFGAr4CfgJ+AUYCvgJ+An4BRgK/3//f/9//3//fxkK+AUYCvgJ+An4BRgK9wX/f/9//3//f/9/+AUYCvgJ+AkZBv9/+AX4CfgFGAr4CfgJ+AUYCvgJ+An4BRgK+An4CfgF/3//f/9//3//f/cFGQr4BRgK+An4Cf9//3//f/9//3//f/9//3//f/9//3//f8NJ403jTQVWJVZHXjNvq2aIZqpqqWaqaqlmqWqIZqpq3H//f/9/d3eZd5l3d3NXczVrVm8UaxRn0l5uVsZFYD3/f/9//3//f/9//3//f/9//39iZkFeQmIhXv9//3//f/9//39BXkJiQWL/f/9/QmIhXkJi/3//f/9//38hXkJiIV7/f/9/QmIhXkJi/3//f/9//38hXkJiQWL/f0FeQmIhXv9//3//f/9//39BYkJiQWL/fyFeQmJBYv9//3//f/9//39BXkJiIV7/f/9//39BYkJiIV7/f/9//39BXkJiIV7/f0FiQmJBYv9//3//f/9//38hXkJiQV7/f0FiQmIhXv9//3//f/9//39BYkJi/3//f/9//3//f/9//3//f/9//3//fxkG+An3BfgJ+AX4CfcF+An3BfgJ9wX4CfgF+An4Bf9/9wX4CfcF+An4BfgJ9wX4CfgF+An3BfgJ+AX4CfgF/3/3BfgJ9wX4CfgF+An4BRkK+QX4CfcF+An4BfgJ9wX4Bf9//3//f/9/+AX4CfcF+An4BfgJ9wX4Cf9//3//f/9/+AUZCvcF+An4BRkK/3/4CfgF+An3BfgJ+AUZCvkFGQoZBhkK+QUZChkGGQr/f/9//3//f/9//3/4BfgJ9wX4CfcF/3//f/9//3//f/9//3//f/9//3//f/9/403jTQRSJVZHXmded3eqZqpqqWarahBvl3u7e9x/mXuYe/9//393dyVa41HiUaFJoUVgQWA9QDlBOYQ9CUqOWv9//3//f/9//3//f/9//3//fyFeQWIhXv9//3//f/9//3//f/9/QWJCYiFe/39BYkJiIV7/f/9//3//f/9/IV7/fyBe/39BYkJiIV7/f/9//3//f/9/QWJCYkFi/38hXkJiIF7/f/9//3//f0FiIV5iZiBe/38hXmJmAV7/f/9//3//f0FeIV5CYv9//38hXkJiIV7/f/9//3//f0FeIV5BYv9/QV4hXkFe/3//f/9//3//f/9/IV7/fwBeQWIhXv9//3//f/9//38hXkFiIV7/f/9//3//f/9//3//f/9//3//f/9/GQr4CfgJ+AUZCv9//3//f/9//3//f/gFGAr4CfgJ+AX/f/kJ+An4BRgK+An4CfgFGAr4CfgJ+AUYCvgJ/3//fxkK+An4CfgF+An4Bf9//3//f/9//3/4BRgK+An4CfgF/3//f/9/+AUYCvgJ+An4BRgK+An4CfgF/3//f/9//3//fxkK+An4BRgKGQr/f/gFGAr4CfgJ+AX/f/9//3//f/9//3//f/9//3//f/9//3//f/9//3//fxkK+An4CfgF+An/f/9//3//f/9//3//f/9//3//f/9//3/jTQRWJVZnXmhiqmbdf5d7M3O6e5l7dXcPb8xuq2rMaqpqD2/tbhBv3X/OZgNSBFLCSaJJgUGBQWE5YTkhNUE5gkH/f/9//3//f/9//3//f0FiQmJBZv9//3//f/9//3//f/9//39iZkFe/3//f0JiQWb/f/9//3//f/9//3//f/9//38hXkJiQWL/f/9//3//f/9//3//f/9//3//f0JiQWL/f/9//3//f/9/IV5CYkFi/38hXkJiQWL/f/9//3//f/9/IV5CYkFe/3//f/9/QWJCYv9//3//f/9/IV5CYiFe/39BYkJiIV7/f/9//3//f/9//3//f/9//3//f/9//3//f/9//38hXkJiIV5iZv9//3//f/9//3//f/9//3//f/9//3/5BfgJ+AX4CfgF/3//f/9//3//f/gF+An3BfgJ+AX/f/9/+An4BfgJ9wX4CfcF+AnXBfgJ+AX4CfcF+An4Bf9/+AX4CfgF+An3Bf9//3//f/9//3//f/gJ9wX4CfgF+AnXBf9//38ZCvcF+An4BfgJ9wX4CfgF+AnXBf9//3//f/cFGQr4BfgJ9wUZCv9/+An3BfgJ+AX4CfcF/3//f/9//3//f/9//3//f/9//3//f/9//3//f/9/+AX4CfgF+An3Bf9//3//f/9//3//f/9//3//f/9//3/lTQRSBVZGXmdeiGZ3d/9//38Qc8xq7m7Nau5uzmrubsxqzGqrastqiWaIZndzmncFVuNNokmhRWA9YT1BOUE1IDGCPf9//3//f/9//3//f/9//3//f/9//3//f/9//3//f/9//3//fyFeQV4hXv9/IV5BXkFiQmZBYkFiQWJCZkFiQWJBYv9/IV5BZv9//3//f/9//3//f/9//3//f/9/IV5BYv9//3//f/9//3//fyFeQWb/f/9/IV5BYv9//3//f/9//39BYiFeQWL/f/9/IV5BYkFi/3//f/9//39BYiFeQV7/f0JmIV5BYkFiQmZBYkFiQWJCZkFiYWYhXv9/IF5BXiFeQmYhXkFeIV5CZiBe/3//f/9//3//f/9//3//f/9//3//fxkK+AUYCvgJGQr/f/9//3//f/9/GQr4CfgJ+AUZCv9//3/4BRgK+An4CfgF/3//f/9/+AUYCvgJ+An5Bf9/+AX4CfgFGAr4Cf9//3//f/9//3//f/9//38ZCvgFGAr4Cf9//3//f/gJ+An4BRgK+AUYCvgFGAr4Cf9//3//f/9//3/4BRgK+An4CRkG/3/4BfgJ+AUYCvgJ+An4BRgK+An4CfgFGAr4Cf9//3//f/9//3//f/9/9wUZCvgFGAr4CfgJ/3//f/9//3//f/9//3//f/9//3//f/9/BFJGWkZeD2+Yd7l7/393e81qD2/vbhBv724Qc+9u7m7Nau1uy2rLaolmiGKrYv1/rWLCTaFFgUFhPWE9QTVBNQlK/3//f/9//3//f/9//3//f/9//3//f/9//3//f/9/IV5CYkFiQmJBYv9/QV5CYkFeQmJBXv9/IV5CYkFeQmIhXkJiIV5CYkFi/3//f/9//3//f/9//3//f/9/IV5CYkFi/3//f/9//3//fyFeQmJBYv9/IV5CYkFi/3//f/9//3//f0FeQmIhXv9//3//f0FiQmJBYv9//3//f0FeQmIhXv9/QWJCYiFe/39BXv9/IV5CYiFeQmJBYv9/IV5CZiFeQmJBYkJiIV7/f/9//3//f/9//3//f/9//3//f/9//3//f/9/GQb4CfcF+An3BRkK+AUZCvkF+An3BfgJ+AX4CfgF/3//f/9/+AX4CfgF+An3Bf9//38ZCvcF+An4BfgJ/3/4CfgF+An3BfgJ/3//f/9//3//f/9//3//f/cF+An3BfgJ9wX/f/cF+An4BfgJ+AX/f/gF+An3BfgJ+AX/f/9//3/4BRkK9wX4CfgFGQr/f/gJ+AX4CfcF+An4BfgJ9wX4CfgF+An3BfgJ9wX/f/9//3//f/9//3//f/gF+An3BfgJ9wX/f/9//3//f/9//3//f/9//3//f/9/BVIlVmlemHcQb6pqq2bbf85q727wbhFzEW8ycxFvEHPvbu9uzWrMaqtqqmqIZmdeJVZVc1dvoUWBQYFBYDlBOcdFKk7/f/9//3//f/9//3//f/9//3//f/9//38hXkFiQWJCYiFeQV5BYv9//3//f0FiQmIgXv9//3//f/9//38hXkJiIV7/f0FiQmIhXv9//3//f/9//38gXv9/IF7/fyFeQmIAXv9//3//f/9/IV4hXmJmIF7/fyFeQmIhXv9//3//f/9/QV4hXkJi/3//fyFeQmIhXv9//3//f/9/QV4hXkFi/39BYiFe/3//f/9//3//f/9//38hXkJm4VVBXiFeQmIhXv9//3//f/9//3//f/9//3//f/9//3//f/9//3//f/9//38ZCvgJ+An4BRgK+An4CfgFGAr4CfgJ+AUYCvgF/3//f/9//3//f/gFGAr4CRkK/3//f/gJ+An4BRkK+AX/f/gFGAr4CfgJ+AX/f/9//3//f/9//3//f/9/+An4CfgJ+AX4Cf9/+An4BRgK+AkZCv9//3/4CfgJ+AUZCvgF/3//f/9/GQr4CfgFGAoZCv9/+AUYCvgJ+An4BRgK+An4CfgFGAr4CfgJ+AX/f/9//3//f/9//3//f/9/GQr4CfgJ+AX4Cf9//3//f/9//3//f/9//3//f/9//3//fzNvM3NoYstqy2rNbrt7EHMQbzJzM3NUd1RzVHMyczJz727vbs1qzG6raqpqaGJHXgRWal67e+RNYD1gPedFj1ZANf9//3//f/9//3//f/9//3//fyFeYmZBYkJiIV5CYkFiQmIhXv9//3//f/9/QmJBXv9//3//f/9//3//f0JmQWL/f/9/YmZBXv9//3//f/9//3//f2JmQWL/f/9/QmJBYv9//3//f/9//38hXkJiQWL/fyFeQmJBXkJi/3//f/9//38hXkJiQV7/f/9//39BYkJi/3//f/9//38hXkJiIV7/fyFeQmJBXv9//3//f/9//38hXkJiQV7/f0FiQmIhXv9//3//f/9//38hXv9//3//f/9//3//f/9//3//f/9//3//f/kF+An4BfgJ9wUZChkGGQr5BfgJ+AX4CfcF/3//f/9//3//f/gFGAr3BfgJ+AX/f/cF+An4BfgJ+AX/f/9/+An3BfgJ+AUZCvcF/3//f/9//3//f/9//3/4BfgJ+AX4CfcF/3/4BfgJ9wX4CfcF/3/XAfgJ+AX4CfcF+AX/f/9/9wUZCvgF+An3BRkK/3//f/cF+An4BfgJ+AUZCvgFGQr4BRkK+AUZCtcF/3//f/9//3//f/9//3/4BfgJ+AX4CfcF/3//f/9//3//f/9//3//f/9//3//f1ZvaV5nXqlmqmbMas1qunsRbzJzNHNWd1Zzd3dWc1VzMnMRc+9u7m7MastqqWaJZkZaJVbjTeNNeHN4c1dvsF4gMWI5/3//f/9//3//f/9//3//fyFeQmIhXkFiQWJBYiFe/3//f/9//3//f/9//38hXkFiQWL/fwBe/38hXkFiIV5BYv9//38hXkFiIV5BXgBe/38gXkFiIV5BYiFe/38hXkFi/3//f/9//3//f/9/IV5BZv9//38hXkFeIV5CYiFe/38hXkFiIV5BYv9//38hXkFiIV7/fyFe/3//f0FiIV5BXv9//38hYkFeIV7/fyBe/38hXkJiQWL/f/9/QWIhXiFiIV7/fwBa/39BYkJiIV7/f/9//3//f/9//3//f/9//3//f/9/GQr4BRgK+AkZCv9//3//f/9/+AUYCvgJ+An5Bf9//3//f/9//3/4BfgJ+AUYCvgF+An4BRgK+An/f/9//3/4BfgJ+AUYCvgJ/3//f/9//3//f/9//3/4BfgJ+AUYCvgJ/3/4BRgK+An4CfgF/3//f/9/+AUZCvgJ+An4Bf9//3//f/gFGAr4CfgJGQb/f/gF+An4BRgK+An/f/9//3//f/9//3//f/9//3//f/9//3//f/9//3/3BRkK+AUYCvgJ+An/f/9//3//f/9//3//f/9//3//f/9//39GWohiqWbLasxq7m6Ze1R3M3N2d3d3mXeZd5h3dndVdzJzEHPubu1uy2rLaolmZ2IlVgRWwknDSf9//39iPUE1Qjn/f/9//3//f/9//3//f/9/QmJBXkJiIV7/f/9//3//f/9//3//f/9//3//f/9/IV5CZiFeQmJBYkJiQV5CYv9//3//f/9/IV5CYiFeQmJBYkJiIV5CZiFe/38hXkJiQWL/f/9//3//f/9/IV5CYkFi/38hXkJiQWL/f0FiQmIhXv9/IV5CYiFe/39BYkJiIV5CYkFiQmIhXv9/QV5CYiFe/3//f/9/QWJCYkFiYmZBYkJiQWL/f/9//38hXmJmIV5CYkFiQmYhXkJiQWL/f/9//3//f/9//3//f/9//3//f/9//38ZBvgJ9wX4CfkF/3//f/9//3//f/gF+An4BfgJ1wX/f/9//3//f/gF+AX4CfcF+An3BfgJ9wX4CdcF/3//f/9/+QX4CfcF+An4BfgJ1wH/f/9//3/3BfgJ+AX4CfcFGQr/f/gJ9wX4CfgFGArYBf9//3//f9cF+An4BRkK9wX/f/gFGQr3BfgJ+AUZCv9/+An4BfgJ9wX4CfgF/3//f/9//3//f/9//3//f/9//3//f/9//3//f/9/+AX4CfcF+An3Bf9//3//f/9//3//f/9//3//f/9//3+tYmdeaGKqaqtqzW7Oand3VXNUc1ZzmXeae7t7mXd3d1VzM3Pwbu9uzWrMaqpmiWZHXiZa5FHCSRNreHNYb21WIDH/f/9//3//f/9//3//f/9//39BYkFiIV7/f/9//3//f/9//3//fyFeQWIhXv9//3//fyBeIWIhXkJiIV4hXv9//3//f/9//3//fyFeQWIhXkJiIV4hYiFe/3//f/9/IV5BYgBa/3//f/9//3//fyFeQWLAYf9/IV5BYv9//38hXkJiIV4hXiFeQWIgXkFeIV5CYiFeIWIhXv9//38hYiFeQWL/f/9//3//fyFeQV4hXkFiIV7/f/9//3//f/9/IV5BXiFeQWIhXkFiIV7/f/9//3//f/9//3//f/9//3//f/9//3//fxkK+An4CfgFGQr4Bf9/9wX/f/gF+An4BRgK+An/f/9//3//f/9//38ZCvgJ+An4BRgK+An4CfgF/3//f/9//3//f/gJ+An4BRgK+AkZCvgF+An4CfgJ+AUYCvgJ+An4Bf9/GQr4CfgFGAr4Cf9//3//fyVe/3//fxkK+An/f/9//38ZCvgJ+AUYChkK/3/4BRgK+An4CfgF+An4Bf9/+AX/f/gF/3/4Bf9//3//f/gF/3/4Bf9/+AUYCvgJ+An4BfgJ+AX/f/gF/3/4Bf9//3//f/9//3//f/9/R16IYqpmzG7Nau5uVHOYe1Rzd3eZd7t/u3u6e3d3dnczcxFz727ubsxqy2qJZmdiJVolVnlzJ1JgQWA9K1IrTv9//3//f/9//3//f/9//3//f2JmIV5CYv9//3//f/9//3//fyFeQmJBYv9//3//f/9//3//f/9//3//f/9//3//f/9//3//f/9//3//f/9//3//f/9//3//f/9//3//f/9//3//f/9//3//f/9//3//f/9//3//f/9//3//f/9//3//f/9//3//f/9//3//f0FiQmL/f/9//3//f/9//3//f/9//3//f/9//3//f/9//3//f/9//3//f/9//3//f/9//3//f/9//3//f/9//3//f/9//3//f/9//3//f/9//3//f/9/+QX4CfgF+An3BfgJ+AX4CfcF+An4BfgJ9wX4CfgF/3//f/9//3//f/cF+An4BfgJ9wX4CfgF/3//f/9//3//f/9/+AX3BfgJ9wX4CfgF+An3BfgJ+AX4CfcF+An4Bf9/1wX4CfgF+An3BfgJ/3//f/9//39GYv9/2AH4CfcF/3/3BRkK+AX4CfcFGQr/f/gJ9wX4CfgF+An3BfgJ+AX4CfcF+An4BfgJ+AX/f/9/GQr3BfgJ+AX4CfcF+An4BfgJ9wX4CfgF+An3BfgJ/3//f/9//3//f/9//3//f2diqmqrasxu7moRc7p7VHNWc5h3mXeae5h3d3dUczJz8G7vbs1qzGqqZolmRlqsYnhz402hRYFBYD1BOSpO/3//f/9//3//f/9//3//f/9/IV5CYiFe/3//f/9//3//fyFeQmIhXkFi/3//f/9//3//f/9//3//f/9//3//f/9//3//f/9//3//f/9//3//f/9//3//f/9//3//f/9//3//f/9//3//f/9//3//f/9//3//f/9//3//f/9//3//f/9//38hXv9//3//fyFeQWJBYv9//3//f/9//38hXv9//3//f/9//3//f/9//3//f/9//3//f/9//3//f/9//3//f/9//3//f/9//3//f/9//3//f/9//3//f/9//3//f/9//38ZCvgFGAr4CfgJ+AUYCvgJ+An4BRgK+An4CfgF/3//f/9//3//f/9//3/4BRgK+An4CfgFGQr/f/9//3//f/9//3//fxkK+An4CfgFGAr4CfgJ+AUYCvgJ+An4Bf9//3//f/gFGAr4CfgJ+AX/f/9//3//f2ZiRl7/f/9/GQr/f/9/+AUYCvgJ+AkZBv9/+AX4CfgFGAr4CfgJ+AUYCvgJ+An4BRgK+AkYCv9//38ZCvgJ+AUYCvgJ+An4BRgK+An4CfgFGAr4CfgJ+AX/f/9//3//f/9//3//f/9/iGapZstqzGrubu9u3H8yc1V3dnd4d3d3d3dVc1RzEXMQc+5u7W7LaqpqiGJ2dxFr41HCSaJFgUGBPUE5/3//f/9//3//f/9//3//f/9//3//f0FiQmJBXkJiIV7/f0FiQmIhXkJm/3//f/9//3//f/9//3//f/9//3//f/9//3//f/9//3//f/9//3//f/9//3//f/9//3//f/9//3//f/9//3//f/9//3//f/9//3//f/9//3//f/9//3//f/9//39BYkJiQWL/f/9//39BYmJmIV7/f/9//39BYkJiIV7/f/9//3//f/9//3//f/9//3//f/9//3//f/9//3//f/9//3//f/9//3//f/9//3//f/9//3//f/9//3//f/9//3//fxkG+An3BfgJ+AX4CfcF+An4BfgJ9wX4CfgF/3//f/9//3//f/9//3//fxkK9wX4CfgF+An3Bf9//3//f/9//3//f/9//3/4BfgF+An3BfgJ+AX4CfcFGQr3Bf9//3//f/gF+An3BfgJ+AX/f/9//3//f/9/JV5GXiVeRmIpRv9/1wUZCvcF+An4BRkK/3/4CfgF+An3BfgJ+AX4CfcF+An4BfgJ9wX4CfgF/3+1ARkK+AX4CfcF+An4BfgJ9wX4CfgF+An3BfgJ+AX4Cf9//3//f/9//3//f/9//3+rYohmqmrMas1q7m67exFzM3NUc1VzVXc0czRzEm8Qc+5u7m7Maqtq7mq5e2leJVbjTcJJgUGBQWA5YTn/f/9//3//f/9//3//f/9//3//f/9//38hXkJiIV5BYiFeQmJBYkFeIF7/f/9//3//f/9//3//f/9//3//f/9//3//f/9//3//f/9//3//f/9//3//f/9//3//f/9//3//f/9//3//f/9//3//f/9//3//f/9//3//f/9//3//f/9//3//f0FiQWJCYv9//3//f/9/AV7/f/9//3//f0FiQWJBYv9//3//f/9//3//f/9//3//f/9//3//f/9//3//f/9//3//f/9//3//f/9//3//f/9//3//f/9//3//f/9//3//f/9//3/4Bf9/+AX/f/gF/3/4Bf9/+AX/f/9//3//f/9//3//f/9//3//f/9/+AX/f/gF/3/4Bf9//3//f/9//3//f/9//3//f/9//3/4Bf9/+AUYCvgF/3//f/9//3//f/9//3/4Bf9/+AX/f/9//3//f/9//3//fyVe/38lXv9//3//f/gF/3/4Bf9/+AX/f/9//3/4Bf9/+AX/f/gF/3/4Bf9/+AX/f/gF/3//f/9/+AX/f/gF/3/4Bf9/+AX/f/gF/3/4Bf9/+AX/f/gF/3//f/9//3//f/9//3//f/9/MnOpaqtqzW7Naph7EW8xczJzU3MzczNzEXMQc+9u7m7Masxud3dTc0ZeRloEUuNNokmhRYE9YT2DPf9//3//f/9//3//f/9//3//f/9//3//f/9//3//fyFe/38hXv9//3//f/9//3//f/9//3//f/9//3//f/9//3//f/9//3//f/9//3//f/9//3//f/9//3//f/9//3//f/9//3//f/9//3//f/9//3//f/9//3//f/9//3//f/9//3//f/9//3//f/9//3//f/9//3//f/9//3//f/9//3//f/9//3//f/9//3//f/9//3//f/9//3//f/9//3//f/9//3//f/9//3//f/9//3//f/9//3//f/9//3//f/9//3//f/9//3//f/9//3//f/9//3//f/9//3//f/9//3//f/9//3//f/9//3//f/9//3//f/9//3//f/9//3//f/9//3//f/9//3//f/9//3//f/9//3//f/9//3//f/9//3//f/9//3//f/9//3//f/9//3//f/9//3//f/9//3//f/9//3//f/9//3//f/9//3//f/9//3//f/9//3//f/9//3//f/9//3//f/9//3//f/9//3//f/9//3//f/9//3//f/9//3//f/9//3//f/9//3//f/9//3//f/9//3//f/9//3//f1Rzy2qras1uEG92d+9uEHPwbhBz8G4Qb+5u7m7ManV3d3eqamhiR14FVgRSwkmiRYFBYT1hPf9//3//f/9//3//f/9//3//f/9//3//f/9//3//f/9//3//f/9//3//f/9//3//f/9//3//f/9//3//f/9//3//f/9//3//f/9//3//f/9//3//f/9//3//f/9//3//f/9//3//f/9//3//f/9//3//f/9//3//f/9//3//f/9//3//f/9//3//f/9//3//f/9//3//f/9//3//f/9//3//f/9//3//f/9//3//f/9//3//f/9//3//f/9//3//f/9//3//f/9//3//f/9//3//f/9//3//f/9//3//f/9//3//f/9//3//f/9//3//f/9//3//f/9//3//f/9//3//f/9//3//f/9//3//f/9//3//f/9//3//f/9//3//f/9//3//f/9//3//f/9//3//f/9//3//f/9//3//f/9//3//f/9//3//f/9//3//f/9//3//f/9//3//f/9//3//f/9//3//f/9//3//f/9//3//f/9//3//f/9//3//f/9//3//f/9//3//f/9//3//f/9//3//f/9//3//f/9//3//f/9//3//f/9//3//f/9//3//f/9//3//f/9//3//f/9//3//f/9//38zczJzq2rMapl77m7ubu9u7m7vbu5u7W5Uc7l77m6qaohiaGImWgVW403CSaFFgUFhPf9//3//f/9//3//f/9//3//f/9//3//f/9//3//f/9//3//f/9//3//f/9//3//f/9//3//f/9//3//f/9//3//f/9//3//f/9//3//f/9//3//f/9//3//f/9//3//f/9//3//f/9//3//f/9//3//f/9//3//f/9//3//f/9//3//f/9//3//f/9//3//f/9//3//f/9//3//f/9//3//f/9//3//f/9//3//f/9//3//f/9//3//f/9//3//f/9//3//f/9//3//f/9//3//f/9//3//f/9//3//f/9//3//f/9//3//f/9//3//f/9//3//f/9//3//f/9//3//f/9//3//f/9//3//f/9//3//f/9//3//f/9//3//f/9//3//f/9//3//f/9//3//f/9//3//f/9//3//f/9//3//f/9//3//f/9//3//f/9//3//f/9//3//f/9//3//f/9//3//f/9//3//f/9//3//f/9//3//f/9//3//f/9//3//f/9//3//f/9//3//f/9//3//f/9//3//f/9//3//f/9//3//f/9//3//f/9//3//f/9//3//f/9//3//f/9//3//f/9//3//f4pmzGqXd+5uVXfNas1uzWrNbs1qdnd3dw9vqmaqaohiaF4mWiVW403DTaFFgUGBPf9//3//f/9//3//f/9//3//f/9//3//f/9//3//f/9//3//f/9//3//f/9//3//f/9//3//f/9//3//f/9//3//f/9//3//f/9//3//f/9//3//f/9//3//f/9//3//f/9//3//f/9//3//f/9//3//f/9//3//f/9//3//f/9//3//f/9//3//f/9//3//f/9//3//f/9//3//f/9//3//f/9//3//f/9//3//f/9//3//f/9//3//f/9//3//f/9//3//f/9//3//f/9//3//f/9//3//f/9//3//f/9//3//f/9//3//f/9//3//f/9//3//f/9//3//f/9//3//f/9//3//f/9//3//f/9//3//f/9//3//f/9//3//f/9//3//f/9//3//f/9//3//f/9//3//f/9//3//f/9//3//f/9//3//f/9//3//f/9//3//f/9//3//f/9//3//f/9//3//f/9//3//f/9//3//f/9//3//f/9//3//f/9//3//f/9//3//f/9//3//f/9//3//f/9//3//f/9//3//f/9//3//f/9//3//f/9//3//f/9//3//f/9//3//f/9//3//f/9//3//f/9//3//f4hmMnO6e/9/VHN1d3d3dXfMastqqmqqaohiaGJGWiVWBFLjTaJJoUWBQf9//3//f/9//3//f/9//3//f/9//3//f/9//3//f/9//3//f/9//3//f/9//3//f/9//3//f/9//3//f/9//3//f/9//3//f/9//3//f/9//3//f/9//3//f/9//3//f/9//3//f/9//3//f/9//3//f/9//3//f/9//3//f/9//3//f/9//3//f/9//3//f/9//3//f/9//3//f/9//3//f/9//3//f/9//3//f/9//3//f/9//3//f/9//3//f/9//3//f/9//3//f/9//3//f/9//3//f/9//3//f/9//3//f/9//3//f/9//3//f/9//3//f/9//3//f/9//3//f/9//3//f/9//3//f/9//3//f/9//3//f/9//3//f/9//3//f/9//3//f/9//3//f/9//3//f/9//3//f/9//3//f/9//3//f/9//3//f/9//3//f/9//3//f/9//3//f/9//3//f/9//3//f/9//3//f/9//3//f/9//3//f/9//3//f/9//3//f/9//3//f/9//3//f/9//3//f/9//3//f/9//3//f/9//3//f/9//3//f/9//3//f/9//3//f/9//3//f/9//3//f/9//3//f/9//38zc1Rz/n//fxBvqWaqZqpqiWaJZmhiZ14mWiVW5FHjTaJJoUWiRf9//3//f/9//3//f/9//3//f/9//3//f/9//3//f/9//3//f/9//3//f/9//3//f/9//3//f/9//3//f/9//3//f/9//3//f/9//3//f/9//3//f/9//3//f/9//3//f/9//3//f/9//3//f/9//3//f/9//3//f/9//3//f/9//3//f/9//3//f/9//3//f/9//3//f/9//3//f/9//3//f/9//3//f/9//3//f/9//3//f/9//3//f/9//3//f/9//3//f/9//3//f/9//3//f/9//3//f/9//3//f/9//3//f/9//3//f/9//3//f/9//3//f/9//3//f/9//3//f/9//3//f/9//3//f/9//3//f/9//3//f/9//3//f/9//3//f/9//3//f/9//3//f/9//3//f/9//3//f/9//3//f/9//3//f/9//3//f/9//3//f/9//3//f/9//3//f/9//3//f/9//3//f/9//3//f/9//3//f/9//3//f/9//3//f/9//3//f/9//3//f/9//3//f/9//3//f/9//3//f/9//3//f/9//3//f/9//3//f/9//3//f/9//3//f/9//3//f/9//3//f/9//3//f/9//3//f/9/aWKIZjNzq2YybzNzEW+rZkZaRlolVgVW403jTcJJ/3//f/9//3//f/9//3//f/9//3//f/9//3//f/9//3//f/9//3//f/9//3//f/9//3//f/9//3//f/9//3//f/9//3//f/9//3//f/9//3//f/9//3//f/9//3//f/9//3//f/9//3//f/9//3//f/9//3//f/9//3//f/9//3//f/9//3//f/9//3//f/9//3//f/9//3//f/9//3//f/9//3//f/9//3//f/9//3//f/9//3//f/9//3//f/9//3//f/9//3//f/9//3//f/9//3//f/9//3//f/9//3//f/9//3//f/9//3//f/9//3//f/9//3//f/9//3//f/9//3//f/9//3//f/9//3//f/9//3//f/9//3//f/9//3//f/9//3//f/9//3//f/9//3//f/9//3//f/9//3//f/9//3//f/9//3//f/9//3//f/9//3//f/9//3//f/9//3//f/9//3//f/9//3//f/9//3//f/9//3//f/9//3//f/9//3//f/9//3//f/9//3//f/9//3//f/9//3//f/9//3//f/9//3//f/9//3//f/9//3//f/9//3//f/9//3//f/9//3//f/9//3//f/9//3//f/9//3//f/9//3//f85m/3/wamdiRVpGWoxiz2atYqxii15qWmxa/3//f/9//3//f/9//3//f/9//3//f/9//3//f/9//3//f/9//3//f/9//3//f/9//3//f/9//3//f/9//3//f/9//3//f/9//3//f/9//3//f/9//3//f/9//3//f/9//3//f/9//3//f/9//3//f/9//3//f/9//3//f/9//3//f/9//3//f/9//3//f/9//3//f/9//3//f/9//3//f/9//3//f/9//3//f/9//3//f/9//3//f/9//3//f/9//3//f/9//3//f/9//3//f/9//3//f/9//3//f/9//3//f/9//3//f/9//3//f/9//3//f/9//3//f/9//3//f/9//3//f/9//3//f/9//3//f/9//3//f/9//3//f/9//3//f/9//3//f/9//3//f/9//3//f/9//3//f/9//3//f/9//3//f/9//3//f/9//3//f/9//3//f/9//3//f/9//3//f/9//3//f/9//3//f/9//3//f/9//3//f/9//3//f/9//3//f/9//3//f/9//3//f/9//3//f/9//3//f/9//3//f/9//3//f/9//3//f/9//3//f/9//3//f/9//3//f/9//3//f/9//3//f/9//3//f/9//3//f/9//3//f/9//3//f/9//3//f/9//38nVv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RgAAABQAAAAIAAAAVE5QUAcBAABGAAAAFAAAAAgAAABHRElDAwAAACIAAAAMAAAA/////yIAAAAMAAAA/////yUAAAAMAAAADQAAgCgAAAAMAAAABAAAACIAAAAMAAAA/////yIAAAAMAAAA/v///ycAAAAYAAAABAAAAAAAAAD///8AAAAAACUAAAAMAAAABAAAAEwAAABkAAAAAAAAAFAAAAAxAQAAfAAAAAAAAABQAAAAMgEAAC0AAAAhAPAAAAAAAAAAAAAAAIA/AAAAAAAAAAAAAIA/AAAAAAAAAAAAAAAAAAAAAAAAAAAAAAAAAAAAAAAAAAAlAAAADAAAAAAAAIAoAAAADAAAAAQAAAAnAAAAGAAAAAQAAAAAAAAA////AAAAAAAlAAAADAAAAAQAAABMAAAAZAAAAAkAAABQAAAA/wAAAFwAAAAJAAAAUAAAAPcAAAANAAAAIQDwAAAAAAAAAAAAAACAPwAAAAAAAAAAAACAPwAAAAAAAAAAAAAAAAAAAAAAAAAAAAAAAAAAAAAAAAAAJQAAAAwAAAAAAACAKAAAAAwAAAAEAAAAJwAAABgAAAAEAAAAAAAAAP///wAAAAAAJQAAAAwAAAAEAAAATAAAAGQAAAAJAAAAYAAAAP8AAABsAAAACQAAAGAAAAD3AAAADQAAACEA8AAAAAAAAAAAAAAAgD8AAAAAAAAAAAAAgD8AAAAAAAAAAAAAAAAAAAAAAAAAAAAAAAAAAAAAAAAAACUAAAAMAAAAAAAAgCgAAAAMAAAABAAAACcAAAAYAAAABAAAAAAAAAD///8AAAAAACUAAAAMAAAABAAAAEwAAABkAAAACQAAAHAAAAAoAQAAfAAAAAkAAABwAAAAIAEAAA0AAAAhAPAAAAAAAAAAAAAAAIA/AAAAAAAAAAAAAIA/AAAAAAAAAAAAAAAAAAAAAAAAAAAAAAAAAAAAAAAAAAAlAAAADAAAAAAAAIAoAAAADAAAAAQAAAAlAAAADAAAAAEAAAAYAAAADAAAAAAAAAASAAAADAAAAAEAAAAWAAAADAAAAAAAAABUAAAAaAEAAAoAAABwAAAAJwEAAHwAAAABAAAAVZXbQV9C20EKAAAAcAAAAC8AAABMAAAABAAAAAkAAABwAAAAKQEAAH0AAACsAAAAUwBpAGcAbgBlAGQAIABiAHkAOgAgAEMA1ABOAEcAIABUAFkAIABDANQeIABQAEgAph5OACAAQwBIAOgeTgBHACAASwBIAE8AwQBOACAAQgCiHk8AIABWAEkAxh5UAP9/BgAAAAMAAAAHAAAABwAAAAYAAAAHAAAAAwAAAAcAAAAFAAAAAwAAAAMAAAAHAAAACQAAAAgAAAAIAAAAAwAAAAUAAAAFAAAAAwAAAAcAAAAJAAAAAwAAAAYAAAAIAAAABwAAAAgAAAADAAAABwAAAAgAAAAIAAAACAAAAAgAAAADAAAABgAAAAgAAAAJAAAABwAAAAgAAAADAAAABwAAAAcAAAAJAAAAAwAAAAcAAAADAAAABgAAAAUAAAAWAAAADAAAAAAAAAAlAAAADAAAAAIAAAAOAAAAFAAAAAAAAAAQAAAAFAAAAA==</Object>
  <Object Id="idInvalidSigLnImg">AQAAAGwAAAAAAAAAAAAAADEBAAB/AAAAAAAAAAAAAADQIAAAtQ0AACBFTUYAAAEAuJAAAMUAAAAFAAAAAAAAAAAAAAAAAAAAgAcAADgEAAAPAgAAKAEAAAAAAAAAAAAAAAAAAJgKCABAhAQACgAAABAAAAAAAAAAAAAAAEsAAAAQAAAAAAAAAAUAAAAeAAAAGAAAAAAAAAAAAAAAMgEAAIAAAAAnAAAAGAAAAAEAAAAAAAAAAAAAAAAAAAAlAAAADAAAAAEAAABMAAAAZAAAAAAAAAAAAAAAMQEAAH8AAAAAAAAAAAAAADI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xAQAAfwAAAAAAAAAAAAAAMgEAAIAAAAAhAPAAAAAAAAAAAAAAAIA/AAAAAAAAAAAAAIA/AAAAAAAAAAAAAAAAAAAAAAAAAAAAAAAAAAAAAAAAAAAlAAAADAAAAAAAAIAoAAAADAAAAAEAAAAnAAAAGAAAAAEAAAAAAAAA8PDwAAAAAAAlAAAADAAAAAEAAABMAAAAZAAAAAAAAAAAAAAAMQEAAH8AAAAAAAAAAAAAADIBAACAAAAAIQDwAAAAAAAAAAAAAACAPwAAAAAAAAAAAACAPwAAAAAAAAAAAAAAAAAAAAAAAAAAAAAAAAAAAAAAAAAAJQAAAAwAAAAAAACAKAAAAAwAAAABAAAAJwAAABgAAAABAAAAAAAAAPDw8AAAAAAAJQAAAAwAAAABAAAATAAAAGQAAAAAAAAAAAAAADEBAAB/AAAAAAAAAAAAAAAyAQAAgAAAACEA8AAAAAAAAAAAAAAAgD8AAAAAAAAAAAAAgD8AAAAAAAAAAAAAAAAAAAAAAAAAAAAAAAAAAAAAAAAAACUAAAAMAAAAAAAAgCgAAAAMAAAAAQAAACcAAAAYAAAAAQAAAAAAAADw8PAAAAAAACUAAAAMAAAAAQAAAEwAAABkAAAAAAAAAAAAAAAxAQAAfwAAAAAAAAAAAAAAMgEAAIAAAAAhAPAAAAAAAAAAAAAAAIA/AAAAAAAAAAAAAIA/AAAAAAAAAAAAAAAAAAAAAAAAAAAAAAAAAAAAAAAAAAAlAAAADAAAAAAAAIAoAAAADAAAAAEAAAAnAAAAGAAAAAEAAAAAAAAA////AAAAAAAlAAAADAAAAAEAAABMAAAAZAAAAAAAAAAAAAAAMQEAAH8AAAAAAAAAAAAAADIBAACAAAAAIQDwAAAAAAAAAAAAAACAPwAAAAAAAAAAAACAPwAAAAAAAAAAAAAAAAAAAAAAAAAAAAAAAAAAAAAAAAAAJQAAAAwAAAAAAACAKAAAAAwAAAABAAAAJwAAABgAAAABAAAAAAAAAP///wAAAAAAJQAAAAwAAAABAAAATAAAAGQAAAAAAAAAAAAAADEBAAB/AAAAAAAAAAAAAAAy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LADAAAKAAAAAwAAABcAAAAQAAAACgAAAAMAAAAOAAAADgAAAAAA/wEAAAAAAAAAAAAAgD8AAAAAAAAAAAAAgD8AAAAAAAAAAP///wAAAAAAbAAAADQAAACgAAAAEAMAAA4AAAAOAAAAKAAAAA4AAAAOAAAAAQAgAAMAAAAQAwAAAAAAAAAAAAAAAAAAAAAAAAAA/wAA/wAA/wAAAAAAAAAAAAAAAAAAAB4fH4oYGRluAAAAAAAAAAAODzk9NTfW5gAAAAAAAAAAAAAAAAAAAAA7Pe3/AAAAAAAAAAAAAAAAOjs7pjg6Ov84Ojr/CwsLMQAAAAAODzk9NTfW5gAAAAAAAAAAOz3t/wAAAAAAAAAAAAAAAAAAAAA6Ozumpqen//r6+v9OUFD/kZKS/wAAAAAODzk9NTfW5js97f8AAAAAAAAAAAAAAAAAAAAAAAAAADo7O6amp6f/+vr6//r6+v/6+vr/rKysrwAAAAA7Pe3/NTfW5gAAAAAAAAAAAAAAAAAAAAAAAAAAOjs7pqanp//6+vr/+vr6/zw8PD0AAAAAOz3t/wAAAAAODzk9NTfW5gAAAAAAAAAAAAAAAAAAAAA6Ozumpqen//r6+v88PDw9AAAAADs97f8AAAAAAAAAAAAAAAAODzk9NTfW5gAAAAAAAAAAAAAAADo7O6aRkpL/ODo6/zg6Ov8SEhJRAAAAAAAAAAAAAAAAAAAAAAAAAAAAAAAAAAAAAAAAAAAAAAAAOjs7pk5QUP/6+vr/+vr6/6+vr/E7Ozt7SUtLzAAAAAAAAAAAAAAAAAAAAAAAAAAAAAAAAAAAAABFR0f2+vr6//r6+v/6+vr/+vr6//r6+v9ISkr4CwsLMQAAAAAAAAAAAAAAAAAAAAAAAAAAGBkZboiJifb6+vr/+vr6//r6+v/6+vr/+vr6/6anp/8eHx+KAAAAAAAAAAAAAAAAAAAAAAAAAAAYGRluiImJ9vr6+v/6+vr/+vr6//r6+v/6+vr/pqen/x4fH4oAAAAAAAAAAAAAAAAAAAAAAAAAAAsLCzFISkr4+vr6//r6+v/6+vr/+vr6//r6+v9dXl72EhISUQAAAAAAAAAAAAAAAAAAAAAAAAAAAAAAAB4fH4pmZ2f/+vr6//r6+v/6+vr/e319/zk7O7sAAAAAAAAAAAAAAAAAAAAAAAAAAAAAAAAAAAAAAAAAABgZGW44Ojr/ODo6/zg6Ov8eHx+KAAAAAAAAAAAAAAAAAAAAAAAAAAAnAAAAGAAAAAEAAAAAAAAA////AAAAAAAlAAAADAAAAAEAAABMAAAAZAAAACIAAAAEAAAAeQAAABAAAAAiAAAABAAAAFg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egAAABEAAAAlAAAADAAAAAEAAABUAAAAtAAAACMAAAAEAAAAeAAAABAAAAABAAAAVZXbQV9C20EjAAAABAAAABEAAABMAAAAAAAAAAAAAAAAAAAA//////////9wAAAASQBuAHYAYQBsAGkAZAAgAHMAaQBnAG4AYQB0AHUAcgBlAAAAAwAAAAcAAAAFAAAABgAAAAMAAAADAAAABwAAAAMAAAAFAAAAAwAAAAcAAAAHAAAABgAAAAQAAAAHAAAABAAAAAYAAABLAAAAQAAAADAAAAAFAAAAIAAAAAEAAAABAAAAEAAAAAAAAAAAAAAAMgEAAIAAAAAAAAAAAAAAADI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BVldtBX0Lb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I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B2fVPwAAAAAAAAAAoyfNPwAAJEIAAPhBJAAAACQAAAAHZ9U/AAAAAAAAAACjJ80/AAAkQgAA+EEEAAAAcwAAAAwAAAAAAAAADQAAABAAAAApAAAAHw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HsAAAAZAAAAAAAAACEAAAAIAAAAYgAAAAwAAAABAAAAFQAAAAwAAAAEAAAAFQAAAAwAAAAEAAAARgAAABQAAAAIAAAAVE5QUAYBAABRAAAAIAcAACkAAAAfAAAA9QAAAEYAAAAAAAAAAAAAAAAAAAAAAAAAAAEAADUAAABQAAAAMAAAAIAAAACgBgAAAAAAAIYA7gB7AAAAGQAAACgAAAAAAQAANQAAAAEAAQAAAAAAAAAAAAAAAAAAAAAAAAAAAAAAAAAAAAAA////AAAAAAAAAAAAAAAAAAAAAAAAAAAAAAAAAAAAAAAAAAAAAAAAAAAAAAAAAAAAAAAAAAAAAAAAAAAAAAAAAAAAAAAAAAAAAAAAAAAAAAAAAAAAAAAAAAAAAgAAAAAAAAAAAAAAAAAAAAAAAFABRAFAABHAAAUQRAAFRAAAAAAAAAAAAAAAAAAAAAAAiwumZuCKEqhojti7gz6MAAAAAAAAAAAAAAAAAAAAAAEBEhREIRIUFFEEUSEFFAQAAAAAAAAAAAAAAAAAAAAAAQM6EqigojYWio7roIW+CAAAAAAAAAAAAAAAAAAAAAABAVIVBAFBVBSURcEghBUEAAAAAAAAAAAAAAAAAAAAAAGLChcsIKIWEoyMTiCIrAwAAAAAAAAAAAAAAAAAAAAAAQkSFgRBEBIRGAREEQgUBAAAAAAAAAAAAAAAAAAAAAAA8goaI4CKE+MIj4IOCC+/AAAAAAAAAAAAAAAAAAAAAAAAAEAAAAAAAQAAAAAABQAAAAAAAAAAAAAAAAAAAAAAAAAAYAAAAAAAgAACAAACAAAAAAAAAAAAAAAAAAAAAAAAAAAAAAAAAAAAAAAAAAAAAAAAAAAAAAAAAAAAAAAAAAAAAAAAAAAAAAAAAAAAAAAAAAAAAAAAAAAAAAAAAAAAAAAAAAAAAAAAAAAAAAAAAAAAAAAAAAAAAAAAAAAAAAAAAAAAAAAAAP4AAAAAAAAAAAAAAAAAAAAAAAAAAAAAAAAAAAAAAAAH/0AAAAAAAAAAAAAAAAAAAAAAAAAAAAAAAAAAAAAAAD//8AAAAAAAAAAAAAAAAAAAAAAAAAAAAAAAAAAAAAAAf//4AAAAAAAAAAAAAAAAAAAAAAAAAAAAAAAAAAAAAAD///4AAAAAAAAAAAAAAAAAAAAAAAAAAAAAAAAAAAAAAf///wAAAAAAAAAAAAAAAAAAAAAAAAAAAAAAAAAAAAAD////gAAAAAAAAAAAAAAAAAAAAAAAAAAAAAAAAAAAAAf///+AAAAAAAAAAAAAAAAAAAKqgoAoDoAKgKKqoCoAD////8AA6AKAKA4iAgogqA6AA//HwHw/wB8B9//wPgAH////wAP8B8D8H3cHH3H8H8AD//Pg/P/wP4P3//A+AA/////gD/8+8+878wc/c/574AP/+/39//g/wff/8H4AH////+APBzhzh3B3Bxx3B3BgA//7//v//D/D9//wPgAf////4A4DuCuDuHuHOHcC4OAD4H3/8/B8f8H3wAA+AB/////wHAMwBwAwdwcYdwAB4APg+f/74H5/4/fgAD4AP/////AAA7/7ADAzBzh3/7/gA+D58ffAPH/B9//AfgAf////8AAfff8AcHcHHHdffwAD//j598A+++P3/+A+AD/////wAP44O4K4e4c4dgP4AAP/8Hn3wD758ff/wD4AH/////AH/DAzAzB3hxh3B3BAA//g++fgPvvz8//gPgA/////8A/gOvPvsDPvOnOueuAD4fB/x8B98fH3wAB+AB/////wDwAf4f9wd3d/cfx/wAPg+H/j+P34+/fgAD4AP////+AOA4/A/jg7P/5w+D+AA/XwP8H//fEx9/VFf1Af////4A4HAAAAAAAAGAAAAAAD//g/gf/78Lv3/+f/8A/////gDg8AAAAAAAI4IAAAAAP/8B+A//Hwyff/5//wD////8AH3gAAAAAABxxwAAAAA//gH4B/4+D79//v//AP////wAP+AAAAAAAHCHAAAAABVQAVABcBQFFRVUVVUAf////AAFAAAAAAAAAAAAAAAAAAAAAAAAAAAAAAAAAAA////4AAAAAAAAAAAAAAAAAAAAAAAAAAAAAAAAAAAAAB////AAAAAAAAAAAAAAAAAAAAAAAAAAAAAAAAAAAAAAH///4AAAAAAAAAAAAAAAAAAAAAAAAAAAAAAAAAAAAAAH///AAAAAAAAAAAAAAAAAAAAAAAAAAAAAAAAAAAAAAAP//4AAAAAAAAAAAAAAAAAAAAAAAAAAAAAAAAAAAAAAAf/8AAAAAAAAAAAAAAAAAAAAAAAAAAAAAAAAAAAAAAAAv/gAAAAAAAAAAAAAAAAAAAAAAAAAAAAAAAAAAAAAAAABAAAAAAAAAAAAAAAAAAAAAAAAAAAAAAAAAAAAAAAAAAAAAAAAAAAAAAAAAAAAAAAAAAAAAAAAAAAAAAAAAAAAAAAAAAAAAAAAAAAAAAAAAAAAAAAAAAAAAAAAAAAAAAAAAAAAAAAAAAAAAAAAAAAABRAAAAeGoAACkAAAAfAAAA9QAAAEYAAAAAAAAAAAAAAAAAAAAAAAAAAAEAADUAAABQAAAAKAAAAHgAAAAAagAAAAAAAMYAiAB7AAAAGQAAACgAAAAAAQAANQ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cF/3//f/9//3//f/9//3//f/9//3//f/9//3//f/9//3//f/9//3//f/9//3//f/9//3//f/9//3//f/9//3//f/9//3//f/9//3//f/9//3//f/9//3//f/9//3//f/9//3//f/9//3//f/9//3//f/9//3//f/9//3//f/9//3//f/9//3//f/9//3//f/9//3//f/9//3//f/9//3//f/9//3//f/9//3//f/9//3//f/9//3//f/9//3//f/9//3//f/9//3//f/9//3//f/9//3//f/9//3//f/9//3//f/9//3//f/9//3//f/9//3//f/9//3//f/9//3//f/9//3//f/9//3//f/9//3//f/9//3//f/9//3//f/9//3//f/gF/3/4Bf9//3//f/9//3//f/9//3//f/9//3/4Bf9/+AX/f/9//3/YBf9//3//f/9//3//f/9//3//f/gF/3/4Bf9//3//f/9//3//f/9//3//f/9//3//f/9//3//f/9//3/4Bf9//3//f/cF+An4Bf9//3//f/9//3//f/9//3//f/9//3//f/9//3//f/9//3//f/9/+AX/f/gF/3//f/9/+AX/f/9//3//f/9/+AX/f/9//3/4Bf9//3//f/9//3//f/9//3//f/9//3//f/9//3//f/gF/3/4Bf9/+AX/f/9//3/4Bf9//3//f/9//3//f/9//3//f/9//3//f/9//3//f/9//3//f/9//3//f/9//3//f/9//3//f/9//3//f/9//3//f/9//3//f/9//3//f/9//3//f/9//3//f/9//3//f/9//3//f/9//3//f/9//3//f/9//3//f/9//3//f/9//3//f/9//3//f/9//3//f/9//3//f/9//3//f/9//3//f/9//3//f/9//3//f/9//3//f/9//3//f/9//3//f/9//3//f/9//3//f/9//3//f/9//3//f/9//3//f/9//3//f/9//3//f/9//3//f/9//3//f/9//3//f/9//3//f/9//3//f/9//3//f/9//3//f/gF/3//f/9/+AX/f/cF+An/f/9//3//f/cF/3/3BfgJ1wH/f/gF/3//f/gJ9wX/f/9/+AUZBv9//3/4BfcF/3/3AfgF+AX/f/9//3//f/9/9wX/f/9//3/4Bf9/9wX/f/9//3//fxkK/3//f/gF/3/2Af9/+AX/f/gF/3//f/9//3/4BdcF/3/3Bf9//3//f/kF/3//f/9/+AX4BfgF/3/XBRgK/3/4CfcB/3//f/9/+AX/f/cF+An3Bf9/2AX4CfYB/3//f/9//3//f/gF+An/f/9/9wX4CfcF+AX4Bf9/+AX/f/9//3/3BfgJ/3//f/9//3//f/9//3//f/9//3//f/9//3//f/9//3//f/9//3//f/9//3//f/9//3//f/9//3//f/9//3//f/9//3//f/9//3//f/9//3//f/9//3//f/9//3//f/9//3//f/9//3//f/9//3//f/9//3//f/9//3//f/9//3//f/9//3//f/9//3//f/9//3//f/9//3//f/9//3//f/9//3//f/9//3//f/9//3//f/9//3//f/9//3//f/9//3//f/9//3//f/9//3//f/9//3//f/9//3//f/9//3//f/9//3//f/9//3//f/9//3//f/9//3//f/9//3//f/9//3//f/9//3//f/9//3//f/gF/3//f/9//3//f/9//3/4Bf9//3//f/gJ/3//fxkK/3//f/9//3/4Bf9/+AX/f/9//3/4Bf9//3//f/gF/3//f/9//3/4Cf9//3//f/9/+AX/f/9//3/4Bf9//38YCv9//3//f/9/GQr/f/cF/3//f/9//3//f/gF/3/4Bf9//3//f/gF/3/4Bf9//3//f/gF/3//f/9//3//f/gF/3//f/9/+AX/f/gF/3//f/9/+AX/f/9/+An/f/9//3//f/gF/3//f/9//3//f/cF/3/4Bf9//3//f/gJ/3/4Bf9//3//f/9//3//f/9/+AX/f/9//3//f/9//3//f/9//3//f/9//3//f/9//3//f/9//3//f/9//3//f/9//3//f/9//3//f/9//3//f/9//3//f/9//3//f/9//3//f/9//3//f/9//3//f/9//3//f/9//3//f/9//3//f/9//3//f/9//3//f/9//3//f/9//3//f/9//3//f/9//3//f/9//3//f/9//3//f/9//3//f/9//3//f/9//3//f/9//3//f/9//3//f/9//3//f/9//3//f/9//3//f/9//3//f/9//3//f/9//3//f/9//3//f/9//3//f/9//3//f/9//3//f/9//3//f/9//3//f/9//3//f/9//3//f/9/GQr/f/9//3//f/9//3/4BfgJ/3//f9gB+An4Bf9/+AX/f/9//3//f/gJ/3//f9cF/3/4Bf9/9wX/f/gF/3//f/9/9wX/f/gF/3//f/9//3//f/cF/3/4Bf9//3//f/cF/3//f/9/1wEZCv9/+An4Bf9//3//f/9/+An/f/gJ9wX/f/cF/3//f/9/9wX/f/gF/3/3Bf9//3//f/gF+AnXAf9/1wX4CdcB/38ZBv9/9wX4CfcF/3/3Bf9//3//f/9//3/4Bf9//3//f/9/+An/f/gF1wX/f/cF+An3BfgJ1wH/f/9//3//f/9/+AX/f/9//3//f/9//3//f/9//3//f/9//3//f/9//3//f/9//3//f/9//3//f/9//3//f/9//3//f/9//3//f/9//3//f/9//3//f/9//3//f/9//3//f/9//3//f/9//3//f/9//3//f/9//3//f/9//3//f/9//3//f/9//3//f/9//3//f/9//3//f/9//3//f/9//3//f/9//3//f/9//3//f/9//3//f/9//3//f/9//3//f/9//3//f/9//3//f/9//3//f/9//3//f/9//3//f/9//3//f/9//3//f/9//3//f/9//3//f/9//3//f/9//3//f/9//3//f/9//3//f/9//3//f/9//3//f/9//38ZBv9//3//f/9//3//f/9/+AX/f/gF/3/4Bf9//38ZCv9//3//f/9/+AX/f/gF/3/4Bf9//3//f/9//3/4Bf9//3//f/9//3//f/9//3//f/gF/38ZCv9//3//f/9//3/4Bf9/+AX/fxkG/3/4Bf9//3//f/9//3/4Bf9/+AX/f/9/GAr/f/9/+AX/f/gF/3//f/9/+AX/f/9//3/4Bf9/+AX4CfgF/3//f/9//3//f/gF/3//f/gJ/3//f/9//3//fxgK/3//f/9//3/4Bf9//3//f/9//3/4Bf9/+AX/f/gF/3//f/9//3//f/gF/3//f/9//3//f/9//3//f/9//3//f/9//3//f/9//3//f/9//3//f/9//3//f/9//3//f/9//3//f/9//3//f/9//3//f/9//3//f/9//3//f/9//3//f/9//3//f/9//3//f/9//3//f/9//3//f/9//3//f/9//3//f/9//3//f/9//3//f/9//3//f/9//3//f/9//3//f/9//3//f/9//3//f/9//3//f/9//3//f/9//3//f/9//3//f/9//3//f/9//3//f/9//3//f/9//3//f/9//3//f/9//3//f/9//3//f/9//3//f/9//3//f/9//3//f/9//3//f/9//3//f/9//3//f/9//3//f/gJ1wX/f/9//3/YBf9/+AX4Cf9//3//f/9/9wX/f/kF/3//f/9//3/4Cf9/+An4BfgJ/3//f/cF/3/XBfgJ/3//f/9//3/3Bf9//3//f/9//3/YBf9/9wX/f/9//3/4Bf9//3//f/9/GQr/f/gF+AX/f/9//3//fxkK/3//f/gF/3/XBf9//3//f9cF+An/f/9/9wX/f/9//3/4BfgF/3//f/9/GQr/f/9/1wX4BfcF/3//f/9/+QX/f/9//3//f/9/9wX/f/9//3/3Bf9//3//f/cF/3/3Bf9/9wX4Bf9//3//f/9//3//f/cF+An/f/9//3//f/9//3//f/9//3//f/9//3//f/9//3//f/9//3//f/9//3//f/9//3//f/9//3//f/9//3//f/9//3//f/9//3//f/9//3//f/9//3//f/9//3//f/9//3//f/9//3//f/9//3//f/9//3//f/9//3//f/9//3//f/9//3//f/9//3//f/9//3//f/9//3//f/9//3//f/9//3//f/9//3//f/9//3//f/9//3//f/9//3//f/9//3//f/9//3//f/9//3//f/9//3//f/9//3//f/9//3//f/9//3//f/9//3//f/9//3//f/9//3//f/9//3//f/9//3//f/9//3//f/9//3//f/9/+AX/f/9//3//fxkK/3//f/gF/3//f/9/+An/f/9/GQr/f/9//3//f/gJ/3/4BRkK/3//f/9//3//f/9/+AX/f/9//3/3Bf9//3//f/9//3/4Bf9//3//f/gF/3//f/9//3//f/9//38ZCv9//38ZCv9//3//f/9/9wX/f/9//3/4Bf9//3//f/gFGQr/f/9//3//f/9//3//f/9/+AX/f/9//38ZBv9//3//f/gF/3//f/9//3//f/gF/3//f/9/+AX/f/9//3//fxkK/3//f/9//3//f/9/+An/f/gF/3//f/9//3//f/9//3/4Bf9//3//f/9//3//f/9//3//f/9//3//f/9//3//f/9//3//f/9//3//f/9//3//f/9//3//f/9//3//f/9//3//f/9//3//f/9//3//f/9//3//f/9//3//f/9//3//f/9//3//f/9//3//f/9//3//f/9//3//f/9//3//f/9//3//f/9//3//f/9//3//f/9//3//f/9//3//f/9//3//f/9//3//f/9//3//f/9//3//f/9//3//f/9//3//f/9//3//f/9//3//f/9//3//f/9//3//f/9//3//f/9//3//f/9//3//f/9//3//f/9//3//f/9//3//f/9//3//f/9//3//f/9//3//f/9//3//f/gF+An3BfgF/3//f/cF/3//f/9//3//f/cF/3/3Bf9//3//f/9/+An4Bf9/9wX/f/9//3/3Bf9//3//f9cF+An3Bf9//3//f/9//3//f/9/9wX/f/9//3/3Bf9/9wX/f/9//3//f/gJ/3//f9gB+AX3BfgJ9wX/f/9//3/3AfgF/3//f/9//3/4Bf9//3//f/cF/3//f/9/1wX4CfcF+AX3Bf9//3//f/9//3/3Bf9//3//f/9//3/3BfgJ9wX/f/9//3//f/9/+AX/f/9//3//f/9/1wX/f9cF+An3BfgF9wX/f9cF+An3BfgJ9wX4Cf9//3//f/9//3//f/9//3//f/9//3//f/9//3//f/9//3//f/9//3//f/9//3//f/9//3//f/9//3//f/9//3//f/9//3//f/9//3//f/9//3//f/9//3//f/9//3//f/9//3//f/9//3//f/9//3//f/9//3//f/9//3//f/9//3//f/9//3//f/9//3//f/9//3//f/9//3//f/9//3//f/9//3//f/9//3//f/9//3//f/9//3//f/9//3//f/9//3//f/9//3//f/9//3//f/9//3//f/9//3//f/9//3//f/9//3//f/9//3//f/9//3//f/9//3//f/9//3//f/9//3//f/9//3//f/9//3//f/9//3//f/9//3//f/9//3//f/9//3//f/9//3//f/gF/3//f/9//3//f/9//3//f/9//3//f/9//3//f/9//3//f/9//3//f/9//3//f/9//3//f/9//3//f/9//3//f/9//3//f/9//3//f/9//3//f/9//3//f/9/9wX/f/9//3//f/9//3//f/9//3//f/9//3//f/9//3//f/9//3//f/9//3//f/9//3//f/9//3//f/9//3//f/9//3//f/9//3//f/9//3//f/9//3//f/9//3/4Bf9/9wX/f/9//3//f/9//3//f/9//3//f/9//3//f/9//3//f/9//3//f/9//3//f/9//3//f/9//3//f/9//3//f/9//3//f/9//3//f/9//3//f/9//3//f/9//3//f/9//3//f/9//3//f/9//3//f/9//3//f/9//3//f/9//3//f/9//3//f/9//3//f/9//3//f/9//3//f/9//3//f/9//3//f/9//3//f/9//3//f/9//3//f/9//3//f/9//3//f/9//3//f/9//3//f/9//3//f/9//3//f/9//3//f/9//3//f/9//3//f/9//3//f/9//3//f/9//3//f/9//3//f/9//3//f/9//3//f/9//3//f/9//3//f/9//3//f/9//3//f/9//3//f/9//3//f/9//3//f/9//3//f/9/+AX3Bf9//3//f/9//3//f/9//3//f/9//3//f/9//3//f/9//3//f/9//3//f/9//3//f/9//3//f/9//3//f/9//3//f/9//3//f/9//3//f/9//3//f/9//3//f/cF/3//f/9//3//f/9//3//f/9//3//f/9//3//f/9//3//f/9//3//f/9/+AX/f/9//3//f/9//3//f/9//3//f/9//3//f/9//3//f/9//3//f/9//3//f/9/9w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iOYM9QDVBOWE5g0GDQf9//3//f/9//3//f/9//3//f/9//3//f/9//3//f/9//3//f/9//3//f/9//3//f/9//3//f/9//3//f/9//3//f/9//3//f/9//3//f/9//3//f/9//3//f/9//3//f/9//3//f/9//3//f/9//3//f/9//3//f/9//3//f/9//3//f/9//3//f/9//3//f/9//3//f/9//3//f/9//3//f/9//3//f/9//3//f/9//3//f/9//3//f/9//3//f/9//3//f/9//3//f/9//3//f/9//3//f/9//3//f/9//3//f/9//3//f/9//3//f/9//3//f/9//3//f/9//3//f/9//3//f/9//3//f/9//3//f/9//3//f/9//3//f/9//3//f/9//3//f/9//3//f/9//3//f/9//3//f/9//3//f/9//3//f/9//3//f/9//3//f/9//3//f/9//3//f/9//3//f/9//3//f/9//3//f/9//3//f/9//3//f/9//3//f/9//3//f/9//3//f/9//3//f/9//3//f/9//3//f/9//3//f/9//3//f/9//3//f/9//3//f/9//3//f/9//3//f/9//3//f/9//3//f/9//3//f/9//3//f/9//3//f/9//3//f2I5YTlANUE1QDVBNUE1QTVBNWE5YT3/f6NB/3//f/9//3//f/9//3//f/9//3//f/9//3//f/9//3//f/9//3//f/9//3//f/9//3//f/9//3//f/9//3//f/9//3//f/9//3//f/9//3//f/9//3//f/9//3//f/9//3//f/9//3//f/9//3//f/9//3//f/9//3//f/9//3//f/9//3//f/9//3//f/9//3//f/9//3//f/9//3//f/9//3//f/9//3//f/9//3//f/9//3//f/9//3//f/9//3//f/9//3//f/9//3//f/9//3//f/9//3//f/9//3//f/9//3//f/9//3//f/9//3//f/9//3//f/9//3//f/9//3//f/9//3//f/9//3//f/9//3//f/9//3//f/9//3//f/9//3//f/9//3//f/9//3//f/9//3//f/9//3//f/9//3//f/9//3//f/9//3//f/9//3//f/9//3//f/9//3//f/9//3//f/9//3//f/9//3//f/9//3//f/9//3//f/9//3//f/9//3//f/9//3//f/9//3//f/9//3//f/9//3//f/9//3//f/9//3//f/9//3//f/9//3//f/9//3//f/9//3//f/9//3//f/9//3//f/9//3//f/9/hD2wXoQ9YTlANUE5QTVhOUA1QTVANUE1IDFBNUA1YTlhPaNF/3//f/9//3//f/9//3//f/9//3//f/9//3//f/9//3//f/9//3//f/9//3//f/9//3//f/9//3//f/9//3//f/9//3//f/9//3//f/9//3//f/9//3//f/9//3//f/9//3//f/9//3//f/9//3//f/9//3//f/9//3//f/9//3//f/9//3//f/9//3//f/9//3//f/9//3//f/9//3//f/9//3//f/9//3//f/9//3//f/9//3//f/9//3//f/9//3//f/9//3//f/9//3//f/9//3//f/9//3//f/9//3//f/9//3//f/9//3//f/9//3//f/9//3//f/9//3//f/9//3//f/9//3//f/9//3//f/9//3//f/9//3//f/9//3//f/9//3//f/9//3//f/9//3//f/9//3//f/9//3//f/9//3//f/9//3//f/9//3//f/9//3//f/9//3//f/9//3//f/9//3//f/9//3//f/9//3//f/9//3//f/9//3//f/9//3//f/9//3//f/9//3//f/9//3//f/9//3//f/9//3//f/9//3//f/9//3//f/9//3//f/9//3//f/9//3//f/9//3//f/9//3//f/9//3//f/9/gj1AOfJiYT1hOWE9YT2BPWE5YT1hOWE5QTlBOUA1QTVBNWE5YDmCQf9//3//f/9//3//f/9//3//f/9//3//f/9//3//f/9//3//f/9//3//f/9//3//f/9//3//f/9//3//f/9//3//f/9//3//f/9//3//f/9//3//f/9//3//f/9//3//f/9//3//f/9//3//f/9//3//f/9//3//f/9//3//f/9//3//f/9//3//f/9//3//f/9//3//f/9//3//f/9//3//f/9//3//f/9//3//f/9//3//f/9//3//f/9//3//f/9//3//f/9//3//f/9//3//f/9//3//f/9//3//f/9//3//f/9//3//f/9//3//f/9//3//f/9//3//f/9//3//f/9//3//f/9//3//f/9//3//f/9//3//f/9//3//f/9//3//f/9//3//f/9//3//f/9//3//f/9//3//f/9//3//f/9//3//f/9//3//f/9//3//f/9//3//f/9//3//f/9//3//f/9//3//f/9//3//f/9//3//f/9//3//f/9//3//f/9//3//f/9//3//f/9//3//f/9//3//f/9//3//f/9//3//f/9//3//f/9//3//f/9//3//f/9//3//f/9//3//f/9//3//f/9//3//f/9/YT1hPedJSlJgPYFBgT2BQWA9gUFgPYE9YDlhPUE5YTlANUE1IDFBOUA5gUHERf9//3//f/9//3//f/9//3//f/9//3//f/9//3//f/9//3//f/9//3//f/9//3//f/9//3//f/9//3//f/9//3//f/9//3//f/9//3//f/9//3//f/9//3//f/9//3//f/9//3//f/9//3//f/9//3//f/9//3//f/9//3//f/9//3//f/9//3//f/9//3//f/9//3//f/9//3//f/9//3//f/9//3//f/9//3//f/9//3//f/9//3//f/9//3//f/9//3//f/9//3//f/9//3//f/9//3//f/9//3//f/9//3//f/9//3//f/9//3//f/9//3//f/9//3//f/9//3//f/9//3//f/9//3//f/9//3//f/9//3//f/9//3//f/9//3//f/9//3//f/9//3//f/9//3//f/9//3//f/9//3//f/9//3//f/9//3//f/9//3//f/9//3//f/9//3//f/9//3//f/9//3//f/9//3//f/9//3//f/9//3//f/9//3//f/9//3//f/9//3//f/9//3//f/9//3//f/9//3//f/9//3//f/9//3//f/9//3//f/9//3//f/9//3//f/9//3//f/9//3//f/9/KU5hPWA98maAQaFFgUGhRYFFoUWBQaFFgUGBQYE9gUFhPWE9QTlBOUE1QTVBOYFBxUX/f/9//3//f/9//3//f/9//3//f/9//3//f/9//3//f/9//3//f/9//3//f/9//3//f/9//3//f/9//3//f/9//3//f/9//3//f/9//3//f/9//3//f/9//3//f/9//3//f/9//3//f/9//3//f/9//3//f/9//3//f/9//3//f/9//3//f/9//3//f/9//3//f/9//3//f/9//3//f/9//3//f/9//3//f/9//3//f/9//3//f/9//3//f/9//3//f/9//3//f/9//3//f/9//3//f/9//3//f/9//3//f/9//3//f/9//3//f/9//3//f/9//3//f/9//3//f/9//3//f/9//3//f/9//3//f/9//3//f/9//3//f/9//3//f/9//3//f/9//3//f/9//3//f/9//3//f/9//3//f/9//3//f/9//3//f/9//3//f/9//3//f/9//3//f/9//3//f/9//3//f/9//3//f/9//3//f/9//3//f/9//3//f/9//3//f/9//3//f/9//3//f/9//3//f/9//3//f/9//3//f/9//3//f/9//3//f/9//3//f/9//3//f/9//3//f/9//3//f/9/gkEHTq9eNW//f/JmoUXCSaJJwkmiScJJoUWhRYFFoUWBQYFBYD1hPUA5QTUgMUE1QDWBPcVJ/3//f/9//3//f/9//3//f/9//3//f/9//3//f/9//3//f/9//3//f/9//3//f/9//3//f/9//3//f/9//3//f/9//3//f/9//3//f/9//3//f/9//3//f/9//3//f/9//3//f/9//3//f/9//3//f/9//3//f/9//3//f/9//3//f/9//3//f/9//3//f/9//3//f/9//3//f/9//3//f/9//3//f/9//3//f/9//3//f/9//3//f/9//3//f/9//3//f/9//3//f/9//3//f/9//3//f/9//3//f/9//3//f/9//3//f/9//3//f/9//3//f/9//3//f/9//3//f/9//3//f/9//3//f/9//3//f/9//3//f/9//3//f/9//3//f/9//3//f/9//3//f/9//3//f/9//3//f/9//3//f/9//3//f/9//3//f/9//3//f/9//3//f/9//3//f/9//3//f/9//3//f/9//3//f/9//3//f/9//3//f/9//3//f/9//3//f/9//3//f/9//3//f/9//3//f/9//3//f/9//3//f/9//3//f/9//3//f/9//3//f/9//3//f/9//3//f/9/o0WBQYFBoUVXc/5/8WYSayZW41HjTQNS403jTcJJwk2hSaFFgUGBQYE9YT1hOWE5QTVBNUE5gkH/f/9//3//f/9//3//f/9//3//f/9//3//f/9//3//f/9//3//f/9//3//f/9//3//f/9//3//f/9//3//f/9//3//f/9//3//f/9//3//f/9//3//f/9//3//f/9//3//f/9//3//f/9//3//f/9//3//f/9//3//f/9//3//f/9//3//f/9//3//f/9//3//f/9//3//f/9//3//f/9//3//f/9//3//f/9//3//f/9//3//f/9//3//f/9//3//f/9//3//f/9//3//f/9//3//f/9//3//f/9//3//f/9//3//f/9//3/YBf9/2AX/f9gF/3/YBf9/2AX/f/cF/3//f/9//3//f9gF/3/YBf9//3//f/9//3//f/9//3//f9gF/3/YBf9//3//f/9//3//f/9/1wX4BfgF/3/XBf9//3//f/9//3//f/9//3//f/9//3/YBf9/2AX/f7cB/3//f/9//3//f/9//3/YBf9/2AX/f/9//3/YBf9/2AX/f9gF/3/YBf9/2AX/f9gF/3/YBf9//3//f/9//3//f/9/2AX/f9gF/3/XBf9//3//f/9//3//f/9//3//f/9//3//f/9/xUmhRYFFwknCSQVS8WYEUuNRz2Y0b2le41EEVgRSBFLjTeNNwkmiSYBBgUFgPWE9QDlBNSAxQTlAOaJB/3//f/9//3//f/9//3//f/9//3//f/9//3//fyFeQV4hXv9/IV7/f/9//3//f/9//3//f/9//38hXv9/IV7/f/9//3//f/9//3//f/9//38hXv9/IV7/f/9//3//f/9//3//fyFeQV4hXv9//3//fyFi/3//f/9/IWL/f/9//3//f/9//3//fyFi/3//f/9//3//fwBe/38hXv9//3//fyFi/3//f/9//3//fyBi/38hXv9/IV7/f/9//3//f/9//3//fyFeQV4hXv9/AVr/f/9//3//f/9//3//f/9//3//f/9//3//fzoK+AkZCvgFGQr4CRkK+AUZCvgJGQr4Bf9//3//f/gFGQr4CRkK+AX/f/9//3//f/9//3//fxkGGQr4CRkKGQb/f/9//3//fxkK+An4CfgFGAr4CRkK+AX/f/9//3//f/9//3//f/9//3/4CRkK+AUZCvgJ/3//f/9//3//f/9//38ZChkK+AUZChoK/3/4BRkK+AkZCvgFGQr4CRkK+AUZCvgJGQr4BRkK+AX/f/9//3//f/9//38ZCvgJGQr4BRkK/3//f/9//3//f/9//3//f/9//3//f/9//3//f6FFw03jTQRSal7vaiVaRl5GWkZe72p3d4tiJVolWiVWBFIEUsJNwkmhRaFFgT2BPUE5YTlBNWE5YT3/f/9//3//f/9//3//f/9//3//f/9//39CYkFiQmIhXkJiIV5CYkFi/3//f/9//3//f/9//39BYkJiQV5CYkFi/3//f/9//3//f/9/QmJBYkJiQV5CYkFi/3//f/9//3//f0FiQmIhXkJiQWL/fyFiYmZhZv9/IV5iZmFm/3//f/9//3//f0FiYmZBYv9//3//fyFeQmZBYkJiQWL/f0FiYmZBYv9//3//fyFeQmIhXkJiIV5CYkFi/3//f/9//3//f0FiQmIhXkJiQV5CZiFe/3//f/9//3//f/9//3//f/9//3//f/9/+QX4CfgF+An3BfgJ+AX4CfcF+An4BfgJ9wX4Cf9//3/4BfgJ+AX4CfcF/3//f/9//3//f/gFGAr3BfgJ+AX4Cf9//3/3BRgK9wX4CfgF+An3BfgJ+AX4CfgF+AX/f/9//3//f/9//3/3BfgJ+AX4CfcF+An5Bf9//3//f/9//3/3BRkK+AX4CfcFGQr/f/gJ9wX4CfgF+An3BfgJ+AX4CfcF+An4BfgJ9wX4Cf9//3//f/9//3//f/gF+An4BfgJ9wX/f/9//3//f/9//3//f/9//3//f/9//3//f6FFw03jTQRSBFbvaqxiZ15nYohiaGKIYmdiMW93d4pizmZpXgNS41HBSaFJgEGAQWA9YDlANUE1QDVhOYI9/3//f/9//3//f/9//3//f/9/IV5CYiFeQWIhYkFiIV5BXkFiQmIhXkFe/3//fyBeQWIhXkFiIV7/fyFeQWIhXkFi/3//fyFeQWIhXkFiIV7/fyFeQmIhXkFi/3//fyFeQV5BYv9/IV4hYkFiQWIhXkFm/3//fyFeQWb/f/9//3//f/9/QWIhXkFi/3//fyBeQWIhXkFiIV5BXv9/QWIhXkFe/3//fyFeQV5BYkFiIF5BXkFiQmJBYv9//39BYiFeQWIhXv9/IF5BYkFeQmIhXv9//3//f/9//3//f/9//3//f/9//38ZCvgFGAr4CfgJ+AUYCvgJ+An4BRgK+An4CfgF+An/f/gJ+AUYCvgJ+An4BfgJ+AX/f/gF+An4CfgJ+AUYCvgF/3/4BRgK+An4CfgFGAr4CfgJ+AUYCvgJ+An4BRgK/3//f/9//3//fxkK+AUYCvgJ+An4BRgK9wX/f/9//3//f/9/+AUYCvgJ+AkZBv9/+AX4CfgFGAr4CfgJ+AUYCvgJ+An4BRgK+An4CfgF/3//f/9//3//f/cFGQr4BRgK+An4Cf9//3//f/9//3//f/9//3//f/9//3//f8NJ403jTQVWJVZHXjNvq2aIZqpqqWaqaqlmqWqIZqpq3H//f/9/d3eZd5l3d3NXczVrVm8UaxRn0l5uVsZFYD3/f/9//3//f/9//3//f/9//39iZkFeQmIhXv9//3//f/9//39BXkJiQWL/f/9/QmIhXkJi/3//f/9//38hXkJiIV7/f/9/QmIhXkJi/3//f/9//38hXkJiQWL/f0FeQmIhXv9//3//f/9//39BYkJiQWL/fyFeQmJBYv9//3//f/9//39BXkJiIV7/f/9//39BYkJiIV7/f/9//39BXkJiIV7/f0FiQmJBYv9//3//f/9//38hXkJiQV7/f0FiQmIhXv9//3//f/9//39BYkJi/3//f/9//3//f/9//3//f/9//3//fxkG+An3BfgJ+AX4CfcF+An3BfgJ9wX4CfgF+An4Bf9/9wX4CfcF+An4BfgJ9wX4CfgF+An3BfgJ+AX4CfgF/3/3BfgJ9wX4CfgF+An4BRkK+QX4CfcF+An4BfgJ9wX4Bf9//3//f/9/+AX4CfcF+An4BfgJ9wX4Cf9//3//f/9/+AUZCvcF+An4BRkK/3/4CfgF+An3BfgJ+AUZCvkFGQoZBhkK+QUZChkGGQr/f/9//3//f/9//3/4BfgJ9wX4CfcF/3//f/9//3//f/9//3//f/9//3//f/9/403jTQRSJVZHXmded3eqZqpqqWarahBvl3u7e9x/mXuYe/9//393dyVa41HiUaFJoUVgQWA9QDlBOYQ9CUqOWv9//3//f/9//3//f/9//3//fyFeQWIhXv9//3//f/9//3//f/9/QWJCYiFe/39BYkJiIV7/f/9//3//f/9/IV7/fyBe/39BYkJiIV7/f/9//3//f/9/QWJCYkFi/38hXkJiIF7/f/9//3//f0FiIV5iZiBe/38hXmJmAV7/f/9//3//f0FeIV5CYv9//38hXkJiIV7/f/9//3//f0FeIV5BYv9/QV4hXkFe/3//f/9//3//f/9/IV7/fwBeQWIhXv9//3//f/9//38hXkFiIV7/f/9//3//f/9//3//f/9//3//f/9/GQr4CfgJ+AUZCv9//3//f/9//3//f/gFGAr4CfgJ+AX/f/kJ+An4BRgK+An4CfgFGAr4CfgJ+AUYCvgJ/3//fxkK+An4CfgF+An4Bf9//3//f/9//3/4BRgK+An4CfgF/3//f/9/+AUYCvgJ+An4BRgK+An4CfgF/3//f/9//3//fxkK+An4BRgKGQr/f/gFGAr4CfgJ+AX/f/9//3//f/9//3//f/9//3//f/9//3//f/9//3//fxkK+An4CfgF+An/f/9//3//f/9//3//f/9//3//f/9//3/jTQRWJVZnXmhiqmbdf5d7M3O6e5l7dXcPb8xuq2rMaqpqD2/tbhBv3X/OZgNSBFLCSaJJgUGBQWE5YTkhNUE5gkH/f/9//3//f/9//3//f0FiQmJBZv9//3//f/9//3//f/9//39iZkFe/3//f0JiQWb/f/9//3//f/9//3//f/9//38hXkJiQWL/f/9//3//f/9//3//f/9//3//f0JiQWL/f/9//3//f/9/IV5CYkFi/38hXkJiQWL/f/9//3//f/9/IV5CYkFe/3//f/9/QWJCYv9//3//f/9/IV5CYiFe/39BYkJiIV7/f/9//3//f/9//3//f/9//3//f/9//3//f/9//38hXkJiIV5iZv9//3//f/9//3//f/9//3//f/9//3/5BfgJ+AX4CfgF/3//f/9//3//f/gF+An3BfgJ+AX/f/9/+An4BfgJ9wX4CfcF+AnXBfgJ+AX4CfcF+An4Bf9/+AX4CfgF+An3Bf9//3//f/9//3//f/gJ9wX4CfgF+AnXBf9//38ZCvcF+An4BfgJ9wX4CfgF+AnXBf9//3//f/cFGQr4BfgJ9wUZCv9/+An3BfgJ+AX4CfcF/3//f/9//3//f/9//3//f/9//3//f/9//3//f/9/+AX4CfgF+An3Bf9//3//f/9//3//f/9//3//f/9//3/lTQRSBVZGXmdeiGZ3d/9//38Qc8xq7m7Nau5uzmrubsxqzGqrastqiWaIZndzmncFVuNNokmhRWA9YT1BOUE1IDGCPf9//3//f/9//3//f/9//3//f/9//3//f/9//3//f/9//3//fyFeQV4hXv9/IV5BXkFiQmZBYkFiQWJCZkFiQWJBYv9/IV5BZv9//3//f/9//3//f/9//3//f/9/IV5BYv9//3//f/9//3//fyFeQWb/f/9/IV5BYv9//3//f/9//39BYiFeQWL/f/9/IV5BYkFi/3//f/9//39BYiFeQV7/f0JmIV5BYkFiQmZBYkFiQWJCZkFiYWYhXv9/IF5BXiFeQmYhXkFeIV5CZiBe/3//f/9//3//f/9//3//f/9//3//fxkK+AUYCvgJGQr/f/9//3//f/9/GQr4CfgJ+AUZCv9//3/4BRgK+An4CfgF/3//f/9/+AUYCvgJ+An5Bf9/+AX4CfgFGAr4Cf9//3//f/9//3//f/9//38ZCvgFGAr4Cf9//3//f/gJ+An4BRgK+AUYCvgFGAr4Cf9//3//f/9//3/4BRgK+An4CRkG/3/4BfgJ+AUYCvgJ+An4BRgK+An4CfgFGAr4Cf9//3//f/9//3//f/9/9wUZCvgFGAr4CfgJ/3//f/9//3//f/9//3//f/9//3//f/9/BFJGWkZeD2+Yd7l7/393e81qD2/vbhBv724Qc+9u7m7Nau1uy2rLaolmiGKrYv1/rWLCTaFFgUFhPWE9QTVBNQlK/3//f/9//3//f/9//3//f/9//3//f/9//3//f/9/IV5CYkFiQmJBYv9/QV5CYkFeQmJBXv9/IV5CYkFeQmIhXkJiIV5CYkFi/3//f/9//3//f/9//3//f/9/IV5CYkFi/3//f/9//3//fyFeQmJBYv9/IV5CYkFi/3//f/9//3//f0FeQmIhXv9//3//f0FiQmJBYv9//3//f0FeQmIhXv9/QWJCYiFe/39BXv9/IV5CYiFeQmJBYv9/IV5CZiFeQmJBYkJiIV7/f/9//3//f/9//3//f/9//3//f/9//3//f/9/GQb4CfcF+An3BRkK+AUZCvkF+An3BfgJ+AX4CfgF/3//f/9/+AX4CfgF+An3Bf9//38ZCvcF+An4BfgJ/3/4CfgF+An3BfgJ/3//f/9//3//f/9//3//f/cF+An3BfgJ9wX/f/cF+An4BfgJ+AX/f/gF+An3BfgJ+AX/f/9//3/4BRkK9wX4CfgFGQr/f/gJ+AX4CfcF+An4BfgJ9wX4CfgF+An3BfgJ9wX/f/9//3//f/9//3//f/gF+An3BfgJ9wX/f/9//3//f/9//3//f/9//3//f/9/BVIlVmlemHcQb6pqq2bbf85q727wbhFzEW8ycxFvEHPvbu9uzWrMaqtqqmqIZmdeJVZVc1dvoUWBQYFBYDlBOcdFKk7/f/9//3//f/9//3//f/9//3//f/9//38hXkFiQWJCYiFeQV5BYv9//3//f0FiQmIgXv9//3//f/9//38hXkJiIV7/f0FiQmIhXv9//3//f/9//38gXv9/IF7/fyFeQmIAXv9//3//f/9/IV4hXmJmIF7/fyFeQmIhXv9//3//f/9/QV4hXkJi/3//fyFeQmIhXv9//3//f/9/QV4hXkFi/39BYiFe/3//f/9//3//f/9//38hXkJm4VVBXiFeQmIhXv9//3//f/9//3//f/9//3//f/9//3//f/9//3//f/9//38ZCvgJ+An4BRgK+An4CfgFGAr4CfgJ+AUYCvgF/3//f/9//3//f/gFGAr4CRkK/3//f/gJ+An4BRkK+AX/f/gFGAr4CfgJ+AX/f/9//3//f/9//3//f/9/+An4CfgJ+AX4Cf9/+An4BRgK+AkZCv9//3/4CfgJ+AUZCvgF/3//f/9/GQr4CfgFGAoZCv9/+AUYCvgJ+An4BRgK+An4CfgFGAr4CfgJ+AX/f/9//3//f/9//3//f/9/GQr4CfgJ+AX4Cf9//3//f/9//3//f/9//3//f/9//3//fzNvM3NoYstqy2rNbrt7EHMQbzJzM3NUd1RzVHMyczJz727vbs1qzG6raqpqaGJHXgRWal67e+RNYD1gPedFj1ZANf9//3//f/9//3//f/9//3//fyFeYmZBYkJiIV5CYkFiQmIhXv9//3//f/9/QmJBXv9//3//f/9//3//f0JmQWL/f/9/YmZBXv9//3//f/9//3//f2JmQWL/f/9/QmJBYv9//3//f/9//38hXkJiQWL/fyFeQmJBXkJi/3//f/9//38hXkJiQV7/f/9//39BYkJi/3//f/9//38hXkJiIV7/fyFeQmJBXv9//3//f/9//38hXkJiQV7/f0FiQmIhXv9//3//f/9//38hXv9//3//f/9//3//f/9//3//f/9//3//f/kF+An4BfgJ9wUZChkGGQr5BfgJ+AX4CfcF/3//f/9//3//f/gFGAr3BfgJ+AX/f/cF+An4BfgJ+AX/f/9/+An3BfgJ+AUZCvcF/3//f/9//3//f/9//3/4BfgJ+AX4CfcF/3/4BfgJ9wX4CfcF/3/XAfgJ+AX4CfcF+AX/f/9/9wUZCvgF+An3BRkK/3//f/cF+An4BfgJ+AUZCvgFGQr4BRkK+AUZCtcF/3//f/9//3//f/9//3/4BfgJ+AX4CfcF/3//f/9//3//f/9//3//f/9//3//f1ZvaV5nXqlmqmbMas1qunsRbzJzNHNWd1Zzd3dWc1VzMnMRc+9u7m7MastqqWaJZkZaJVbjTeNNeHN4c1dvsF4gMWI5/3//f/9//3//f/9//3//fyFeQmIhXkFiQWJBYiFe/3//f/9//3//f/9//38hXkFiQWL/fwBe/38hXkFiIV5BYv9//38hXkFiIV5BXgBe/38gXkFiIV5BYiFe/38hXkFi/3//f/9//3//f/9/IV5BZv9//38hXkFeIV5CYiFe/38hXkFiIV5BYv9//38hXkFiIV7/fyFe/3//f0FiIV5BXv9//38hYkFeIV7/fyBe/38hXkJiQWL/f/9/QWIhXiFiIV7/fwBa/39BYkJiIV7/f/9//3//f/9//3//f/9//3//f/9/GQr4BRgK+AkZCv9//3//f/9/+AUYCvgJ+An5Bf9//3//f/9//3/4BfgJ+AUYCvgF+An4BRgK+An/f/9//3/4BfgJ+AUYCvgJ/3//f/9//3//f/9//3/4BfgJ+AUYCvgJ/3/4BRgK+An4CfgF/3//f/9/+AUZCvgJ+An4Bf9//3//f/gFGAr4CfgJGQb/f/gF+An4BRgK+An/f/9//3//f/9//3//f/9//3//f/9//3//f/9//3/3BRkK+AUYCvgJ+An/f/9//3//f/9//3//f/9//3//f/9//39GWohiqWbLasxq7m6Ze1R3M3N2d3d3mXeZd5h3dndVdzJzEHPubu1uy2rLaolmZ2IlVgRWwknDSf9//39iPUE1Qjn/f/9//3//f/9//3//f/9/QmJBXkJiIV7/f/9//3//f/9//3//f/9//3//f/9/IV5CZiFeQmJBYkJiQV5CYv9//3//f/9/IV5CYiFeQmJBYkJiIV5CZiFe/38hXkJiQWL/f/9//3//f/9/IV5CYkFi/38hXkJiQWL/f0FiQmIhXv9/IV5CYiFe/39BYkJiIV5CYkFiQmIhXv9/QV5CYiFe/3//f/9/QWJCYkFiYmZBYkJiQWL/f/9//38hXmJmIV5CYkFiQmYhXkJiQWL/f/9//3//f/9//3//f/9//3//f/9//38ZBvgJ9wX4CfkF/3//f/9//3//f/gF+An4BfgJ1wX/f/9//3//f/gF+AX4CfcF+An3BfgJ9wX4CdcF/3//f/9/+QX4CfcF+An4BfgJ1wH/f/9//3/3BfgJ+AX4CfcFGQr/f/gJ9wX4CfgFGArYBf9//3//f9cF+An4BRkK9wX/f/gFGQr3BfgJ+AUZCv9/+An4BfgJ9wX4CfgF/3//f/9//3//f/9//3//f/9//3//f/9//3//f/9/+AX4CfcF+An3Bf9//3//f/9//3//f/9//3//f/9//3+tYmdeaGKqaqtqzW7Oand3VXNUc1ZzmXeae7t7mXd3d1VzM3Pwbu9uzWrMaqpmiWZHXiZa5FHCSRNreHNYb21WIDH/f/9//3//f/9//3//f/9//39BYkFiIV7/f/9//3//f/9//3//fyFeQWIhXv9//3//fyBeIWIhXkJiIV4hXv9//3//f/9//3//fyFeQWIhXkJiIV4hYiFe/3//f/9/IV5BYgBa/3//f/9//3//fyFeQWLAYf9/IV5BYv9//38hXkJiIV4hXiFeQWIgXkFeIV5CYiFeIWIhXv9//38hYiFeQWL/f/9//3//fyFeQV4hXkFiIV7/f/9//3//f/9/IV5BXiFeQWIhXkFiIV7/f/9//3//f/9//3//f/9//3//f/9//3//fxkK+An4CfgFGQr4Bf9/9wX/f/gF+An4BRgK+An/f/9//3//f/9//38ZCvgJ+An4BRgK+An4CfgF/3//f/9//3//f/gJ+An4BRgK+AkZCvgF+An4CfgJ+AUYCvgJ+An4Bf9/GQr4CfgFGAr4Cf9//3//fyVe/3//fxkK+An/f/9//38ZCvgJ+AUYChkK/3/4BRgK+An4CfgF+An4Bf9/+AX/f/gF/3/4Bf9//3//f/gF/3/4Bf9/+AUYCvgJ+An4BfgJ+AX/f/gF/3/4Bf9//3//f/9//3//f/9/R16IYqpmzG7Nau5uVHOYe1Rzd3eZd7t/u3u6e3d3dnczcxFz727ubsxqy2qJZmdiJVolVnlzJ1JgQWA9K1IrTv9//3//f/9//3//f/9//3//f2JmIV5CYv9//3//f/9//3//fyFeQmJBYv9//3//f/9//3//f/9//3//f/9//3//f/9//3//f/9//3//f/9//3//f/9//3//f/9//3//f/9//3//f/9//3//f/9//3//f/9//3//f/9//3//f/9//3//f/9//3//f/9//3//f0FiQmL/f/9//3//f/9//3//f/9//3//f/9//3//f/9//3//f/9//3//f/9//3//f/9//3//f/9//3//f/9//3//f/9//3//f/9//3//f/9//3//f/9/+QX4CfgF+An3BfgJ+AX4CfcF+An4BfgJ9wX4CfgF/3//f/9//3//f/cF+An4BfgJ9wX4CfgF/3//f/9//3//f/9/+AX3BfgJ9wX4CfgF+An3BfgJ+AX4CfcF+An4Bf9/1wX4CfgF+An3BfgJ/3//f/9//39GYv9/2AH4CfcF/3/3BRkK+AX4CfcFGQr/f/gJ9wX4CfgF+An3BfgJ+AX4CfcF+An4BfgJ+AX/f/9/GQr3BfgJ+AX4CfcF+An4BfgJ9wX4CfgF+An3BfgJ/3//f/9//3//f/9//3//f2diqmqrasxu7moRc7p7VHNWc5h3mXeae5h3d3dUczJz8G7vbs1qzGqqZolmRlqsYnhz402hRYFBYD1BOSpO/3//f/9//3//f/9//3//f/9/IV5CYiFe/3//f/9//3//fyFeQmIhXkFi/3//f/9//3//f/9//3//f/9//3//f/9//3//f/9//3//f/9//3//f/9//3//f/9//3//f/9//3//f/9//3//f/9//3//f/9//3//f/9//3//f/9//3//f/9//38hXv9//3//fyFeQWJBYv9//3//f/9//38hXv9//3//f/9//3//f/9//3//f/9//3//f/9//3//f/9//3//f/9//3//f/9//3//f/9//3//f/9//3//f/9//3//f/9//38ZCvgFGAr4CfgJ+AUYCvgJ+An4BRgK+An4CfgF/3//f/9//3//f/9//3/4BRgK+An4CfgFGQr/f/9//3//f/9//3//fxkK+An4CfgFGAr4CfgJ+AUYCvgJ+An4Bf9//3//f/gFGAr4CfgJ+AX/f/9//3//f2ZiRl7/f/9/GQr/f/9/+AUYCvgJ+AkZBv9/+AX4CfgFGAr4CfgJ+AUYCvgJ+An4BRgK+AkYCv9//38ZCvgJ+AUYCvgJ+An4BRgK+An4CfgFGAr4CfgJ+AX/f/9//3//f/9//3//f/9/iGapZstqzGrubu9u3H8yc1V3dnd4d3d3d3dVc1RzEXMQc+5u7W7LaqpqiGJ2dxFr41HCSaJFgUGBPUE5/3//f/9//3//f/9//3//f/9//3//f0FiQmJBXkJiIV7/f0FiQmIhXkJm/3//f/9//3//f/9//3//f/9//3//f/9//3//f/9//3//f/9//3//f/9//3//f/9//3//f/9//3//f/9//3//f/9//3//f/9//3//f/9//3//f/9//3//f/9//39BYkJiQWL/f/9//39BYmJmIV7/f/9//39BYkJiIV7/f/9//3//f/9//3//f/9//3//f/9//3//f/9//3//f/9//3//f/9//3//f/9//3//f/9//3//f/9//3//f/9//3//fxkG+An3BfgJ+AX4CfcF+An4BfgJ9wX4CfgF/3//f/9//3//f/9//3//fxkK9wX4CfgF+An3Bf9//3//f/9//3//f/9//3/4BfgF+An3BfgJ+AX4CfcFGQr3Bf9//3//f/gF+An3BfgJ+AX/f/9//3//f/9/JV5GXiVeRmIpRv9/1wUZCvcF+An4BRkK/3/4CfgF+An3BfgJ+AX4CfcF+An4BfgJ9wX4CfgF/3+1ARkK+AX4CfcF+An4BfgJ9wX4CfgF+An3BfgJ+AX4Cf9//3//f/9//3//f/9//3+rYohmqmrMas1q7m67exFzM3NUc1VzVXc0czRzEm8Qc+5u7m7Maqtq7mq5e2leJVbjTcJJgUGBQWA5YTn/f/9//3//f/9//3//f/9//3//f/9//38hXkJiIV5BYiFeQmJBYkFeIF7/f/9//3//f/9//3//f/9//3//f/9//3//f/9//3//f/9//3//f/9//3//f/9//3//f/9//3//f/9//3//f/9//3//f/9//3//f/9//3//f/9//3//f/9//3//f0FiQWJCYv9//3//f/9/AV7/f/9//3//f0FiQWJBYv9//3//f/9//3//f/9//3//f/9//3//f/9//3//f/9//3//f/9//3//f/9//3//f/9//3//f/9//3//f/9//3//f/9//3/4Bf9/+AX/f/gF/3/4Bf9/+AX/f/9//3//f/9//3//f/9//3//f/9/+AX/f/gF/3/4Bf9//3//f/9//3//f/9//3//f/9//3/4Bf9/+AUYCvgF/3//f/9//3//f/9//3/4Bf9/+AX/f/9//3//f/9//3//fyVe/38lXv9//3//f/gF/3/4Bf9/+AX/f/9//3/4Bf9/+AX/f/gF/3/4Bf9/+AX/f/gF/3//f/9/+AX/f/gF/3/4Bf9/+AX/f/gF/3/4Bf9/+AX/f/gF/3//f/9//3//f/9//3//f/9/MnOpaqtqzW7Naph7EW8xczJzU3MzczNzEXMQc+9u7m7Masxud3dTc0ZeRloEUuNNokmhRYE9YT2DPf9//3//f/9//3//f/9//3//f/9//3//f/9//3//fyFe/38hXv9//3//f/9//3//f/9//3//f/9//3//f/9//3//f/9//3//f/9//3//f/9//3//f/9//3//f/9//3//f/9//3//f/9//3//f/9//3//f/9//3//f/9//3//f/9//3//f/9//3//f/9//3//f/9//3//f/9//3//f/9//3//f/9//3//f/9//3//f/9//3//f/9//3//f/9//3//f/9//3//f/9//3//f/9//3//f/9//3//f/9//3//f/9//3//f/9//3//f/9//3//f/9//3//f/9//3//f/9//3//f/9//3//f/9//3//f/9//3//f/9//3//f/9//3//f/9//3//f/9//3//f/9//3//f/9//3//f/9//3//f/9//3//f/9//3//f/9//3//f/9//3//f/9//3//f/9//3//f/9//3//f/9//3//f/9//3//f/9//3//f/9//3//f/9//3//f/9//3//f/9//3//f/9//3//f/9//3//f/9//3//f/9//3//f/9//3//f/9//3//f/9//3//f/9//3//f/9//3//f1Rzy2qras1uEG92d+9uEHPwbhBz8G4Qb+5u7m7ManV3d3eqamhiR14FVgRSwkmiRYFBYT1hPf9//3//f/9//3//f/9//3//f/9//3//f/9//3//f/9//3//f/9//3//f/9//3//f/9//3//f/9//3//f/9//3//f/9//3//f/9//3//f/9//3//f/9//3//f/9//3//f/9//3//f/9//3//f/9//3//f/9//3//f/9//3//f/9//3//f/9//3//f/9//3//f/9//3//f/9//3//f/9//3//f/9//3//f/9//3//f/9//3//f/9//3//f/9//3//f/9//3//f/9//3//f/9//3//f/9//3//f/9//3//f/9//3//f/9//3//f/9//3//f/9//3//f/9//3//f/9//3//f/9//3//f/9//3//f/9//3//f/9//3//f/9//3//f/9//3//f/9//3//f/9//3//f/9//3//f/9//3//f/9//3//f/9//3//f/9//3//f/9//3//f/9//3//f/9//3//f/9//3//f/9//3//f/9//3//f/9//3//f/9//3//f/9//3//f/9//3//f/9//3//f/9//3//f/9//3//f/9//3//f/9//3//f/9//3//f/9//3//f/9//3//f/9//3//f/9//3//f/9//38zczJzq2rMapl77m7ubu9u7m7vbu5u7W5Uc7l77m6qaohiaGImWgVW403CSaFFgUFhPf9//3//f/9//3//f/9//3//f/9//3//f/9//3//f/9//3//f/9//3//f/9//3//f/9//3//f/9//3//f/9//3//f/9//3//f/9//3//f/9//3//f/9//3//f/9//3//f/9//3//f/9//3//f/9//3//f/9//3//f/9//3//f/9//3//f/9//3//f/9//3//f/9//3//f/9//3//f/9//3//f/9//3//f/9//3//f/9//3//f/9//3//f/9//3//f/9//3//f/9//3//f/9//3//f/9//3//f/9//3//f/9//3//f/9//3//f/9//3//f/9//3//f/9//3//f/9//3//f/9//3//f/9//3//f/9//3//f/9//3//f/9//3//f/9//3//f/9//3//f/9//3//f/9//3//f/9//3//f/9//3//f/9//3//f/9//3//f/9//3//f/9//3//f/9//3//f/9//3//f/9//3//f/9//3//f/9//3//f/9//3//f/9//3//f/9//3//f/9//3//f/9//3//f/9//3//f/9//3//f/9//3//f/9//3//f/9//3//f/9//3//f/9//3//f/9//3//f/9//3//f4pmzGqXd+5uVXfNas1uzWrNbs1qdnd3dw9vqmaqaohiaF4mWiVW403DTaFFgUGBPf9//3//f/9//3//f/9//3//f/9//3//f/9//3//f/9//3//f/9//3//f/9//3//f/9//3//f/9//3//f/9//3//f/9//3//f/9//3//f/9//3//f/9//3//f/9//3//f/9//3//f/9//3//f/9//3//f/9//3//f/9//3//f/9//3//f/9//3//f/9//3//f/9//3//f/9//3//f/9//3//f/9//3//f/9//3//f/9//3//f/9//3//f/9//3//f/9//3//f/9//3//f/9//3//f/9//3//f/9//3//f/9//3//f/9//3//f/9//3//f/9//3//f/9//3//f/9//3//f/9//3//f/9//3//f/9//3//f/9//3//f/9//3//f/9//3//f/9//3//f/9//3//f/9//3//f/9//3//f/9//3//f/9//3//f/9//3//f/9//3//f/9//3//f/9//3//f/9//3//f/9//3//f/9//3//f/9//3//f/9//3//f/9//3//f/9//3//f/9//3//f/9//3//f/9//3//f/9//3//f/9//3//f/9//3//f/9//3//f/9//3//f/9//3//f/9//3//f/9//3//f/9//3//f4hmMnO6e/9/VHN1d3d3dXfMastqqmqqaohiaGJGWiVWBFLjTaJJoUWBQf9//3//f/9//3//f/9//3//f/9//3//f/9//3//f/9//3//f/9//3//f/9//3//f/9//3//f/9//3//f/9//3//f/9//3//f/9//3//f/9//3//f/9//3//f/9//3//f/9//3//f/9//3//f/9//3//f/9//3//f/9//3//f/9//3//f/9//3//f/9//3//f/9//3//f/9//3//f/9//3//f/9//3//f/9//3//f/9//3//f/9//3//f/9//3//f/9//3//f/9//3//f/9//3//f/9//3//f/9//3//f/9//3//f/9//3//f/9//3//f/9//3//f/9//3//f/9//3//f/9//3//f/9//3//f/9//3//f/9//3//f/9//3//f/9//3//f/9//3//f/9//3//f/9//3//f/9//3//f/9//3//f/9//3//f/9//3//f/9//3//f/9//3//f/9//3//f/9//3//f/9//3//f/9//3//f/9//3//f/9//3//f/9//3//f/9//3//f/9//3//f/9//3//f/9//3//f/9//3//f/9//3//f/9//3//f/9//3//f/9//3//f/9//3//f/9//3//f/9//3//f/9//3//f/9//38zc1Rz/n//fxBvqWaqZqpqiWaJZmhiZ14mWiVW5FHjTaJJoUWiRf9//3//f/9//3//f/9//3//f/9//3//f/9//3//f/9//3//f/9//3//f/9//3//f/9//3//f/9//3//f/9//3//f/9//3//f/9//3//f/9//3//f/9//3//f/9//3//f/9//3//f/9//3//f/9//3//f/9//3//f/9//3//f/9//3//f/9//3//f/9//3//f/9//3//f/9//3//f/9//3//f/9//3//f/9//3//f/9//3//f/9//3//f/9//3//f/9//3//f/9//3//f/9//3//f/9//3//f/9//3//f/9//3//f/9//3//f/9//3//f/9//3//f/9//3//f/9//3//f/9//3//f/9//3//f/9//3//f/9//3//f/9//3//f/9//3//f/9//3//f/9//3//f/9//3//f/9//3//f/9//3//f/9//3//f/9//3//f/9//3//f/9//3//f/9//3//f/9//3//f/9//3//f/9//3//f/9//3//f/9//3//f/9//3//f/9//3//f/9//3//f/9//3//f/9//3//f/9//3//f/9//3//f/9//3//f/9//3//f/9//3//f/9//3//f/9//3//f/9//3//f/9//3//f/9//3//f/9/aWKIZjNzq2YybzNzEW+rZkZaRlolVgVW403jTcJJ/3//f/9//3//f/9//3//f/9//3//f/9//3//f/9//3//f/9//3//f/9//3//f/9//3//f/9//3//f/9//3//f/9//3//f/9//3//f/9//3//f/9//3//f/9//3//f/9//3//f/9//3//f/9//3//f/9//3//f/9//3//f/9//3//f/9//3//f/9//3//f/9//3//f/9//3//f/9//3//f/9//3//f/9//3//f/9//3//f/9//3//f/9//3//f/9//3//f/9//3//f/9//3//f/9//3//f/9//3//f/9//3//f/9//3//f/9//3//f/9//3//f/9//3//f/9//3//f/9//3//f/9//3//f/9//3//f/9//3//f/9//3//f/9//3//f/9//3//f/9//3//f/9//3//f/9//3//f/9//3//f/9//3//f/9//3//f/9//3//f/9//3//f/9//3//f/9//3//f/9//3//f/9//3//f/9//3//f/9//3//f/9//3//f/9//3//f/9//3//f/9//3//f/9//3//f/9//3//f/9//3//f/9//3//f/9//3//f/9//3//f/9//3//f/9//3//f/9//3//f/9//3//f/9//3//f/9//3//f/9//3//f85m/3/wamdiRVpGWoxiz2atYqxii15qWmxa/3//f/9//3//f/9//3//f/9//3//f/9//3//f/9//3//f/9//3//f/9//3//f/9//3//f/9//3//f/9//3//f/9//3//f/9//3//f/9//3//f/9//3//f/9//3//f/9//3//f/9//3//f/9//3//f/9//3//f/9//3//f/9//3//f/9//3//f/9//3//f/9//3//f/9//3//f/9//3//f/9//3//f/9//3//f/9//3//f/9//3//f/9//3//f/9//3//f/9//3//f/9//3//f/9//3//f/9//3//f/9//3//f/9//3//f/9//3//f/9//3//f/9//3//f/9//3//f/9//3//f/9//3//f/9//3//f/9//3//f/9//3//f/9//3//f/9//3//f/9//3//f/9//3//f/9//3//f/9//3//f/9//3//f/9//3//f/9//3//f/9//3//f/9//3//f/9//3//f/9//3//f/9//3//f/9//3//f/9//3//f/9//3//f/9//3//f/9//3//f/9//3//f/9//3//f/9//3//f/9//3//f/9//3//f/9//3//f/9//3//f/9//3//f/9//3//f/9//3//f/9//3//f/9//3//f/9//3//f/9//3//f/9//3//f/9//3//f/9//38nVv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RgAAABQAAAAIAAAAVE5QUAcBAABGAAAAFAAAAAgAAABHRElDAwAAACIAAAAMAAAA/////yIAAAAMAAAA/////yUAAAAMAAAADQAAgCgAAAAMAAAABAAAACIAAAAMAAAA/////yIAAAAMAAAA/v///ycAAAAYAAAABAAAAAAAAAD///8AAAAAACUAAAAMAAAABAAAAEwAAABkAAAAAAAAAFAAAAAxAQAAfAAAAAAAAABQAAAAMgEAAC0AAAAhAPAAAAAAAAAAAAAAAIA/AAAAAAAAAAAAAIA/AAAAAAAAAAAAAAAAAAAAAAAAAAAAAAAAAAAAAAAAAAAlAAAADAAAAAAAAIAoAAAADAAAAAQAAAAnAAAAGAAAAAQAAAAAAAAA////AAAAAAAlAAAADAAAAAQAAABMAAAAZAAAAAkAAABQAAAA/wAAAFwAAAAJAAAAUAAAAPcAAAANAAAAIQDwAAAAAAAAAAAAAACAPwAAAAAAAAAAAACAPwAAAAAAAAAAAAAAAAAAAAAAAAAAAAAAAAAAAAAAAAAAJQAAAAwAAAAAAACAKAAAAAwAAAAEAAAAJwAAABgAAAAEAAAAAAAAAP///wAAAAAAJQAAAAwAAAAEAAAATAAAAGQAAAAJAAAAYAAAAP8AAABsAAAACQAAAGAAAAD3AAAADQAAACEA8AAAAAAAAAAAAAAAgD8AAAAAAAAAAAAAgD8AAAAAAAAAAAAAAAAAAAAAAAAAAAAAAAAAAAAAAAAAACUAAAAMAAAAAAAAgCgAAAAMAAAABAAAACcAAAAYAAAABAAAAAAAAAD///8AAAAAACUAAAAMAAAABAAAAEwAAABkAAAACQAAAHAAAAAoAQAAfAAAAAkAAABwAAAAIAEAAA0AAAAhAPAAAAAAAAAAAAAAAIA/AAAAAAAAAAAAAIA/AAAAAAAAAAAAAAAAAAAAAAAAAAAAAAAAAAAAAAAAAAAlAAAADAAAAAAAAIAoAAAADAAAAAQAAAAlAAAADAAAAAEAAAAYAAAADAAAAAAAAAASAAAADAAAAAEAAAAWAAAADAAAAAAAAABUAAAAaAEAAAoAAABwAAAAJwEAAHwAAAABAAAAVZXbQV9C20EKAAAAcAAAAC8AAABMAAAABAAAAAkAAABwAAAAKQEAAH0AAACsAAAAUwBpAGcAbgBlAGQAIABiAHkAOgAgAEMA1ABOAEcAIABUAFkAIABDANQeIABQAEgAph5OACAAQwBIAOgeTgBHACAASwBIAE8AwQBOACAAQgCiHk8AIABWAEkAxh5UAP9/BgAAAAMAAAAHAAAABwAAAAYAAAAHAAAAAwAAAAcAAAAFAAAAAwAAAAMAAAAHAAAACQAAAAgAAAAIAAAAAwAAAAUAAAAFAAAAAwAAAAcAAAAJAAAAAwAAAAYAAAAIAAAABwAAAAgAAAADAAAABwAAAAgAAAAIAAAACAAAAAgAAAADAAAABgAAAAgAAAAJAAAABwAAAAgAAAADAAAABwAAAAcAAAAJAAAAAwAAAAcAAAADAAAABgAAAAU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Trang bìa</vt:lpstr>
      <vt:lpstr>Setting</vt:lpstr>
      <vt:lpstr>KT_06618</vt:lpstr>
      <vt:lpstr>6048_hidden</vt:lpstr>
      <vt:lpstr>BCTCR_06608</vt:lpstr>
      <vt:lpstr>6050_hidden</vt:lpstr>
      <vt:lpstr>CCTTCR_06609</vt:lpstr>
      <vt:lpstr>6045_hidden</vt:lpstr>
      <vt:lpstr>BCKQHDR_06610</vt:lpstr>
      <vt:lpstr>6041_hidden</vt:lpstr>
      <vt:lpstr>BCLCTTRTT_06611</vt:lpstr>
      <vt:lpstr>6046_hidden</vt:lpstr>
      <vt:lpstr>PLCTTHDMGUTCKHTT_06612</vt:lpstr>
      <vt:lpstr>6043_hidden</vt:lpstr>
      <vt:lpstr>BCLCTTRGT_06613</vt:lpstr>
      <vt:lpstr>6049_hidden</vt:lpstr>
      <vt:lpstr>PLCTTHDMGUTCKHGT_06614</vt:lpstr>
      <vt:lpstr>6044_hidden</vt:lpstr>
      <vt:lpstr>BCTHBDVCSH_06615</vt:lpstr>
      <vt:lpstr>6047_hidden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Tran Kim Oanh</cp:lastModifiedBy>
  <dcterms:created xsi:type="dcterms:W3CDTF">2020-06-04T03:29:47Z</dcterms:created>
  <dcterms:modified xsi:type="dcterms:W3CDTF">2026-03-27T08:16:47Z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b65bbe-026c-4cb9-a0b9-4fa2e78de6eb_Enabled">
    <vt:lpwstr>true</vt:lpwstr>
  </property>
  <property fmtid="{D5CDD505-2E9C-101B-9397-08002B2CF9AE}" pid="3" name="MSIP_Label_f4b65bbe-026c-4cb9-a0b9-4fa2e78de6eb_SetDate">
    <vt:lpwstr>2025-03-28T10:03:44Z</vt:lpwstr>
  </property>
  <property fmtid="{D5CDD505-2E9C-101B-9397-08002B2CF9AE}" pid="4" name="MSIP_Label_f4b65bbe-026c-4cb9-a0b9-4fa2e78de6eb_Method">
    <vt:lpwstr>Privileged</vt:lpwstr>
  </property>
  <property fmtid="{D5CDD505-2E9C-101B-9397-08002B2CF9AE}" pid="5" name="MSIP_Label_f4b65bbe-026c-4cb9-a0b9-4fa2e78de6eb_Name">
    <vt:lpwstr>Tài liệu công khai</vt:lpwstr>
  </property>
  <property fmtid="{D5CDD505-2E9C-101B-9397-08002B2CF9AE}" pid="6" name="MSIP_Label_f4b65bbe-026c-4cb9-a0b9-4fa2e78de6eb_SiteId">
    <vt:lpwstr>a7509330-d521-463e-b773-afb080ac0ab0</vt:lpwstr>
  </property>
  <property fmtid="{D5CDD505-2E9C-101B-9397-08002B2CF9AE}" pid="7" name="MSIP_Label_f4b65bbe-026c-4cb9-a0b9-4fa2e78de6eb_ActionId">
    <vt:lpwstr>ea3abee8-fdfd-4dae-bdbf-47000e0fde37</vt:lpwstr>
  </property>
  <property fmtid="{D5CDD505-2E9C-101B-9397-08002B2CF9AE}" pid="8" name="MSIP_Label_f4b65bbe-026c-4cb9-a0b9-4fa2e78de6eb_ContentBits">
    <vt:lpwstr>0</vt:lpwstr>
  </property>
  <property fmtid="{D5CDD505-2E9C-101B-9397-08002B2CF9AE}" pid="9" name="MSIP_Label_f4b65bbe-026c-4cb9-a0b9-4fa2e78de6eb_Tag">
    <vt:lpwstr>10, 0, 1, 1</vt:lpwstr>
  </property>
</Properties>
</file>