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psdsor" ContentType="application/vnd.openxmlformats-package.digital-signature-origin"/>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package/2006/relationships/digital-signature/origin" Target="/package/services/digital-signature/origin.psdsor" Id="Rfc11868693634dd3"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Y:\KSNB\Private\1. CBTT-KSNB\BCTC\QUÝ\2026\Quý I\SSC\"/>
    </mc:Choice>
  </mc:AlternateContent>
  <xr:revisionPtr revIDLastSave="0" documentId="13_ncr:1_{0E8AF363-DCA3-44C0-9AF6-24547D11BB24}" xr6:coauthVersionLast="47" xr6:coauthVersionMax="47" xr10:uidLastSave="{00000000-0000-0000-0000-000000000000}"/>
  <bookViews>
    <workbookView xWindow="-120" yWindow="-120" windowWidth="24240" windowHeight="13140" xr2:uid="{00000000-000D-0000-FFFF-FFFF00000000}"/>
  </bookViews>
  <sheets>
    <sheet name="Trang bìa" sheetId="1" r:id="rId1"/>
    <sheet name="Setting" sheetId="2" state="hidden" r:id="rId2"/>
    <sheet name="BCTCR_06608" sheetId="3" r:id="rId3"/>
    <sheet name="7713_hidden" sheetId="4" state="hidden" r:id="rId4"/>
    <sheet name="CCTTCR_06609" sheetId="5" r:id="rId5"/>
    <sheet name="7709_hidden" sheetId="6" state="hidden" r:id="rId6"/>
    <sheet name="BCKQHDR_06610" sheetId="7" r:id="rId7"/>
    <sheet name="7706_hidden" sheetId="8" state="hidden" r:id="rId8"/>
    <sheet name="BCLCTTRTT_06611" sheetId="9" r:id="rId9"/>
    <sheet name="7710_hidden" sheetId="10" state="hidden" r:id="rId10"/>
    <sheet name="PLCTTHDMGUTCKHTT_06612" sheetId="11" r:id="rId11"/>
    <sheet name="7707_hidden" sheetId="12" state="hidden" r:id="rId12"/>
    <sheet name="BCLCTTRGT_06613" sheetId="13" r:id="rId13"/>
    <sheet name="7712_hidden" sheetId="14" state="hidden" r:id="rId14"/>
    <sheet name="PLCTTHDMGUTCKHGT_06614" sheetId="15" r:id="rId15"/>
    <sheet name="7708_hidden" sheetId="16" state="hidden" r:id="rId16"/>
    <sheet name="BCTHBDVCSH_06615" sheetId="17" r:id="rId17"/>
    <sheet name="7711_hidden" sheetId="18" state="hidden" r:id="rId1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18" l="1"/>
  <c r="J29" i="18"/>
  <c r="I29" i="18"/>
  <c r="H29" i="18"/>
  <c r="G29" i="18"/>
  <c r="F29" i="18"/>
  <c r="E29" i="18"/>
  <c r="D29" i="18"/>
  <c r="C29" i="18"/>
  <c r="B29" i="18"/>
  <c r="A29" i="18"/>
  <c r="K28" i="18"/>
  <c r="J28" i="18"/>
  <c r="I28" i="18"/>
  <c r="H28" i="18"/>
  <c r="G28" i="18"/>
  <c r="F28" i="18"/>
  <c r="E28" i="18"/>
  <c r="D28" i="18"/>
  <c r="C28" i="18"/>
  <c r="B28" i="18"/>
  <c r="A28" i="18"/>
  <c r="K27" i="18"/>
  <c r="J27" i="18"/>
  <c r="I27" i="18"/>
  <c r="H27" i="18"/>
  <c r="G27" i="18"/>
  <c r="F27" i="18"/>
  <c r="E27" i="18"/>
  <c r="D27" i="18"/>
  <c r="C27" i="18"/>
  <c r="B27" i="18"/>
  <c r="A27" i="18"/>
  <c r="K26" i="18"/>
  <c r="J26" i="18"/>
  <c r="I26" i="18"/>
  <c r="H26" i="18"/>
  <c r="G26" i="18"/>
  <c r="F26" i="18"/>
  <c r="E26" i="18"/>
  <c r="D26" i="18"/>
  <c r="C26" i="18"/>
  <c r="B26" i="18"/>
  <c r="A26" i="18"/>
  <c r="K25" i="18"/>
  <c r="J25" i="18"/>
  <c r="I25" i="18"/>
  <c r="H25" i="18"/>
  <c r="G25" i="18"/>
  <c r="F25" i="18"/>
  <c r="E25" i="18"/>
  <c r="D25" i="18"/>
  <c r="C25" i="18"/>
  <c r="B25" i="18"/>
  <c r="A25" i="18"/>
  <c r="K24" i="18"/>
  <c r="J24" i="18"/>
  <c r="I24" i="18"/>
  <c r="H24" i="18"/>
  <c r="G24" i="18"/>
  <c r="F24" i="18"/>
  <c r="E24" i="18"/>
  <c r="D24" i="18"/>
  <c r="C24" i="18"/>
  <c r="B24" i="18"/>
  <c r="A24" i="18"/>
  <c r="K23" i="18"/>
  <c r="J23" i="18"/>
  <c r="I23" i="18"/>
  <c r="H23" i="18"/>
  <c r="G23" i="18"/>
  <c r="F23" i="18"/>
  <c r="E23" i="18"/>
  <c r="D23" i="18"/>
  <c r="C23" i="18"/>
  <c r="B23" i="18"/>
  <c r="A23" i="18"/>
  <c r="K22" i="18"/>
  <c r="J22" i="18"/>
  <c r="I22" i="18"/>
  <c r="H22" i="18"/>
  <c r="G22" i="18"/>
  <c r="F22" i="18"/>
  <c r="E22" i="18"/>
  <c r="D22" i="18"/>
  <c r="C22" i="18"/>
  <c r="B22" i="18"/>
  <c r="A22" i="18"/>
  <c r="K21" i="18"/>
  <c r="J21" i="18"/>
  <c r="I21" i="18"/>
  <c r="H21" i="18"/>
  <c r="G21" i="18"/>
  <c r="F21" i="18"/>
  <c r="E21" i="18"/>
  <c r="D21" i="18"/>
  <c r="C21" i="18"/>
  <c r="B21" i="18"/>
  <c r="A21" i="18"/>
  <c r="K20" i="18"/>
  <c r="J20" i="18"/>
  <c r="I20" i="18"/>
  <c r="H20" i="18"/>
  <c r="G20" i="18"/>
  <c r="F20" i="18"/>
  <c r="E20" i="18"/>
  <c r="D20" i="18"/>
  <c r="C20" i="18"/>
  <c r="B20" i="18"/>
  <c r="A20" i="18"/>
  <c r="K19" i="18"/>
  <c r="J19" i="18"/>
  <c r="I19" i="18"/>
  <c r="H19" i="18"/>
  <c r="G19" i="18"/>
  <c r="F19" i="18"/>
  <c r="E19" i="18"/>
  <c r="D19" i="18"/>
  <c r="C19" i="18"/>
  <c r="B19" i="18"/>
  <c r="A19" i="18"/>
  <c r="K18" i="18"/>
  <c r="J18" i="18"/>
  <c r="I18" i="18"/>
  <c r="H18" i="18"/>
  <c r="G18" i="18"/>
  <c r="F18" i="18"/>
  <c r="E18" i="18"/>
  <c r="D18" i="18"/>
  <c r="C18" i="18"/>
  <c r="B18" i="18"/>
  <c r="A18" i="18"/>
  <c r="K17" i="18"/>
  <c r="J17" i="18"/>
  <c r="I17" i="18"/>
  <c r="H17" i="18"/>
  <c r="G17" i="18"/>
  <c r="F17" i="18"/>
  <c r="E17" i="18"/>
  <c r="D17" i="18"/>
  <c r="C17" i="18"/>
  <c r="B17" i="18"/>
  <c r="A17" i="18"/>
  <c r="K16" i="18"/>
  <c r="J16" i="18"/>
  <c r="I16" i="18"/>
  <c r="H16" i="18"/>
  <c r="G16" i="18"/>
  <c r="F16" i="18"/>
  <c r="E16" i="18"/>
  <c r="D16" i="18"/>
  <c r="C16" i="18"/>
  <c r="B16" i="18"/>
  <c r="A16" i="18"/>
  <c r="K15" i="18"/>
  <c r="J15" i="18"/>
  <c r="I15" i="18"/>
  <c r="H15" i="18"/>
  <c r="G15" i="18"/>
  <c r="F15" i="18"/>
  <c r="E15" i="18"/>
  <c r="D15" i="18"/>
  <c r="C15" i="18"/>
  <c r="B15" i="18"/>
  <c r="A15" i="18"/>
  <c r="K14" i="18"/>
  <c r="J14" i="18"/>
  <c r="I14" i="18"/>
  <c r="H14" i="18"/>
  <c r="G14" i="18"/>
  <c r="F14" i="18"/>
  <c r="E14" i="18"/>
  <c r="D14" i="18"/>
  <c r="C14" i="18"/>
  <c r="B14" i="18"/>
  <c r="A14" i="18"/>
  <c r="K13" i="18"/>
  <c r="J13" i="18"/>
  <c r="I13" i="18"/>
  <c r="H13" i="18"/>
  <c r="G13" i="18"/>
  <c r="F13" i="18"/>
  <c r="E13" i="18"/>
  <c r="D13" i="18"/>
  <c r="C13" i="18"/>
  <c r="B13" i="18"/>
  <c r="A13" i="18"/>
  <c r="K12" i="18"/>
  <c r="J12" i="18"/>
  <c r="I12" i="18"/>
  <c r="H12" i="18"/>
  <c r="G12" i="18"/>
  <c r="F12" i="18"/>
  <c r="E12" i="18"/>
  <c r="D12" i="18"/>
  <c r="C12" i="18"/>
  <c r="B12" i="18"/>
  <c r="A12" i="18"/>
  <c r="K11" i="18"/>
  <c r="J11" i="18"/>
  <c r="I11" i="18"/>
  <c r="H11" i="18"/>
  <c r="G11" i="18"/>
  <c r="F11" i="18"/>
  <c r="E11" i="18"/>
  <c r="D11" i="18"/>
  <c r="C11" i="18"/>
  <c r="B11" i="18"/>
  <c r="A11" i="18"/>
  <c r="K10" i="18"/>
  <c r="J10" i="18"/>
  <c r="I10" i="18"/>
  <c r="H10" i="18"/>
  <c r="G10" i="18"/>
  <c r="F10" i="18"/>
  <c r="E10" i="18"/>
  <c r="D10" i="18"/>
  <c r="C10" i="18"/>
  <c r="B10" i="18"/>
  <c r="A10" i="18"/>
  <c r="K9" i="18"/>
  <c r="J9" i="18"/>
  <c r="I9" i="18"/>
  <c r="H9" i="18"/>
  <c r="G9" i="18"/>
  <c r="F9" i="18"/>
  <c r="E9" i="18"/>
  <c r="D9" i="18"/>
  <c r="C9" i="18"/>
  <c r="B9" i="18"/>
  <c r="A9" i="18"/>
  <c r="K8" i="18"/>
  <c r="J8" i="18"/>
  <c r="I8" i="18"/>
  <c r="H8" i="18"/>
  <c r="G8" i="18"/>
  <c r="F8" i="18"/>
  <c r="E8" i="18"/>
  <c r="D8" i="18"/>
  <c r="C8" i="18"/>
  <c r="B8" i="18"/>
  <c r="A8" i="18"/>
  <c r="K7" i="18"/>
  <c r="J7" i="18"/>
  <c r="I7" i="18"/>
  <c r="H7" i="18"/>
  <c r="G7" i="18"/>
  <c r="F7" i="18"/>
  <c r="E7" i="18"/>
  <c r="D7" i="18"/>
  <c r="C7" i="18"/>
  <c r="B7" i="18"/>
  <c r="A7" i="18"/>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B6" i="16"/>
  <c r="A6" i="16"/>
  <c r="E5" i="16"/>
  <c r="D5" i="16"/>
  <c r="C5" i="16"/>
  <c r="B5" i="16"/>
  <c r="A5" i="16"/>
  <c r="E4" i="16"/>
  <c r="D4" i="16"/>
  <c r="C4" i="16"/>
  <c r="A4" i="16"/>
  <c r="E3" i="16"/>
  <c r="D3" i="16"/>
  <c r="C3" i="16"/>
  <c r="B3" i="16"/>
  <c r="A3" i="16"/>
  <c r="E80" i="14"/>
  <c r="D80" i="14"/>
  <c r="C80" i="14"/>
  <c r="B80" i="14"/>
  <c r="A80" i="14"/>
  <c r="E79" i="14"/>
  <c r="D79" i="14"/>
  <c r="C79" i="14"/>
  <c r="B79" i="14"/>
  <c r="A79" i="14"/>
  <c r="E78" i="14"/>
  <c r="D78" i="14"/>
  <c r="C78" i="14"/>
  <c r="B78" i="14"/>
  <c r="A78" i="14"/>
  <c r="E77" i="14"/>
  <c r="D77" i="14"/>
  <c r="C77" i="14"/>
  <c r="B77" i="14"/>
  <c r="A77" i="14"/>
  <c r="E76" i="14"/>
  <c r="D76" i="14"/>
  <c r="C76" i="14"/>
  <c r="B76" i="14"/>
  <c r="A76" i="14"/>
  <c r="E75" i="14"/>
  <c r="D75" i="14"/>
  <c r="C75" i="14"/>
  <c r="B75" i="14"/>
  <c r="A75" i="14"/>
  <c r="E74" i="14"/>
  <c r="D74" i="14"/>
  <c r="C74" i="14"/>
  <c r="B74" i="14"/>
  <c r="A74" i="14"/>
  <c r="E73" i="14"/>
  <c r="D73" i="14"/>
  <c r="C73" i="14"/>
  <c r="B73" i="14"/>
  <c r="A73" i="14"/>
  <c r="E72" i="14"/>
  <c r="D72" i="14"/>
  <c r="C72" i="14"/>
  <c r="B72" i="14"/>
  <c r="A72" i="14"/>
  <c r="E71" i="14"/>
  <c r="D71" i="14"/>
  <c r="C71" i="14"/>
  <c r="B71" i="14"/>
  <c r="A71" i="14"/>
  <c r="E70" i="14"/>
  <c r="D70" i="14"/>
  <c r="C70" i="14"/>
  <c r="B70" i="14"/>
  <c r="A70" i="14"/>
  <c r="E69" i="14"/>
  <c r="D69" i="14"/>
  <c r="C69" i="14"/>
  <c r="B69" i="14"/>
  <c r="A69" i="14"/>
  <c r="E68" i="14"/>
  <c r="D68" i="14"/>
  <c r="C68" i="14"/>
  <c r="B68" i="14"/>
  <c r="A68" i="14"/>
  <c r="E67" i="14"/>
  <c r="D67" i="14"/>
  <c r="C67" i="14"/>
  <c r="B67" i="14"/>
  <c r="A67" i="14"/>
  <c r="E66" i="14"/>
  <c r="D66" i="14"/>
  <c r="C66" i="14"/>
  <c r="B66" i="14"/>
  <c r="A66" i="14"/>
  <c r="E65" i="14"/>
  <c r="D65" i="14"/>
  <c r="C65" i="14"/>
  <c r="B65" i="14"/>
  <c r="A65" i="14"/>
  <c r="E64" i="14"/>
  <c r="D64" i="14"/>
  <c r="C64" i="14"/>
  <c r="B64" i="14"/>
  <c r="A64" i="14"/>
  <c r="E63" i="14"/>
  <c r="D63" i="14"/>
  <c r="C63" i="14"/>
  <c r="B63" i="14"/>
  <c r="A63" i="14"/>
  <c r="E62" i="14"/>
  <c r="D62" i="14"/>
  <c r="C62" i="14"/>
  <c r="B62" i="14"/>
  <c r="A62" i="14"/>
  <c r="E61" i="14"/>
  <c r="D61" i="14"/>
  <c r="C61" i="14"/>
  <c r="B61" i="14"/>
  <c r="A61" i="14"/>
  <c r="E60" i="14"/>
  <c r="D60" i="14"/>
  <c r="C60" i="14"/>
  <c r="B60" i="14"/>
  <c r="A60" i="14"/>
  <c r="E59" i="14"/>
  <c r="D59" i="14"/>
  <c r="C59" i="14"/>
  <c r="A59" i="14"/>
  <c r="E58" i="14"/>
  <c r="D58" i="14"/>
  <c r="C58" i="14"/>
  <c r="B58" i="14"/>
  <c r="A58" i="14"/>
  <c r="E57" i="14"/>
  <c r="D57" i="14"/>
  <c r="C57" i="14"/>
  <c r="B57" i="14"/>
  <c r="A57" i="14"/>
  <c r="E56" i="14"/>
  <c r="D56" i="14"/>
  <c r="C56" i="14"/>
  <c r="B56" i="14"/>
  <c r="A56" i="14"/>
  <c r="E55" i="14"/>
  <c r="D55" i="14"/>
  <c r="C55" i="14"/>
  <c r="B55" i="14"/>
  <c r="A55" i="14"/>
  <c r="E54" i="14"/>
  <c r="D54" i="14"/>
  <c r="C54" i="14"/>
  <c r="B54" i="14"/>
  <c r="A54" i="14"/>
  <c r="E53" i="14"/>
  <c r="D53" i="14"/>
  <c r="C53" i="14"/>
  <c r="B53" i="14"/>
  <c r="A53" i="14"/>
  <c r="E52" i="14"/>
  <c r="D52" i="14"/>
  <c r="C52" i="14"/>
  <c r="A52" i="14"/>
  <c r="E51" i="14"/>
  <c r="D51" i="14"/>
  <c r="C51" i="14"/>
  <c r="B51" i="14"/>
  <c r="A51" i="14"/>
  <c r="E50" i="14"/>
  <c r="D50" i="14"/>
  <c r="C50" i="14"/>
  <c r="B50" i="14"/>
  <c r="A50" i="14"/>
  <c r="E49" i="14"/>
  <c r="D49" i="14"/>
  <c r="C49" i="14"/>
  <c r="B49" i="14"/>
  <c r="A49" i="14"/>
  <c r="E48" i="14"/>
  <c r="D48" i="14"/>
  <c r="C48" i="14"/>
  <c r="B48" i="14"/>
  <c r="A48" i="14"/>
  <c r="E47" i="14"/>
  <c r="D47" i="14"/>
  <c r="C47" i="14"/>
  <c r="B47" i="14"/>
  <c r="A47" i="14"/>
  <c r="E46" i="14"/>
  <c r="D46" i="14"/>
  <c r="C46" i="14"/>
  <c r="B46" i="14"/>
  <c r="A46" i="14"/>
  <c r="E45" i="14"/>
  <c r="D45" i="14"/>
  <c r="C45" i="14"/>
  <c r="B45" i="14"/>
  <c r="A45" i="14"/>
  <c r="E44" i="14"/>
  <c r="D44" i="14"/>
  <c r="C44" i="14"/>
  <c r="B44" i="14"/>
  <c r="A44" i="14"/>
  <c r="E43" i="14"/>
  <c r="D43" i="14"/>
  <c r="C43" i="14"/>
  <c r="B43" i="14"/>
  <c r="A43" i="14"/>
  <c r="E42" i="14"/>
  <c r="D42" i="14"/>
  <c r="C42" i="14"/>
  <c r="B42" i="14"/>
  <c r="A42" i="14"/>
  <c r="E41" i="14"/>
  <c r="D41" i="14"/>
  <c r="C41" i="14"/>
  <c r="B41" i="14"/>
  <c r="A41" i="14"/>
  <c r="E40" i="14"/>
  <c r="D40" i="14"/>
  <c r="C40" i="14"/>
  <c r="B40" i="14"/>
  <c r="A40" i="14"/>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B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A6" i="14"/>
  <c r="E5" i="14"/>
  <c r="D5" i="14"/>
  <c r="C5" i="14"/>
  <c r="B5" i="14"/>
  <c r="A5" i="14"/>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B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B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B6" i="12"/>
  <c r="A6" i="12"/>
  <c r="E5" i="12"/>
  <c r="D5" i="12"/>
  <c r="C5" i="12"/>
  <c r="A5" i="12"/>
  <c r="E4" i="12"/>
  <c r="D4" i="12"/>
  <c r="C4" i="12"/>
  <c r="B4" i="12"/>
  <c r="A4" i="12"/>
  <c r="E48" i="10"/>
  <c r="D48" i="10"/>
  <c r="C48" i="10"/>
  <c r="B48" i="10"/>
  <c r="A48" i="10"/>
  <c r="E47" i="10"/>
  <c r="D47" i="10"/>
  <c r="C47" i="10"/>
  <c r="B47" i="10"/>
  <c r="A47" i="10"/>
  <c r="E46" i="10"/>
  <c r="D46" i="10"/>
  <c r="C46" i="10"/>
  <c r="B46" i="10"/>
  <c r="A46" i="10"/>
  <c r="E45" i="10"/>
  <c r="D45" i="10"/>
  <c r="C45" i="10"/>
  <c r="B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B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A27" i="10"/>
  <c r="E26" i="10"/>
  <c r="D26" i="10"/>
  <c r="C26" i="10"/>
  <c r="B26" i="10"/>
  <c r="A26" i="10"/>
  <c r="E25" i="10"/>
  <c r="D25" i="10"/>
  <c r="C25" i="10"/>
  <c r="B25" i="10"/>
  <c r="A25" i="10"/>
  <c r="E24" i="10"/>
  <c r="D24" i="10"/>
  <c r="C24" i="10"/>
  <c r="B24" i="10"/>
  <c r="A24" i="10"/>
  <c r="E23" i="10"/>
  <c r="D23" i="10"/>
  <c r="C23" i="10"/>
  <c r="B23" i="10"/>
  <c r="A23" i="10"/>
  <c r="E22" i="10"/>
  <c r="D22" i="10"/>
  <c r="C22" i="10"/>
  <c r="B22" i="10"/>
  <c r="A22" i="10"/>
  <c r="E21" i="10"/>
  <c r="D21" i="10"/>
  <c r="C21" i="10"/>
  <c r="B21" i="10"/>
  <c r="A21" i="10"/>
  <c r="E20" i="10"/>
  <c r="D20" i="10"/>
  <c r="C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A6" i="10"/>
  <c r="E5" i="10"/>
  <c r="D5" i="10"/>
  <c r="C5" i="10"/>
  <c r="B5" i="10"/>
  <c r="A5" i="10"/>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B6" i="6"/>
  <c r="A6" i="6"/>
  <c r="E5" i="6"/>
  <c r="D5" i="6"/>
  <c r="C5" i="6"/>
  <c r="B5" i="6"/>
  <c r="A5" i="6"/>
  <c r="E4" i="6"/>
  <c r="D4" i="6"/>
  <c r="C4" i="6"/>
  <c r="A4" i="6"/>
  <c r="E3" i="6"/>
  <c r="D3" i="6"/>
  <c r="C3" i="6"/>
  <c r="B3" i="6"/>
  <c r="A3" i="6"/>
  <c r="E137" i="4"/>
  <c r="D137" i="4"/>
  <c r="C137" i="4"/>
  <c r="B137" i="4"/>
  <c r="A137" i="4"/>
  <c r="E136" i="4"/>
  <c r="D136" i="4"/>
  <c r="C136" i="4"/>
  <c r="B136" i="4"/>
  <c r="A136" i="4"/>
  <c r="E135" i="4"/>
  <c r="D135" i="4"/>
  <c r="C135" i="4"/>
  <c r="B135" i="4"/>
  <c r="A135" i="4"/>
  <c r="E134" i="4"/>
  <c r="D134" i="4"/>
  <c r="C134" i="4"/>
  <c r="B134" i="4"/>
  <c r="A134" i="4"/>
  <c r="E133" i="4"/>
  <c r="D133" i="4"/>
  <c r="C133" i="4"/>
  <c r="B133" i="4"/>
  <c r="A133" i="4"/>
  <c r="E132" i="4"/>
  <c r="D132" i="4"/>
  <c r="C132" i="4"/>
  <c r="B132" i="4"/>
  <c r="A132" i="4"/>
  <c r="E131" i="4"/>
  <c r="D131" i="4"/>
  <c r="C131" i="4"/>
  <c r="B131" i="4"/>
  <c r="A131" i="4"/>
  <c r="E130" i="4"/>
  <c r="D130" i="4"/>
  <c r="C130" i="4"/>
  <c r="B130" i="4"/>
  <c r="A130" i="4"/>
  <c r="E129" i="4"/>
  <c r="D129" i="4"/>
  <c r="C129" i="4"/>
  <c r="B129" i="4"/>
  <c r="A129" i="4"/>
  <c r="E128" i="4"/>
  <c r="D128" i="4"/>
  <c r="C128" i="4"/>
  <c r="B128" i="4"/>
  <c r="A128" i="4"/>
  <c r="E127" i="4"/>
  <c r="D127" i="4"/>
  <c r="C127" i="4"/>
  <c r="B127" i="4"/>
  <c r="A127" i="4"/>
  <c r="E126" i="4"/>
  <c r="D126" i="4"/>
  <c r="C126" i="4"/>
  <c r="B126" i="4"/>
  <c r="A126" i="4"/>
  <c r="E125" i="4"/>
  <c r="D125" i="4"/>
  <c r="C125" i="4"/>
  <c r="B125" i="4"/>
  <c r="A125" i="4"/>
  <c r="E124" i="4"/>
  <c r="D124" i="4"/>
  <c r="C124" i="4"/>
  <c r="B124" i="4"/>
  <c r="A124" i="4"/>
  <c r="E123" i="4"/>
  <c r="D123" i="4"/>
  <c r="C123" i="4"/>
  <c r="B123" i="4"/>
  <c r="A123" i="4"/>
  <c r="E122" i="4"/>
  <c r="D122" i="4"/>
  <c r="C122" i="4"/>
  <c r="B122" i="4"/>
  <c r="A122" i="4"/>
  <c r="E121" i="4"/>
  <c r="D121" i="4"/>
  <c r="C121" i="4"/>
  <c r="B121" i="4"/>
  <c r="A121" i="4"/>
  <c r="E120" i="4"/>
  <c r="D120" i="4"/>
  <c r="C120" i="4"/>
  <c r="B120" i="4"/>
  <c r="A120" i="4"/>
  <c r="E119" i="4"/>
  <c r="D119" i="4"/>
  <c r="C119" i="4"/>
  <c r="B119" i="4"/>
  <c r="A119" i="4"/>
  <c r="E118" i="4"/>
  <c r="D118" i="4"/>
  <c r="C118" i="4"/>
  <c r="B118" i="4"/>
  <c r="A118" i="4"/>
  <c r="E117" i="4"/>
  <c r="D117" i="4"/>
  <c r="C117" i="4"/>
  <c r="B117" i="4"/>
  <c r="A117" i="4"/>
  <c r="E116" i="4"/>
  <c r="D116" i="4"/>
  <c r="C116" i="4"/>
  <c r="A116" i="4"/>
  <c r="E115" i="4"/>
  <c r="D115" i="4"/>
  <c r="C115" i="4"/>
  <c r="B115" i="4"/>
  <c r="A115" i="4"/>
  <c r="E114" i="4"/>
  <c r="D114" i="4"/>
  <c r="C114" i="4"/>
  <c r="B114" i="4"/>
  <c r="A114" i="4"/>
  <c r="E113" i="4"/>
  <c r="D113" i="4"/>
  <c r="C113" i="4"/>
  <c r="B113" i="4"/>
  <c r="A113" i="4"/>
  <c r="E112" i="4"/>
  <c r="D112" i="4"/>
  <c r="C112" i="4"/>
  <c r="B112" i="4"/>
  <c r="A112" i="4"/>
  <c r="E111" i="4"/>
  <c r="D111" i="4"/>
  <c r="C111" i="4"/>
  <c r="B111" i="4"/>
  <c r="A111" i="4"/>
  <c r="E110" i="4"/>
  <c r="D110" i="4"/>
  <c r="C110" i="4"/>
  <c r="B110" i="4"/>
  <c r="A110" i="4"/>
  <c r="E109" i="4"/>
  <c r="D109" i="4"/>
  <c r="C109" i="4"/>
  <c r="B109" i="4"/>
  <c r="A109" i="4"/>
  <c r="E108" i="4"/>
  <c r="D108" i="4"/>
  <c r="C108" i="4"/>
  <c r="B108" i="4"/>
  <c r="A108" i="4"/>
  <c r="E107" i="4"/>
  <c r="D107" i="4"/>
  <c r="C107" i="4"/>
  <c r="B107" i="4"/>
  <c r="A107" i="4"/>
  <c r="E106" i="4"/>
  <c r="D106" i="4"/>
  <c r="C106" i="4"/>
  <c r="B106" i="4"/>
  <c r="A106" i="4"/>
  <c r="E105" i="4"/>
  <c r="D105" i="4"/>
  <c r="C105" i="4"/>
  <c r="B105" i="4"/>
  <c r="A105" i="4"/>
  <c r="E104" i="4"/>
  <c r="D104" i="4"/>
  <c r="C104" i="4"/>
  <c r="B104" i="4"/>
  <c r="A104" i="4"/>
  <c r="E103" i="4"/>
  <c r="D103" i="4"/>
  <c r="C103" i="4"/>
  <c r="B103" i="4"/>
  <c r="A103" i="4"/>
  <c r="E102" i="4"/>
  <c r="D102" i="4"/>
  <c r="C102" i="4"/>
  <c r="B102" i="4"/>
  <c r="A102" i="4"/>
  <c r="E101" i="4"/>
  <c r="D101" i="4"/>
  <c r="C101" i="4"/>
  <c r="B101" i="4"/>
  <c r="A101" i="4"/>
  <c r="E100" i="4"/>
  <c r="D100" i="4"/>
  <c r="C100" i="4"/>
  <c r="B100" i="4"/>
  <c r="A100" i="4"/>
  <c r="E99" i="4"/>
  <c r="D99" i="4"/>
  <c r="C99" i="4"/>
  <c r="B99" i="4"/>
  <c r="A99" i="4"/>
  <c r="E98" i="4"/>
  <c r="D98" i="4"/>
  <c r="C98" i="4"/>
  <c r="B98" i="4"/>
  <c r="A98" i="4"/>
  <c r="E97" i="4"/>
  <c r="D97" i="4"/>
  <c r="C97" i="4"/>
  <c r="B97" i="4"/>
  <c r="A97" i="4"/>
  <c r="E96" i="4"/>
  <c r="D96" i="4"/>
  <c r="C96" i="4"/>
  <c r="B96" i="4"/>
  <c r="A96" i="4"/>
  <c r="E95" i="4"/>
  <c r="D95" i="4"/>
  <c r="C95" i="4"/>
  <c r="B95" i="4"/>
  <c r="A95" i="4"/>
  <c r="E94" i="4"/>
  <c r="D94" i="4"/>
  <c r="C94" i="4"/>
  <c r="B94" i="4"/>
  <c r="A94" i="4"/>
  <c r="E93" i="4"/>
  <c r="D93" i="4"/>
  <c r="C93" i="4"/>
  <c r="B93" i="4"/>
  <c r="A93" i="4"/>
  <c r="E92" i="4"/>
  <c r="D92" i="4"/>
  <c r="C92" i="4"/>
  <c r="B92" i="4"/>
  <c r="A92" i="4"/>
  <c r="E91" i="4"/>
  <c r="D91" i="4"/>
  <c r="C91" i="4"/>
  <c r="B91" i="4"/>
  <c r="A91" i="4"/>
  <c r="E90" i="4"/>
  <c r="D90" i="4"/>
  <c r="C90" i="4"/>
  <c r="B90" i="4"/>
  <c r="A90" i="4"/>
  <c r="E89" i="4"/>
  <c r="D89" i="4"/>
  <c r="C89" i="4"/>
  <c r="B89" i="4"/>
  <c r="A89" i="4"/>
  <c r="E88" i="4"/>
  <c r="D88" i="4"/>
  <c r="C88" i="4"/>
  <c r="B88" i="4"/>
  <c r="A88" i="4"/>
  <c r="E87" i="4"/>
  <c r="D87" i="4"/>
  <c r="C87" i="4"/>
  <c r="B87" i="4"/>
  <c r="A87" i="4"/>
  <c r="E86" i="4"/>
  <c r="D86" i="4"/>
  <c r="C86" i="4"/>
  <c r="B86" i="4"/>
  <c r="A86" i="4"/>
  <c r="E85" i="4"/>
  <c r="D85" i="4"/>
  <c r="C85" i="4"/>
  <c r="B85" i="4"/>
  <c r="A85" i="4"/>
  <c r="E84" i="4"/>
  <c r="D84" i="4"/>
  <c r="C84" i="4"/>
  <c r="B84" i="4"/>
  <c r="A84" i="4"/>
  <c r="E83" i="4"/>
  <c r="D83" i="4"/>
  <c r="C83" i="4"/>
  <c r="B83" i="4"/>
  <c r="A83" i="4"/>
  <c r="E82" i="4"/>
  <c r="D82" i="4"/>
  <c r="C82" i="4"/>
  <c r="B82" i="4"/>
  <c r="A82" i="4"/>
  <c r="E81" i="4"/>
  <c r="D81" i="4"/>
  <c r="C81" i="4"/>
  <c r="B81" i="4"/>
  <c r="A81" i="4"/>
  <c r="E80" i="4"/>
  <c r="D80" i="4"/>
  <c r="C80" i="4"/>
  <c r="B80" i="4"/>
  <c r="A80" i="4"/>
  <c r="E79" i="4"/>
  <c r="D79" i="4"/>
  <c r="C79" i="4"/>
  <c r="B79" i="4"/>
  <c r="A79" i="4"/>
  <c r="E78" i="4"/>
  <c r="D78" i="4"/>
  <c r="C78" i="4"/>
  <c r="B78" i="4"/>
  <c r="A78" i="4"/>
  <c r="E77" i="4"/>
  <c r="D77" i="4"/>
  <c r="C77" i="4"/>
  <c r="B77" i="4"/>
  <c r="A77" i="4"/>
  <c r="E76" i="4"/>
  <c r="D76" i="4"/>
  <c r="C76" i="4"/>
  <c r="B76" i="4"/>
  <c r="A76" i="4"/>
  <c r="E75" i="4"/>
  <c r="D75" i="4"/>
  <c r="C75" i="4"/>
  <c r="B75" i="4"/>
  <c r="A75" i="4"/>
  <c r="E74" i="4"/>
  <c r="D74" i="4"/>
  <c r="C74" i="4"/>
  <c r="B74" i="4"/>
  <c r="A74" i="4"/>
  <c r="E73" i="4"/>
  <c r="D73" i="4"/>
  <c r="C73" i="4"/>
  <c r="B73" i="4"/>
  <c r="A73" i="4"/>
  <c r="E72" i="4"/>
  <c r="D72" i="4"/>
  <c r="C72" i="4"/>
  <c r="B72" i="4"/>
  <c r="A72" i="4"/>
  <c r="E71" i="4"/>
  <c r="D71" i="4"/>
  <c r="C71" i="4"/>
  <c r="B71" i="4"/>
  <c r="A71" i="4"/>
  <c r="E70" i="4"/>
  <c r="D70" i="4"/>
  <c r="C70" i="4"/>
  <c r="B70" i="4"/>
  <c r="A70" i="4"/>
  <c r="E69" i="4"/>
  <c r="D69" i="4"/>
  <c r="C69" i="4"/>
  <c r="B69" i="4"/>
  <c r="A69" i="4"/>
  <c r="E68" i="4"/>
  <c r="D68" i="4"/>
  <c r="C68" i="4"/>
  <c r="B68" i="4"/>
  <c r="A68" i="4"/>
  <c r="E67" i="4"/>
  <c r="D67" i="4"/>
  <c r="C67" i="4"/>
  <c r="B67" i="4"/>
  <c r="A67" i="4"/>
  <c r="E66" i="4"/>
  <c r="D66" i="4"/>
  <c r="C66" i="4"/>
  <c r="B66" i="4"/>
  <c r="A66" i="4"/>
  <c r="E65" i="4"/>
  <c r="D65" i="4"/>
  <c r="C65" i="4"/>
  <c r="B65" i="4"/>
  <c r="A65" i="4"/>
  <c r="E64" i="4"/>
  <c r="D64" i="4"/>
  <c r="C64" i="4"/>
  <c r="B64" i="4"/>
  <c r="A64" i="4"/>
  <c r="E63" i="4"/>
  <c r="D63" i="4"/>
  <c r="C63" i="4"/>
  <c r="B63" i="4"/>
  <c r="A63" i="4"/>
  <c r="E62" i="4"/>
  <c r="D62" i="4"/>
  <c r="C62" i="4"/>
  <c r="B62" i="4"/>
  <c r="A62" i="4"/>
  <c r="E61" i="4"/>
  <c r="D61" i="4"/>
  <c r="C61" i="4"/>
  <c r="B61" i="4"/>
  <c r="A61" i="4"/>
  <c r="E60" i="4"/>
  <c r="D60" i="4"/>
  <c r="C60" i="4"/>
  <c r="B60" i="4"/>
  <c r="A60" i="4"/>
  <c r="E59" i="4"/>
  <c r="D59" i="4"/>
  <c r="C59" i="4"/>
  <c r="B59" i="4"/>
  <c r="A59" i="4"/>
  <c r="E58" i="4"/>
  <c r="D58" i="4"/>
  <c r="C58" i="4"/>
  <c r="B58" i="4"/>
  <c r="A58" i="4"/>
  <c r="E57" i="4"/>
  <c r="D57" i="4"/>
  <c r="C57" i="4"/>
  <c r="B57" i="4"/>
  <c r="A57" i="4"/>
  <c r="E56" i="4"/>
  <c r="D56" i="4"/>
  <c r="C56" i="4"/>
  <c r="B56" i="4"/>
  <c r="A56" i="4"/>
  <c r="E55" i="4"/>
  <c r="D55" i="4"/>
  <c r="C55" i="4"/>
  <c r="B55" i="4"/>
  <c r="A55" i="4"/>
  <c r="E54" i="4"/>
  <c r="D54" i="4"/>
  <c r="C54" i="4"/>
  <c r="B54" i="4"/>
  <c r="A54" i="4"/>
  <c r="E53" i="4"/>
  <c r="D53" i="4"/>
  <c r="C53" i="4"/>
  <c r="B53" i="4"/>
  <c r="A53" i="4"/>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32" i="4"/>
  <c r="D32" i="4"/>
  <c r="C32" i="4"/>
  <c r="B32" i="4"/>
  <c r="A32" i="4"/>
  <c r="E31" i="4"/>
  <c r="D31" i="4"/>
  <c r="C31" i="4"/>
  <c r="B31" i="4"/>
  <c r="A31" i="4"/>
  <c r="E30" i="4"/>
  <c r="D30" i="4"/>
  <c r="C30" i="4"/>
  <c r="B30" i="4"/>
  <c r="A30" i="4"/>
  <c r="E29" i="4"/>
  <c r="D29" i="4"/>
  <c r="C29" i="4"/>
  <c r="B29" i="4"/>
  <c r="A29" i="4"/>
  <c r="E28" i="4"/>
  <c r="D28" i="4"/>
  <c r="C28" i="4"/>
  <c r="B28" i="4"/>
  <c r="A28" i="4"/>
  <c r="E27" i="4"/>
  <c r="D27" i="4"/>
  <c r="C27" i="4"/>
  <c r="B27" i="4"/>
  <c r="A27" i="4"/>
  <c r="E26" i="4"/>
  <c r="D26" i="4"/>
  <c r="C26" i="4"/>
  <c r="B26" i="4"/>
  <c r="A26" i="4"/>
  <c r="E25" i="4"/>
  <c r="D25" i="4"/>
  <c r="C25" i="4"/>
  <c r="B25" i="4"/>
  <c r="A25" i="4"/>
  <c r="E24" i="4"/>
  <c r="D24" i="4"/>
  <c r="C24" i="4"/>
  <c r="B24" i="4"/>
  <c r="A24" i="4"/>
  <c r="E23" i="4"/>
  <c r="D23" i="4"/>
  <c r="C23" i="4"/>
  <c r="B23" i="4"/>
  <c r="A23" i="4"/>
  <c r="E22" i="4"/>
  <c r="D22" i="4"/>
  <c r="C22" i="4"/>
  <c r="B22" i="4"/>
  <c r="A22" i="4"/>
  <c r="E21" i="4"/>
  <c r="D21" i="4"/>
  <c r="C21" i="4"/>
  <c r="B21" i="4"/>
  <c r="A21" i="4"/>
  <c r="E20" i="4"/>
  <c r="D20" i="4"/>
  <c r="C20" i="4"/>
  <c r="B20" i="4"/>
  <c r="A20" i="4"/>
  <c r="E19" i="4"/>
  <c r="D19" i="4"/>
  <c r="C19" i="4"/>
  <c r="B19" i="4"/>
  <c r="A19" i="4"/>
  <c r="E18" i="4"/>
  <c r="D18" i="4"/>
  <c r="C18" i="4"/>
  <c r="B18" i="4"/>
  <c r="A18" i="4"/>
  <c r="E17" i="4"/>
  <c r="D17" i="4"/>
  <c r="C17" i="4"/>
  <c r="B17" i="4"/>
  <c r="A17" i="4"/>
  <c r="E16" i="4"/>
  <c r="D16" i="4"/>
  <c r="C16" i="4"/>
  <c r="B16" i="4"/>
  <c r="A16" i="4"/>
  <c r="E15" i="4"/>
  <c r="D15" i="4"/>
  <c r="C15" i="4"/>
  <c r="B15" i="4"/>
  <c r="A15" i="4"/>
  <c r="E14" i="4"/>
  <c r="D14" i="4"/>
  <c r="C14" i="4"/>
  <c r="B14" i="4"/>
  <c r="A14" i="4"/>
  <c r="E13" i="4"/>
  <c r="D13" i="4"/>
  <c r="C13" i="4"/>
  <c r="B13" i="4"/>
  <c r="A13" i="4"/>
  <c r="E12" i="4"/>
  <c r="D12" i="4"/>
  <c r="C12" i="4"/>
  <c r="B12" i="4"/>
  <c r="A12" i="4"/>
  <c r="E11" i="4"/>
  <c r="D11" i="4"/>
  <c r="C11" i="4"/>
  <c r="B11" i="4"/>
  <c r="A11" i="4"/>
  <c r="E10" i="4"/>
  <c r="D10" i="4"/>
  <c r="C10" i="4"/>
  <c r="B10" i="4"/>
  <c r="A10" i="4"/>
  <c r="E9" i="4"/>
  <c r="D9" i="4"/>
  <c r="C9" i="4"/>
  <c r="B9" i="4"/>
  <c r="A9" i="4"/>
  <c r="E8" i="4"/>
  <c r="D8" i="4"/>
  <c r="C8" i="4"/>
  <c r="B8" i="4"/>
  <c r="A8" i="4"/>
  <c r="E7" i="4"/>
  <c r="D7" i="4"/>
  <c r="C7" i="4"/>
  <c r="B7" i="4"/>
  <c r="A7" i="4"/>
  <c r="E6" i="4"/>
  <c r="D6" i="4"/>
  <c r="C6" i="4"/>
  <c r="A6" i="4"/>
  <c r="E5" i="4"/>
  <c r="D5" i="4"/>
  <c r="C5" i="4"/>
  <c r="B5" i="4"/>
  <c r="A5" i="4"/>
</calcChain>
</file>

<file path=xl/sharedStrings.xml><?xml version="1.0" encoding="utf-8"?>
<sst xmlns="http://schemas.openxmlformats.org/spreadsheetml/2006/main" count="1836" uniqueCount="769">
  <si>
    <t>STT</t>
  </si>
  <si>
    <t>Ghi chú</t>
  </si>
  <si>
    <t>Kính gửi: Ủy ban Chứng khoán Nhà nước</t>
  </si>
  <si>
    <t>Mã sheet</t>
  </si>
  <si>
    <t>Nội dung</t>
  </si>
  <si>
    <t/>
  </si>
  <si>
    <t>BÁO CÁO TÀI CHÍNH  RIÊNG LẺ</t>
  </si>
  <si>
    <t>Thông tư số 334/2016/TT-BTC ngày 27/12/2016 của Bộ Tài chính</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</si>
  <si>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</si>
  <si>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</si>
  <si>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</si>
  <si>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</si>
  <si>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</si>
  <si>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</si>
  <si>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</si>
  <si>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</si>
  <si>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</si>
  <si>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</si>
  <si>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</si>
  <si>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</si>
  <si>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</si>
  <si>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</si>
  <si>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</si>
  <si>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</si>
  <si>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</si>
  <si>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Người lập biểu</t>
  </si>
  <si>
    <t>Kế toán trưởng</t>
  </si>
  <si>
    <t>Giám đốc</t>
  </si>
  <si>
    <t>(Ký, họ tên)</t>
  </si>
  <si>
    <t>(Ký, họ tên, đóng dấu)</t>
  </si>
  <si>
    <t>Chỉ tiêu</t>
  </si>
  <si>
    <t>Mã số</t>
  </si>
  <si>
    <t>Thuyết minh</t>
  </si>
  <si>
    <t>Số cuối năm</t>
  </si>
  <si>
    <t>Số đầu năm</t>
  </si>
  <si>
    <t xml:space="preserve"> Đơn vị tính: Đồng Việt Nam</t>
  </si>
  <si>
    <t xml:space="preserve">226a
</t>
  </si>
  <si>
    <t xml:space="preserve">228
</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</si>
  <si>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</si>
  <si>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</si>
  <si>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</si>
  <si>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</si>
  <si>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</si>
  <si>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</si>
  <si>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</si>
  <si>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</si>
  <si>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</si>
  <si>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</si>
  <si>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</si>
  <si>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</si>
  <si>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</si>
  <si>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</si>
  <si>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</si>
  <si>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</si>
  <si>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</si>
  <si>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</si>
  <si>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</si>
  <si>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</si>
  <si>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</si>
  <si>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</si>
  <si>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</si>
  <si>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</si>
  <si>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6. Phải trả hoạt động giao dịch chứng khoán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</si>
  <si>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</si>
  <si>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</si>
  <si>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</si>
  <si>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</si>
  <si>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</si>
  <si>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</si>
  <si>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</si>
  <si>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</si>
  <si>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</si>
  <si>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</si>
  <si>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</si>
  <si>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</si>
  <si>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</si>
  <si>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</si>
  <si>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</si>
  <si>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</si>
  <si>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</si>
  <si>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</si>
  <si>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</si>
  <si>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 xml:space="preserve">221
</t>
  </si>
  <si>
    <t>111.1</t>
  </si>
  <si>
    <t>116</t>
  </si>
  <si>
    <t xml:space="preserve">117.1
</t>
  </si>
  <si>
    <t xml:space="preserve">a. Cổ phiếu phổ thông có quyền biểu quyết </t>
  </si>
  <si>
    <t>117.2</t>
  </si>
  <si>
    <t>131</t>
  </si>
  <si>
    <t xml:space="preserve">138
</t>
  </si>
  <si>
    <t xml:space="preserve">200
</t>
  </si>
  <si>
    <t>210</t>
  </si>
  <si>
    <t xml:space="preserve">411.4
</t>
  </si>
  <si>
    <t>2.4. Đầu tư dài hạn khác</t>
  </si>
  <si>
    <t xml:space="preserve">1.4. Vốn khác của chủ sở hữu </t>
  </si>
  <si>
    <t>5. Quỹ dự phòng tài chính và rủi ro nghiệp vụ</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</si>
  <si>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</si>
  <si>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</si>
  <si>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</si>
  <si>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</si>
  <si>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</si>
  <si>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</si>
  <si>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</si>
  <si>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</si>
  <si>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</si>
  <si>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</si>
  <si>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</si>
  <si>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</si>
  <si>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110</t>
  </si>
  <si>
    <t xml:space="preserve">212
</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</si>
  <si>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</si>
  <si>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</si>
  <si>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</si>
  <si>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</si>
  <si>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</si>
  <si>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</si>
  <si>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</si>
  <si>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1. Cầm cố, thế chấp, ký quỹ, ký cược dài hạn</t>
  </si>
  <si>
    <t>114</t>
  </si>
  <si>
    <t>117</t>
  </si>
  <si>
    <t>122</t>
  </si>
  <si>
    <t xml:space="preserve">129
</t>
  </si>
  <si>
    <t>134</t>
  </si>
  <si>
    <t xml:space="preserve">213
</t>
  </si>
  <si>
    <t xml:space="preserve">315
</t>
  </si>
  <si>
    <t xml:space="preserve">317
</t>
  </si>
  <si>
    <t xml:space="preserve">341
</t>
  </si>
  <si>
    <t xml:space="preserve">357
</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</si>
  <si>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</si>
  <si>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</si>
  <si>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</si>
  <si>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</si>
  <si>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</si>
  <si>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</si>
  <si>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</si>
  <si>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</si>
  <si>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</si>
  <si>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</si>
  <si>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</si>
  <si>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</si>
  <si>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 xml:space="preserve">413
</t>
  </si>
  <si>
    <t xml:space="preserve">415
</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</si>
  <si>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</si>
  <si>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</si>
  <si>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</si>
  <si>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</si>
  <si>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</si>
  <si>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</si>
  <si>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</si>
  <si>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</si>
  <si>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</si>
  <si>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</si>
  <si>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</si>
  <si>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(440 = 300 + 400)
</t>
  </si>
  <si>
    <t>2. Chi phí trả trước dài hạn</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</si>
  <si>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</si>
  <si>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</si>
  <si>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</si>
  <si>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</si>
  <si>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</si>
  <si>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</si>
  <si>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</si>
  <si>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</si>
  <si>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</si>
  <si>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</si>
  <si>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</si>
  <si>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</si>
  <si>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</si>
  <si>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</si>
  <si>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</si>
  <si>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</si>
  <si>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</si>
  <si>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</si>
  <si>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</si>
  <si>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</si>
  <si>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 xml:space="preserve">  - Đánh giá TSCĐVH theo giá trị hợp lý</t>
  </si>
  <si>
    <t>5. Tài sản dài hạn khác</t>
  </si>
  <si>
    <t xml:space="preserve">414
</t>
  </si>
  <si>
    <t xml:space="preserve">416
</t>
  </si>
  <si>
    <t xml:space="preserve">417.1
</t>
  </si>
  <si>
    <t>1.2. Nợ thuê tài chính ngắn hạn</t>
  </si>
  <si>
    <t xml:space="preserve">417
</t>
  </si>
  <si>
    <t xml:space="preserve">417.2
</t>
  </si>
  <si>
    <t>3. Tài sản thuế thu nhập hoãn lại</t>
  </si>
  <si>
    <t>I. Nợ phải trả ngắn hạn</t>
  </si>
  <si>
    <t xml:space="preserve">1.1. Vay ngắn hạn </t>
  </si>
  <si>
    <t>17.Các khoản phải trả, phải nộp khác ngắn hạn</t>
  </si>
  <si>
    <t xml:space="preserve">112
</t>
  </si>
  <si>
    <t>1.1.Vay dài hạn</t>
  </si>
  <si>
    <t xml:space="preserve"> 6. Người mua trả tiền trước dài hạn</t>
  </si>
  <si>
    <t>11. Các khoản phải trả, phải nộp khác dài hạn</t>
  </si>
  <si>
    <t>7. Phải trả về lỗi giao dịch các tài sản tài chính</t>
  </si>
  <si>
    <t>8.  Phải trả người bán ngắn hạn</t>
  </si>
  <si>
    <t xml:space="preserve">212.3
</t>
  </si>
  <si>
    <t>440</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</si>
  <si>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</si>
  <si>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</si>
  <si>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</si>
  <si>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</si>
  <si>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</si>
  <si>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</si>
  <si>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</si>
  <si>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</si>
  <si>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</si>
  <si>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</si>
  <si>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</si>
  <si>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3. Chi phí trả trước ngắn hạn</t>
  </si>
  <si>
    <t>9. Dự phòng suy giảm giá trị tài sản ngắn hạn khác</t>
  </si>
  <si>
    <t>2.1.Các khoản đầu tư nắm giữ đến ngày đáo hạn</t>
  </si>
  <si>
    <t>1. Các khoản phải thu dài hạn</t>
  </si>
  <si>
    <t>TÀI SẢN</t>
  </si>
  <si>
    <t>10. Thuế và các khoản phải nộp Nhà nước</t>
  </si>
  <si>
    <t>11. Phải trả người lao động</t>
  </si>
  <si>
    <t>9. Người mua trả tiền trước ngắn hạn</t>
  </si>
  <si>
    <t>12.Các khoản trích nộp phúc lợi nhân viên</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</si>
  <si>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</si>
  <si>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</si>
  <si>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</si>
  <si>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</si>
  <si>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</si>
  <si>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</si>
  <si>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</si>
  <si>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 xml:space="preserve">TỔNG CỘNG NỢ  VÀ VỐN CHỦ SỞ HỮU </t>
  </si>
  <si>
    <t>1</t>
  </si>
  <si>
    <t>I. Vốn chủ sở hữu</t>
  </si>
  <si>
    <t>1.2. Thặng dư vốn cổ phần</t>
  </si>
  <si>
    <t>2. Chênh lệch đánh giá tài sản theo giá trị hợp lý</t>
  </si>
  <si>
    <t>6. Các Quỹ khác thuộc vốn chủ sở hữu</t>
  </si>
  <si>
    <t xml:space="preserve">II. Nguồn kinh phí và quỹ khác </t>
  </si>
  <si>
    <t xml:space="preserve">411.1
</t>
  </si>
  <si>
    <t xml:space="preserve">411.1b
</t>
  </si>
  <si>
    <t>II. Nợ phải trả dài hạn</t>
  </si>
  <si>
    <t>1. Vay và nợ thuê tài chính dài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</si>
  <si>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</si>
  <si>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</si>
  <si>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</si>
  <si>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</si>
  <si>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</si>
  <si>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</si>
  <si>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</si>
  <si>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</si>
  <si>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</si>
  <si>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</si>
  <si>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</si>
  <si>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</si>
  <si>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</si>
  <si>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</si>
  <si>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</si>
  <si>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</si>
  <si>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</si>
  <si>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</si>
  <si>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</si>
  <si>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</si>
  <si>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</si>
  <si>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</si>
  <si>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</si>
  <si>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</si>
  <si>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</si>
  <si>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</si>
  <si>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</si>
  <si>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</si>
  <si>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</si>
  <si>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</si>
  <si>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</si>
  <si>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</si>
  <si>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</si>
  <si>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</si>
  <si>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</si>
  <si>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</si>
  <si>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</si>
  <si>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</si>
  <si>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</si>
  <si>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</si>
  <si>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</si>
  <si>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</si>
  <si>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</si>
  <si>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</si>
  <si>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</si>
  <si>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</si>
  <si>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</si>
  <si>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227
</t>
  </si>
  <si>
    <t xml:space="preserve">250
</t>
  </si>
  <si>
    <t xml:space="preserve">255
</t>
  </si>
  <si>
    <t xml:space="preserve">420
</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</si>
  <si>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</si>
  <si>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</si>
  <si>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</si>
  <si>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</si>
  <si>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</si>
  <si>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</si>
  <si>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</si>
  <si>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332
</t>
  </si>
  <si>
    <t xml:space="preserve">344
</t>
  </si>
  <si>
    <t xml:space="preserve">220
</t>
  </si>
  <si>
    <t xml:space="preserve">222
</t>
  </si>
  <si>
    <t xml:space="preserve">223a
</t>
  </si>
  <si>
    <t xml:space="preserve">223b
</t>
  </si>
  <si>
    <t xml:space="preserve">224
</t>
  </si>
  <si>
    <t xml:space="preserve">7.3. Tiền gửi bù trừ và thanh toán giao dịch chứng khoán
</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</si>
  <si>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</si>
  <si>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</si>
  <si>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</si>
  <si>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</si>
  <si>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</si>
  <si>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</si>
  <si>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</si>
  <si>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</si>
  <si>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</si>
  <si>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</si>
  <si>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</si>
  <si>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</si>
  <si>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</si>
  <si>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</si>
  <si>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 xml:space="preserve">8. Tài sản tài chính niêm yết/đăng ký giao dịch tại VSD của CTCK 
</t>
  </si>
  <si>
    <t xml:space="preserve">12. Tài sản tài chính chưa lưu ký tại VSD của CTCK 
</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</si>
  <si>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</si>
  <si>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</si>
  <si>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</si>
  <si>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</si>
  <si>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</si>
  <si>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</si>
  <si>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</si>
  <si>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</si>
  <si>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29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</si>
  <si>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</si>
  <si>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</si>
  <si>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</si>
  <si>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</si>
  <si>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</si>
  <si>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</si>
  <si>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</si>
  <si>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</si>
  <si>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</si>
  <si>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</si>
  <si>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</si>
  <si>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</si>
  <si>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</si>
  <si>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</si>
  <si>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</si>
  <si>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</si>
  <si>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</si>
  <si>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21.2</t>
  </si>
  <si>
    <t xml:space="preserve">21.3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</si>
  <si>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</si>
  <si>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</si>
  <si>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</si>
  <si>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</si>
  <si>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</si>
  <si>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</si>
  <si>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</si>
  <si>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</si>
  <si>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</si>
  <si>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13.Tài sản tài chính được hưởng quyền của CTCK 
</t>
  </si>
  <si>
    <t xml:space="preserve">a.Tài sản tài chính giao dịch tự do chuyển nhượng
</t>
  </si>
  <si>
    <t xml:space="preserve">c.Tài sản tài chính giao dịch cầm cố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</si>
  <si>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</si>
  <si>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</si>
  <si>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</si>
  <si>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</si>
  <si>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f. Tài sản tài chính chờ cho vay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</si>
  <si>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</si>
  <si>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</si>
  <si>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</si>
  <si>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</si>
  <si>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</si>
  <si>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</si>
  <si>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</si>
  <si>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4. Tài sản tài chính sửa lỗi giao dịch của Nhà đầu tư
</t>
  </si>
  <si>
    <t xml:space="preserve">5.Tài sản tài chính chưa lưu ký tại VSD của Nhà đầu tư
</t>
  </si>
  <si>
    <t xml:space="preserve">6.Tài sản tài chính được hưởng quyền của Nhà đầu tư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</si>
  <si>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</si>
  <si>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</si>
  <si>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</si>
  <si>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</si>
  <si>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</si>
  <si>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</si>
  <si>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</si>
  <si>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</si>
  <si>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</si>
  <si>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</si>
  <si>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</si>
  <si>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</si>
  <si>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10</t>
  </si>
  <si>
    <t>21</t>
  </si>
  <si>
    <t>6</t>
  </si>
  <si>
    <t>7</t>
  </si>
  <si>
    <t>CHỈ TIÊU</t>
  </si>
  <si>
    <t>Năm nay</t>
  </si>
  <si>
    <t>Năm trước</t>
  </si>
  <si>
    <t xml:space="preserve">Đơn vị tính: Đồng Việt Nam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</si>
  <si>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</si>
  <si>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</si>
  <si>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</si>
  <si>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</si>
  <si>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</si>
  <si>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</si>
  <si>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</si>
  <si>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</si>
  <si>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</si>
  <si>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</si>
  <si>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</si>
  <si>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</si>
  <si>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c. Cổ tức, tiền lãi phát sinh từ tài sản tài chính FVTPL
</t>
  </si>
  <si>
    <t xml:space="preserve">2.4. Chi phí dự phòng tài sản tài chính, xử lý tổn thất các khoản phải thu khó đòi và lỗ suy giảm tài sản tài chính và chi phí đi vay của các khoản cho vay
</t>
  </si>
  <si>
    <t xml:space="preserve">2.10. Chi phí nghiệp vụ lưu ký chứng khoán
</t>
  </si>
  <si>
    <t xml:space="preserve">2.11. Chi phí hoạt động tư vấn tài chính
</t>
  </si>
  <si>
    <t xml:space="preserve">IX. TỔNG LỢI NHUẬN KẾ TOÁN TRƯỚC THUẾ (90=70 + 80)
</t>
  </si>
  <si>
    <t xml:space="preserve">b.    Chênh lệch giảm đánh giá lại các TSTC FVTPL
</t>
  </si>
  <si>
    <t xml:space="preserve">2.8. Chi phí nghiệp vụ bảo lãnh, đại lý phát hành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</si>
  <si>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</si>
  <si>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</si>
  <si>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</si>
  <si>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</si>
  <si>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</si>
  <si>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</si>
  <si>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</si>
  <si>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 xml:space="preserve">Cộng kết quả hoạt động khác (80= 71-72)
</t>
  </si>
  <si>
    <t xml:space="preserve">4.2. Chi phí lãi vay
</t>
  </si>
  <si>
    <t xml:space="preserve">4.5. Chi phí tài chính khác
</t>
  </si>
  <si>
    <t xml:space="preserve">V. CHI PHÍ BÁN HÀNG
</t>
  </si>
  <si>
    <t xml:space="preserve">10.1.Chi phí thuế TNDN hiện hành
</t>
  </si>
  <si>
    <t xml:space="preserve">XII. THU NHẬP (LỖ) TOÀN DIỆN KHÁC SAU THUẾ TNDN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</si>
  <si>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</si>
  <si>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</si>
  <si>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</si>
  <si>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</si>
  <si>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2.1. Lỗ các tài sản tài chính ghi nhận thông qua lãi/lỗ (FVTPL)
</t>
  </si>
  <si>
    <t xml:space="preserve">2.9. Chi phí nghiệp vụ tư vấn đầu tư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</si>
  <si>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</si>
  <si>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</si>
  <si>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</si>
  <si>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</si>
  <si>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</si>
  <si>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26</t>
  </si>
  <si>
    <t xml:space="preserve">42
</t>
  </si>
  <si>
    <t xml:space="preserve">55
</t>
  </si>
  <si>
    <t xml:space="preserve">60
</t>
  </si>
  <si>
    <t xml:space="preserve">54
</t>
  </si>
  <si>
    <t xml:space="preserve">92
</t>
  </si>
  <si>
    <t xml:space="preserve">302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</si>
  <si>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</si>
  <si>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</si>
  <si>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</si>
  <si>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</si>
  <si>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</si>
  <si>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 xml:space="preserve">X. CHI PHÍ THUẾ TNDN
</t>
  </si>
  <si>
    <t xml:space="preserve">1.3
</t>
  </si>
  <si>
    <t xml:space="preserve">40
</t>
  </si>
  <si>
    <t xml:space="preserve">41
</t>
  </si>
  <si>
    <t xml:space="preserve">50
</t>
  </si>
  <si>
    <t xml:space="preserve">52
</t>
  </si>
  <si>
    <t xml:space="preserve">60
</t>
  </si>
  <si>
    <t xml:space="preserve">72
</t>
  </si>
  <si>
    <t xml:space="preserve">9.1. Lợi nhuận đã thực hiện
</t>
  </si>
  <si>
    <t>304</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</si>
  <si>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</si>
  <si>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</si>
  <si>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</si>
  <si>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</si>
  <si>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4.1. Chênh lệch lỗ tỷ giá hối đoái đã và chưa thực hiện
</t>
  </si>
  <si>
    <t xml:space="preserve">70
</t>
  </si>
  <si>
    <t xml:space="preserve">71
</t>
  </si>
  <si>
    <t xml:space="preserve">100.2
</t>
  </si>
  <si>
    <t xml:space="preserve">VI. CHI PHÍ QUẢN LÝ CÔNG TY CHỨNG KHOÁN
</t>
  </si>
  <si>
    <t xml:space="preserve">VIII. THU NHẬP KHÁC VÀ CHI PHÍ KHÁC 
</t>
  </si>
  <si>
    <t xml:space="preserve">8.2. Chi phí khác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</si>
  <si>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</si>
  <si>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</si>
  <si>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</si>
  <si>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</si>
  <si>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</si>
  <si>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</si>
  <si>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</si>
  <si>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</si>
  <si>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</si>
  <si>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</si>
  <si>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Tổng thu nhập toàn diện
</t>
  </si>
  <si>
    <t xml:space="preserve">1.1
</t>
  </si>
  <si>
    <t xml:space="preserve">3
</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</si>
  <si>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</si>
  <si>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</si>
  <si>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</si>
  <si>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</si>
  <si>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</si>
  <si>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</si>
  <si>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</si>
  <si>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</si>
  <si>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</si>
  <si>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</si>
  <si>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</si>
  <si>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</si>
  <si>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</si>
  <si>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</si>
  <si>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</si>
  <si>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</si>
  <si>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</si>
  <si>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</si>
  <si>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</si>
  <si>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</si>
  <si>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502</t>
  </si>
  <si>
    <t xml:space="preserve">80
</t>
  </si>
  <si>
    <t xml:space="preserve">90
</t>
  </si>
  <si>
    <t xml:space="preserve">501
</t>
  </si>
  <si>
    <t xml:space="preserve">1.1. Lãi từ các tài sản tài chính ghi nhận thông qua lãi/lỗ (FVTPL)
</t>
  </si>
  <si>
    <t xml:space="preserve">(Theo phương pháp trực tiếp) </t>
  </si>
  <si>
    <t>Đơn vị tính: Đồng Việt Nam</t>
  </si>
  <si>
    <t xml:space="preserve">1.Tiền đã chi mua các tài sản tài chính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</si>
  <si>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</si>
  <si>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</si>
  <si>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</si>
  <si>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</si>
  <si>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</si>
  <si>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</si>
  <si>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 xml:space="preserve">Ảnh hưởng của thay đổi tỷ giá hối đoái quy đổi ngoại tệ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</si>
  <si>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</si>
  <si>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</si>
  <si>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</si>
  <si>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</si>
  <si>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</si>
  <si>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</si>
  <si>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</si>
  <si>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</si>
  <si>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</si>
  <si>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</si>
  <si>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2.Tiền thu từ thanh lý, nhượng bán TSCĐ, BĐSĐT  và các tài sản khác
</t>
  </si>
  <si>
    <t>33</t>
  </si>
  <si>
    <t xml:space="preserve">63
</t>
  </si>
  <si>
    <t>20</t>
  </si>
  <si>
    <t>32</t>
  </si>
  <si>
    <t xml:space="preserve">33.2
</t>
  </si>
  <si>
    <t xml:space="preserve">34.3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</si>
  <si>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</si>
  <si>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</si>
  <si>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</si>
  <si>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</si>
  <si>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</si>
  <si>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</si>
  <si>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</si>
  <si>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</si>
  <si>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</si>
  <si>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</si>
  <si>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III. Lưu chuyển tiền từ hoạt động tài chính
</t>
  </si>
  <si>
    <t xml:space="preserve">3.Tiền chi đầu tư góp vốn vào công ty con, công  ty liên doanh, liên kết và đầu tư khác
</t>
  </si>
  <si>
    <t>23</t>
  </si>
  <si>
    <t xml:space="preserve">4.Tiền thu hồi đầu tư góp vốn vào công ty con, công ty liên doanh, liên kết và đầu tư khác
</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</si>
  <si>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</si>
  <si>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</si>
  <si>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</si>
  <si>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</si>
  <si>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</si>
  <si>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22</t>
  </si>
  <si>
    <t>25</t>
  </si>
  <si>
    <t xml:space="preserve">8. Tiền chi trả cho người lao động
</t>
  </si>
  <si>
    <t xml:space="preserve">Lưu chuyển tiền thuần từ hoạt động tài chính
</t>
  </si>
  <si>
    <t xml:space="preserve">2.Tiền đã thu từ bán các tài sản tài chính
</t>
  </si>
  <si>
    <t>24</t>
  </si>
  <si>
    <t xml:space="preserve">7. Tiền chi trả Tổ chức cung cấp dịch vụ cho CTCK 
</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</si>
  <si>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</si>
  <si>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</si>
  <si>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</si>
  <si>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</si>
  <si>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</si>
  <si>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</si>
  <si>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</si>
  <si>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</si>
  <si>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</si>
  <si>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VI. Tiền và các khoản tương đương tiền cuối kỳ (70 = 50 + 60)
</t>
  </si>
  <si>
    <t>Theo phương pháp trực tiếp</t>
  </si>
  <si>
    <t>Tăng/giảm tiền thuần trong kỳ</t>
  </si>
  <si>
    <t>45</t>
  </si>
  <si>
    <t xml:space="preserve">3. Tiền thu bán chứng khoán ủy thác của khách hàng
</t>
  </si>
  <si>
    <t xml:space="preserve">4.Tiền chi mua chứng khoán ủy thác của khách hàng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</si>
  <si>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</si>
  <si>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</si>
  <si>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</si>
  <si>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</si>
  <si>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</si>
  <si>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</si>
  <si>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</si>
  <si>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35</t>
  </si>
  <si>
    <t>44</t>
  </si>
  <si>
    <t xml:space="preserve">- Tiền gửi bù trừ và thanh toán giao dịch chứng khoán
</t>
  </si>
  <si>
    <t xml:space="preserve">- Tiền gửi tổng hợp giao dịch chứng khoán cho khách hàng 
</t>
  </si>
  <si>
    <t>34</t>
  </si>
  <si>
    <t>47</t>
  </si>
  <si>
    <t xml:space="preserve">B
</t>
  </si>
  <si>
    <t xml:space="preserve">6. Chi trả vay Quỹ Hỗ trợ thanh toán
</t>
  </si>
  <si>
    <t xml:space="preserve">III. Tiền và các khoản tương đương tiền cuối kỳ của khách hàng (40 = 20 + 30)
</t>
  </si>
  <si>
    <t xml:space="preserve">I. Lưu chuyển tiền hoạt động môi giới, ủy thác của khách hàng
</t>
  </si>
  <si>
    <t xml:space="preserve">7. Nhận tiền gửi để thanh toán giao dịch chứng khoán của khách hàng 
</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</si>
  <si>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</si>
  <si>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</si>
  <si>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</si>
  <si>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</si>
  <si>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</si>
  <si>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</si>
  <si>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</si>
  <si>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41</t>
  </si>
  <si>
    <t xml:space="preserve">1. Tiền thu bán chứng khoán môi giới cho khách hàng
</t>
  </si>
  <si>
    <t xml:space="preserve">5. Thu vay Quỹ Hỗ trợ thanh toán
</t>
  </si>
  <si>
    <t xml:space="preserve">11. Chi lỗi giao dịch chứng khoán
</t>
  </si>
  <si>
    <t>36</t>
  </si>
  <si>
    <t>37</t>
  </si>
  <si>
    <t>40</t>
  </si>
  <si>
    <t>42</t>
  </si>
  <si>
    <t>(Theo phương pháp gián tiếp)</t>
  </si>
  <si>
    <t xml:space="preserve">4.2. Tiền chi trả nợ gốc vay tài sản tài chính
</t>
  </si>
  <si>
    <t>38</t>
  </si>
  <si>
    <t>48</t>
  </si>
  <si>
    <t>70</t>
  </si>
  <si>
    <t xml:space="preserve">74.1
</t>
  </si>
  <si>
    <t>90</t>
  </si>
  <si>
    <t>101</t>
  </si>
  <si>
    <t xml:space="preserve">103.1
</t>
  </si>
  <si>
    <t>103</t>
  </si>
  <si>
    <t xml:space="preserve">- Tiền 
</t>
  </si>
  <si>
    <t xml:space="preserve">VI. Tiền và các khoản tương đương tiền cuối kỳ
</t>
  </si>
  <si>
    <t xml:space="preserve">- Lãi, lỗ từ hoạt động đầu tư 
</t>
  </si>
  <si>
    <t xml:space="preserve">-  Tăng (giảm) tài sản tài chính sẵn sàng để bán AFS 
</t>
  </si>
  <si>
    <t>14</t>
  </si>
  <si>
    <t>16</t>
  </si>
  <si>
    <t xml:space="preserve">103.2
</t>
  </si>
  <si>
    <t xml:space="preserve">4. Tiền thu hồi các khoản đầu tư vào công ty con, công ty liên doanh, liên kết và đầu tư khác
</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</si>
  <si>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</si>
  <si>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</si>
  <si>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</si>
  <si>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</si>
  <si>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 Các khoản tương đương tiền
</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</si>
  <si>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</si>
  <si>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</si>
  <si>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</si>
  <si>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</si>
  <si>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</si>
  <si>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</si>
  <si>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</si>
  <si>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</si>
  <si>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</si>
  <si>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</si>
  <si>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</si>
  <si>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</si>
  <si>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</si>
  <si>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</si>
  <si>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</si>
  <si>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</si>
  <si>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</si>
  <si>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</si>
  <si>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</si>
  <si>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</si>
  <si>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</si>
  <si>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</si>
  <si>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</si>
  <si>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</si>
  <si>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 Lỗ suy giảm giá trị Các khoản cho vay
</t>
  </si>
  <si>
    <t xml:space="preserve">- Lỗ về ghi nhận chênh lệch đánh giá theo giá trị hợp lý TSTC sẵn sàng để bán AFS khi phân loại lại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</si>
  <si>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</si>
  <si>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</si>
  <si>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</si>
  <si>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</si>
  <si>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</si>
  <si>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</si>
  <si>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</si>
  <si>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</si>
  <si>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</si>
  <si>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</si>
  <si>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</si>
  <si>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74
</t>
  </si>
  <si>
    <t xml:space="preserve">- Tiền chi khác cho hoạt động kinh doanh
</t>
  </si>
  <si>
    <t xml:space="preserve">1. Tiền chi để mua sắm, xây dựng TSCĐ, BĐSĐT và các tài sản khác
</t>
  </si>
  <si>
    <t xml:space="preserve">3. Tiền vay gốc
</t>
  </si>
  <si>
    <t xml:space="preserve">5. Tiền chi trả nợ gốc thuê tài chính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</si>
  <si>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</si>
  <si>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</si>
  <si>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</si>
  <si>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</si>
  <si>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</si>
  <si>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</si>
  <si>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</si>
  <si>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</si>
  <si>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</si>
  <si>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</si>
  <si>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</si>
  <si>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Ảnh hưởng của thay đổi tỷ giá hối đoái quy đổi ngoại tệ</t>
  </si>
  <si>
    <t>15</t>
  </si>
  <si>
    <t>62</t>
  </si>
  <si>
    <t xml:space="preserve">73.1
</t>
  </si>
  <si>
    <t xml:space="preserve">74.2
</t>
  </si>
  <si>
    <t xml:space="preserve">101.1
</t>
  </si>
  <si>
    <t xml:space="preserve">- Khấu hao TSCĐ
</t>
  </si>
  <si>
    <t xml:space="preserve">(- Lãi) hoặc (+ lỗ) chênh lệch tỷ giá hối đoái chưa thực hiện.
</t>
  </si>
  <si>
    <t xml:space="preserve">(-) Tăng, (+) giảm phải thu bán các tài sản tài chính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</si>
  <si>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</si>
  <si>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</si>
  <si>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</si>
  <si>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</si>
  <si>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</si>
  <si>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51</t>
  </si>
  <si>
    <t xml:space="preserve">76
</t>
  </si>
  <si>
    <t xml:space="preserve">101.2
</t>
  </si>
  <si>
    <t xml:space="preserve">2. Tiền chi trả vốn góp cho chủ sở hữu, mua lại cổ phiếu phát hành
</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</si>
  <si>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</si>
  <si>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</si>
  <si>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</si>
  <si>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</si>
  <si>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III. Tiền và các khoản tương đương tiền cuối kỳ của khách hàng
</t>
  </si>
  <si>
    <t xml:space="preserve">4. Tiền chi bán chứng khoán ủy thác của khách hàng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</si>
  <si>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</si>
  <si>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</si>
  <si>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</si>
  <si>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</si>
  <si>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</si>
  <si>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</si>
  <si>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</si>
  <si>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N-1</t>
  </si>
  <si>
    <t>N</t>
  </si>
  <si>
    <t>Số tăng/giảm</t>
  </si>
  <si>
    <t>Mã chỉ tiêu</t>
  </si>
  <si>
    <t>Số dư cuối năm</t>
  </si>
  <si>
    <t>Số dư đầu năm</t>
  </si>
  <si>
    <t>Giảm</t>
  </si>
  <si>
    <t>Tăng</t>
  </si>
  <si>
    <t xml:space="preserve">26634
</t>
  </si>
  <si>
    <t xml:space="preserve">26635
</t>
  </si>
  <si>
    <t xml:space="preserve">26641
</t>
  </si>
  <si>
    <t xml:space="preserve">26645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</si>
  <si>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</si>
  <si>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</si>
  <si>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</si>
  <si>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</si>
  <si>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</si>
  <si>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</si>
  <si>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</si>
  <si>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</si>
  <si>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</si>
  <si>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</si>
  <si>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</si>
  <si>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Tổng cộng
</t>
  </si>
  <si>
    <t xml:space="preserve"> I. Biến động vốn chủ sở hữu
</t>
  </si>
  <si>
    <t xml:space="preserve">4. Lãi, lỗ toàn diện khác
</t>
  </si>
  <si>
    <t xml:space="preserve">3. Quỹ dự trữ bổ sung vốn điều lệ
</t>
  </si>
  <si>
    <t xml:space="preserve">26625
</t>
  </si>
  <si>
    <t xml:space="preserve">26626
</t>
  </si>
  <si>
    <t xml:space="preserve">26627
</t>
  </si>
  <si>
    <t xml:space="preserve">26624
</t>
  </si>
  <si>
    <t xml:space="preserve">26630
</t>
  </si>
  <si>
    <t xml:space="preserve">26632
</t>
  </si>
  <si>
    <t xml:space="preserve">26633
</t>
  </si>
  <si>
    <t xml:space="preserve">26638
</t>
  </si>
  <si>
    <t xml:space="preserve">26640
</t>
  </si>
  <si>
    <t xml:space="preserve">26642
</t>
  </si>
  <si>
    <t xml:space="preserve">26644
</t>
  </si>
  <si>
    <t xml:space="preserve">26646
</t>
  </si>
  <si>
    <t xml:space="preserve">8.1. Lợi nhuận sau thuế đã thực hiện
</t>
  </si>
  <si>
    <t xml:space="preserve">2. Lãi, lỗ đánh giá lại TĐ theo mô hình giá trị hợp lý
</t>
  </si>
  <si>
    <t xml:space="preserve">3. Lãi, lỗ chênh lệch tỷ giá của hoạt động tại nước ngoài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</si>
  <si>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</si>
  <si>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</si>
  <si>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</si>
  <si>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</si>
  <si>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</si>
  <si>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</si>
  <si>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</si>
  <si>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</si>
  <si>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</si>
  <si>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</si>
  <si>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</si>
  <si>
    <t>Lập, ngày 16 tháng 04 năm 2026</t>
  </si>
  <si>
    <t>Tại ngày 31 tháng 03 năm 2026</t>
  </si>
  <si>
    <t xml:space="preserve">Quý 1/Năm 2026  </t>
  </si>
  <si>
    <t xml:space="preserve">Quý 1/Năm2026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</si>
</sst>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00\ _₫_-;\-* #,##0.00\ _₫_-;_-* &quot;-&quot;??\ _₫_-;_-@_-"/>
  </numFmts>
  <fonts count="2508" x14ac:knownFonts="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b/>
      <sz val="12"/>
      <color theme="1"/>
      <name val="Times New Roman"/>
      <family val="1"/>
    </font>
    <font>
      <i/>
      <sz val="12"/>
      <color theme="1"/>
      <name val="Times New Roman"/>
      <family val="1"/>
    </font>
    <font>
      <i/>
      <sz val="11"/>
      <name val="Times New Roman"/>
      <family val="1"/>
    </font>
    <font>
      <b/>
      <sz val="11"/>
      <name val="Times New Roman"/>
      <family val="1"/>
    </font>
    <font>
      <b/>
      <u/>
      <sz val="11"/>
      <color theme="1"/>
      <name val="Times New Roman"/>
      <family val="1"/>
    </font>
    <font>
      <sz val="13"/>
      <name val="Times New Roman"/>
    </font>
    <font>
      <sz val="11"/>
      <color indexed="0"/>
      <name val="Times New Roman"/>
    </font>
    <font>
      <b/>
      <sz val="11"/>
      <name val="Times New Roman"/>
    </font>
    <font>
      <b/>
      <sz val="13"/>
      <color indexed="0"/>
      <name val="Times New Roman"/>
    </font>
    <font>
      <b/>
      <sz val="11"/>
      <color indexed="0"/>
      <name val="Times New Roman"/>
    </font>
    <font>
      <b/>
      <sz val="11"/>
      <color indexed="0"/>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i/>
      <sz val="11"/>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i/>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4"/>
      <color indexed="9"/>
      <name val="Times New Roman"/>
    </font>
    <font>
      <i/>
      <sz val="14"/>
      <color indexed="8"/>
      <name val="Times New Roman"/>
    </font>
    <font>
      <b/>
      <sz val="14"/>
      <color indexed="9"/>
      <name val="Times New Roman"/>
    </font>
    <font>
      <b/>
      <sz val="16"/>
      <color indexed="8"/>
      <name val="Times New Roman"/>
    </font>
    <font>
      <i/>
      <sz val="14"/>
      <color indexed="8"/>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amily val="1"/>
    </font>
    <font>
      <i/>
      <sz val="13"/>
      <color indexed="8"/>
      <name val="Times New Roman"/>
      <family val="1"/>
    </font>
    <font>
      <i/>
      <sz val="13"/>
      <color theme="1"/>
      <name val="Times New Roman"/>
      <family val="1"/>
    </font>
  </fonts>
  <fills count="8">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8">
    <xf numFmtId="0" fontId="0" fillId="0" borderId="0"/>
    <xf numFmtId="0" fontId="1" fillId="0" borderId="0"/>
    <xf numFmtId="164" fontId="1" fillId="0" borderId="0" quotePrefix="1" applyFont="0" applyFill="0" applyBorder="0" applyAlignment="0">
      <protection locked="0"/>
    </xf>
    <xf numFmtId="9" fontId="1" fillId="0" borderId="0" applyFont="0" applyFill="0" applyBorder="0" applyAlignment="0" applyProtection="0"/>
    <xf numFmtId="164" fontId="1" fillId="0" borderId="0" applyFont="0" applyFill="0" applyBorder="0" applyAlignment="0" applyProtection="0"/>
    <xf numFmtId="0" fontId="1" fillId="0" borderId="0"/>
    <xf numFmtId="165" fontId="1" fillId="0" borderId="0" quotePrefix="1" applyFont="0" applyFill="0" applyBorder="0" applyAlignment="0">
      <protection locked="0"/>
    </xf>
    <xf numFmtId="165" fontId="1" fillId="0" borderId="0" applyFont="0" applyFill="0" applyBorder="0" applyAlignment="0" applyProtection="0"/>
  </cellStyleXfs>
  <cellXfs count="2513">
    <xf numFmtId="0" fontId="0" fillId="0" borderId="0" xfId="0"/>
    <xf numFmtId="0" fontId="2" fillId="0" borderId="0" xfId="0" applyFont="1"/>
    <xf numFmtId="0" fontId="6" fillId="0" borderId="0" xfId="0" applyFont="1"/>
    <xf numFmtId="0" fontId="5" fillId="0" borderId="0" xfId="1" applyFont="1" applyAlignment="1">
      <alignment horizontal="center"/>
    </xf>
    <xf numFmtId="0" fontId="8" fillId="2" borderId="1" xfId="0" applyFont="1" applyFill="1" applyBorder="1"/>
    <xf numFmtId="0" fontId="8"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10" fillId="0" borderId="0" xfId="0" applyFont="1" applyAlignment="1">
      <alignment horizontal="center" vertical="center" wrapText="1"/>
    </xf>
    <xf numFmtId="0" fontId="7" fillId="0" borderId="0" xfId="0" applyFont="1"/>
    <xf numFmtId="0" fontId="12" fillId="0" borderId="0" xfId="0" applyFont="1"/>
    <xf numFmtId="0" fontId="11" fillId="0" borderId="0" xfId="0" applyFont="1"/>
    <xf numFmtId="0" fontId="13" fillId="3" borderId="3" xfId="0" applyFont="1" applyFill="1" applyBorder="1" applyAlignment="1">
      <alignment horizontal="left" vertical="top" wrapText="1"/>
    </xf>
    <xf numFmtId="0" fontId="14" fillId="0" borderId="3" xfId="0" applyFont="1" applyBorder="1" applyAlignment="1">
      <alignment horizontal="left" vertical="top"/>
    </xf>
    <xf numFmtId="0" fontId="15"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center" vertical="top" wrapText="1"/>
    </xf>
    <xf numFmtId="0" fontId="19" fillId="0" borderId="3" xfId="0" applyFont="1" applyBorder="1" applyAlignment="1">
      <alignment horizontal="center" vertical="top"/>
    </xf>
    <xf numFmtId="0" fontId="20" fillId="0" borderId="3" xfId="0" applyFont="1" applyBorder="1" applyAlignment="1">
      <alignment horizontal="left" vertical="top"/>
    </xf>
    <xf numFmtId="0" fontId="21" fillId="0" borderId="3" xfId="0" applyFont="1" applyBorder="1" applyAlignment="1">
      <alignment horizontal="center" vertical="top"/>
    </xf>
    <xf numFmtId="0" fontId="22" fillId="0" borderId="3" xfId="0" applyFont="1" applyBorder="1" applyAlignment="1">
      <alignment horizontal="left" vertical="top"/>
    </xf>
    <xf numFmtId="0" fontId="23" fillId="0" borderId="3" xfId="0" applyFont="1" applyBorder="1" applyAlignment="1">
      <alignment horizontal="center" vertical="top"/>
    </xf>
    <xf numFmtId="0" fontId="24" fillId="0" borderId="3" xfId="0" applyFont="1" applyBorder="1" applyAlignment="1">
      <alignment horizontal="left" vertical="top"/>
    </xf>
    <xf numFmtId="0" fontId="25" fillId="0" borderId="3" xfId="0" applyFont="1" applyBorder="1" applyAlignment="1">
      <alignment horizontal="center" vertical="top"/>
    </xf>
    <xf numFmtId="0" fontId="26" fillId="0" borderId="3" xfId="0" applyFont="1" applyBorder="1" applyAlignment="1">
      <alignment horizontal="left" vertical="top"/>
    </xf>
    <xf numFmtId="0" fontId="27" fillId="0" borderId="3" xfId="0" applyFont="1" applyBorder="1" applyAlignment="1">
      <alignment horizontal="center" vertical="top"/>
    </xf>
    <xf numFmtId="0" fontId="28" fillId="0" borderId="3" xfId="0" applyFont="1" applyBorder="1" applyAlignment="1">
      <alignment horizontal="left" vertical="top"/>
    </xf>
    <xf numFmtId="0" fontId="29" fillId="0" borderId="3" xfId="0" applyFont="1" applyBorder="1" applyAlignment="1">
      <alignment horizontal="center" vertical="top"/>
    </xf>
    <xf numFmtId="0" fontId="30" fillId="0" borderId="3" xfId="0" applyFont="1" applyBorder="1" applyAlignment="1">
      <alignment horizontal="left" vertical="top"/>
    </xf>
    <xf numFmtId="0" fontId="31" fillId="0" borderId="3" xfId="0" applyFont="1" applyBorder="1" applyAlignment="1">
      <alignment horizontal="center" vertical="top"/>
    </xf>
    <xf numFmtId="0" fontId="32" fillId="0" borderId="3" xfId="0" applyFont="1" applyBorder="1" applyAlignment="1">
      <alignment horizontal="left" vertical="top"/>
    </xf>
    <xf numFmtId="0" fontId="33" fillId="0" borderId="3" xfId="0" applyFont="1" applyBorder="1" applyAlignment="1">
      <alignment horizontal="center" vertical="top"/>
    </xf>
    <xf numFmtId="0" fontId="34" fillId="0" borderId="3" xfId="0" applyFont="1" applyBorder="1" applyAlignment="1">
      <alignment horizontal="left" vertical="top"/>
    </xf>
    <xf numFmtId="0" fontId="35" fillId="0" borderId="0" xfId="0" applyFont="1" applyAlignment="1">
      <alignment horizontal="left" vertical="top" wrapText="1"/>
    </xf>
    <xf numFmtId="0" fontId="36" fillId="3" borderId="3" xfId="0" applyFont="1" applyFill="1" applyBorder="1" applyAlignment="1">
      <alignment horizontal="left" vertical="top" wrapText="1"/>
    </xf>
    <xf numFmtId="0" fontId="39" fillId="4" borderId="3" xfId="0" applyFont="1" applyFill="1" applyBorder="1" applyAlignment="1">
      <alignment horizontal="center" vertical="top" wrapText="1"/>
    </xf>
    <xf numFmtId="0" fontId="40" fillId="5" borderId="3" xfId="0" applyFont="1" applyFill="1" applyBorder="1" applyAlignment="1">
      <alignment horizontal="center" vertical="top"/>
    </xf>
    <xf numFmtId="0" fontId="41" fillId="5" borderId="3" xfId="0" applyFont="1" applyFill="1" applyBorder="1" applyAlignment="1">
      <alignment horizontal="center" vertical="top"/>
    </xf>
    <xf numFmtId="0" fontId="46" fillId="5" borderId="3" xfId="0" applyFont="1" applyFill="1" applyBorder="1" applyAlignment="1">
      <alignment horizontal="left" vertical="top" wrapText="1"/>
    </xf>
    <xf numFmtId="0" fontId="47" fillId="5" borderId="3" xfId="0" applyFont="1" applyFill="1" applyBorder="1" applyAlignment="1">
      <alignment horizontal="left" vertical="top" wrapText="1"/>
    </xf>
    <xf numFmtId="0" fontId="48" fillId="5" borderId="3" xfId="0" applyFont="1" applyFill="1" applyBorder="1" applyAlignment="1">
      <alignment horizontal="left" vertical="top" wrapText="1"/>
    </xf>
    <xf numFmtId="0" fontId="49" fillId="5" borderId="3" xfId="0" applyFont="1" applyFill="1" applyBorder="1" applyAlignment="1">
      <alignment horizontal="left" vertical="top" wrapText="1"/>
    </xf>
    <xf numFmtId="0" fontId="50" fillId="5" borderId="3" xfId="0" applyFont="1" applyFill="1" applyBorder="1" applyAlignment="1">
      <alignment horizontal="left" vertical="top" wrapText="1"/>
    </xf>
    <xf numFmtId="0" fontId="51" fillId="5" borderId="3" xfId="0" applyFont="1" applyFill="1" applyBorder="1" applyAlignment="1">
      <alignment horizontal="left" vertical="top" wrapText="1"/>
    </xf>
    <xf numFmtId="0" fontId="52" fillId="5" borderId="3" xfId="0" applyFont="1" applyFill="1" applyBorder="1" applyAlignment="1">
      <alignment horizontal="left" vertical="top" wrapText="1"/>
    </xf>
    <xf numFmtId="0" fontId="53" fillId="5" borderId="3" xfId="0" applyFont="1" applyFill="1" applyBorder="1" applyAlignment="1">
      <alignment horizontal="left" vertical="top" wrapText="1"/>
    </xf>
    <xf numFmtId="0" fontId="54" fillId="5" borderId="3" xfId="0" applyFont="1" applyFill="1" applyBorder="1" applyAlignment="1">
      <alignment horizontal="center" vertical="top"/>
    </xf>
    <xf numFmtId="0" fontId="55" fillId="5" borderId="3" xfId="0" applyFont="1" applyFill="1" applyBorder="1" applyAlignment="1">
      <alignment horizontal="center" vertical="top"/>
    </xf>
    <xf numFmtId="0" fontId="56" fillId="5" borderId="3" xfId="0" applyFont="1" applyFill="1" applyBorder="1" applyAlignment="1">
      <alignment horizontal="left" vertical="top" wrapText="1"/>
    </xf>
    <xf numFmtId="0" fontId="59" fillId="5" borderId="3" xfId="0" applyFont="1" applyFill="1" applyBorder="1" applyAlignment="1">
      <alignment horizontal="left" vertical="top" wrapText="1"/>
    </xf>
    <xf numFmtId="0" fontId="60" fillId="5" borderId="3" xfId="0" applyFont="1" applyFill="1" applyBorder="1" applyAlignment="1">
      <alignment horizontal="left" vertical="top" wrapText="1"/>
    </xf>
    <xf numFmtId="0" fontId="61" fillId="5" borderId="3" xfId="0" applyFont="1" applyFill="1" applyBorder="1" applyAlignment="1">
      <alignment horizontal="left" vertical="top" wrapText="1"/>
    </xf>
    <xf numFmtId="0" fontId="62" fillId="5" borderId="3" xfId="0" applyFont="1" applyFill="1" applyBorder="1" applyAlignment="1">
      <alignment horizontal="left" vertical="top" wrapText="1"/>
    </xf>
    <xf numFmtId="0" fontId="75" fillId="5" borderId="3" xfId="0" applyFont="1" applyFill="1" applyBorder="1" applyAlignment="1">
      <alignment horizontal="center" vertical="top"/>
    </xf>
    <xf numFmtId="0" fontId="76" fillId="5" borderId="3" xfId="0" applyFont="1" applyFill="1" applyBorder="1" applyAlignment="1">
      <alignment horizontal="center" vertical="top"/>
    </xf>
    <xf numFmtId="0" fontId="77" fillId="5" borderId="3" xfId="0" applyFont="1" applyFill="1" applyBorder="1" applyAlignment="1">
      <alignment horizontal="center" vertical="top"/>
    </xf>
    <xf numFmtId="0" fontId="78" fillId="5" borderId="3" xfId="0" applyFont="1" applyFill="1" applyBorder="1" applyAlignment="1">
      <alignment horizontal="center" vertical="top"/>
    </xf>
    <xf numFmtId="0" fontId="79" fillId="5" borderId="3" xfId="0" applyFont="1" applyFill="1" applyBorder="1" applyAlignment="1">
      <alignment horizontal="center" vertical="top"/>
    </xf>
    <xf numFmtId="0" fontId="80" fillId="5" borderId="3" xfId="0" applyFont="1" applyFill="1" applyBorder="1" applyAlignment="1">
      <alignment horizontal="center" vertical="top"/>
    </xf>
    <xf numFmtId="0" fontId="81" fillId="5" borderId="3" xfId="0" applyFont="1" applyFill="1" applyBorder="1" applyAlignment="1">
      <alignment horizontal="center" vertical="top"/>
    </xf>
    <xf numFmtId="0" fontId="82" fillId="5" borderId="3" xfId="0" applyFont="1" applyFill="1" applyBorder="1" applyAlignment="1">
      <alignment horizontal="center" vertical="top"/>
    </xf>
    <xf numFmtId="0" fontId="83" fillId="5" borderId="3" xfId="0" applyFont="1" applyFill="1" applyBorder="1" applyAlignment="1">
      <alignment horizontal="center" vertical="top"/>
    </xf>
    <xf numFmtId="0" fontId="84" fillId="5" borderId="3" xfId="0" applyFont="1" applyFill="1" applyBorder="1" applyAlignment="1">
      <alignment horizontal="center" vertical="top"/>
    </xf>
    <xf numFmtId="0" fontId="85" fillId="5" borderId="3" xfId="0" applyFont="1" applyFill="1" applyBorder="1" applyAlignment="1">
      <alignment horizontal="center" vertical="top"/>
    </xf>
    <xf numFmtId="0" fontId="86" fillId="5" borderId="3" xfId="0" applyFont="1" applyFill="1" applyBorder="1" applyAlignment="1">
      <alignment horizontal="center" vertical="top"/>
    </xf>
    <xf numFmtId="0" fontId="87" fillId="5" borderId="3" xfId="0" applyFont="1" applyFill="1" applyBorder="1" applyAlignment="1">
      <alignment horizontal="center" vertical="top"/>
    </xf>
    <xf numFmtId="0" fontId="88" fillId="5" borderId="3" xfId="0" applyFont="1" applyFill="1" applyBorder="1" applyAlignment="1">
      <alignment horizontal="center" vertical="top"/>
    </xf>
    <xf numFmtId="0" fontId="89" fillId="5" borderId="3" xfId="0" applyFont="1" applyFill="1" applyBorder="1" applyAlignment="1">
      <alignment horizontal="left" vertical="top" wrapText="1"/>
    </xf>
    <xf numFmtId="0" fontId="90" fillId="5" borderId="3" xfId="0" applyFont="1" applyFill="1" applyBorder="1" applyAlignment="1">
      <alignment horizontal="left" vertical="top" wrapText="1"/>
    </xf>
    <xf numFmtId="0" fontId="91" fillId="5" borderId="3" xfId="0" applyFont="1" applyFill="1" applyBorder="1" applyAlignment="1">
      <alignment horizontal="left" vertical="top" wrapText="1"/>
    </xf>
    <xf numFmtId="0" fontId="92" fillId="5" borderId="3" xfId="0" applyFont="1" applyFill="1" applyBorder="1" applyAlignment="1">
      <alignment horizontal="left" vertical="top" wrapText="1"/>
    </xf>
    <xf numFmtId="0" fontId="93" fillId="5" borderId="3" xfId="0" applyFont="1" applyFill="1" applyBorder="1" applyAlignment="1">
      <alignment horizontal="center" vertical="top"/>
    </xf>
    <xf numFmtId="0" fontId="94" fillId="5" borderId="3" xfId="0" applyFont="1" applyFill="1" applyBorder="1" applyAlignment="1">
      <alignment horizontal="center" vertical="top"/>
    </xf>
    <xf numFmtId="0" fontId="95" fillId="5" borderId="3" xfId="0" applyFont="1" applyFill="1" applyBorder="1" applyAlignment="1">
      <alignment horizontal="center" vertical="top"/>
    </xf>
    <xf numFmtId="0" fontId="96" fillId="5" borderId="3" xfId="0" applyFont="1" applyFill="1" applyBorder="1" applyAlignment="1">
      <alignment horizontal="center" vertical="top"/>
    </xf>
    <xf numFmtId="0" fontId="97" fillId="5" borderId="3" xfId="0" applyFont="1" applyFill="1" applyBorder="1" applyAlignment="1">
      <alignment horizontal="center" vertical="top"/>
    </xf>
    <xf numFmtId="0" fontId="98" fillId="5" borderId="3" xfId="0" applyFont="1" applyFill="1" applyBorder="1" applyAlignment="1">
      <alignment horizontal="left" vertical="top" wrapText="1"/>
    </xf>
    <xf numFmtId="0" fontId="99" fillId="5" borderId="3" xfId="0" applyFont="1" applyFill="1" applyBorder="1" applyAlignment="1">
      <alignment horizontal="center" vertical="top"/>
    </xf>
    <xf numFmtId="0" fontId="100" fillId="5" borderId="3" xfId="0" applyFont="1" applyFill="1" applyBorder="1" applyAlignment="1">
      <alignment horizontal="center" vertical="top"/>
    </xf>
    <xf numFmtId="0" fontId="101" fillId="5" borderId="3" xfId="0" applyFont="1" applyFill="1" applyBorder="1" applyAlignment="1">
      <alignment horizontal="center" vertical="top"/>
    </xf>
    <xf numFmtId="0" fontId="102" fillId="5" borderId="3" xfId="0" applyFont="1" applyFill="1" applyBorder="1" applyAlignment="1">
      <alignment horizontal="center" vertical="top"/>
    </xf>
    <xf numFmtId="0" fontId="103" fillId="5" borderId="3" xfId="0" applyFont="1" applyFill="1" applyBorder="1" applyAlignment="1">
      <alignment horizontal="center" vertical="top"/>
    </xf>
    <xf numFmtId="0" fontId="104" fillId="5" borderId="3" xfId="0" applyFont="1" applyFill="1" applyBorder="1" applyAlignment="1">
      <alignment horizontal="center" vertical="top"/>
    </xf>
    <xf numFmtId="0" fontId="105" fillId="5" borderId="3" xfId="0" applyFont="1" applyFill="1" applyBorder="1" applyAlignment="1">
      <alignment horizontal="center" vertical="top"/>
    </xf>
    <xf numFmtId="0" fontId="106" fillId="5" borderId="3" xfId="0" applyFont="1" applyFill="1" applyBorder="1" applyAlignment="1">
      <alignment horizontal="center" vertical="top"/>
    </xf>
    <xf numFmtId="0" fontId="107" fillId="5" borderId="3" xfId="0" applyFont="1" applyFill="1" applyBorder="1" applyAlignment="1">
      <alignment horizontal="center" vertical="top"/>
    </xf>
    <xf numFmtId="0" fontId="108" fillId="5" borderId="3" xfId="0" applyFont="1" applyFill="1" applyBorder="1" applyAlignment="1">
      <alignment horizontal="center" vertical="top"/>
    </xf>
    <xf numFmtId="0" fontId="109" fillId="5" borderId="3" xfId="0" applyFont="1" applyFill="1" applyBorder="1" applyAlignment="1">
      <alignment horizontal="center" vertical="top"/>
    </xf>
    <xf numFmtId="0" fontId="110" fillId="5" borderId="3" xfId="0" applyFont="1" applyFill="1" applyBorder="1" applyAlignment="1">
      <alignment horizontal="center" vertical="top"/>
    </xf>
    <xf numFmtId="0" fontId="114" fillId="5" borderId="3" xfId="0" applyFont="1" applyFill="1" applyBorder="1" applyAlignment="1">
      <alignment horizontal="center" vertical="top"/>
    </xf>
    <xf numFmtId="0" fontId="130" fillId="5" borderId="3" xfId="0" applyFont="1" applyFill="1" applyBorder="1" applyAlignment="1">
      <alignment horizontal="center" vertical="top"/>
    </xf>
    <xf numFmtId="0" fontId="145" fillId="5" borderId="3" xfId="0" applyFont="1" applyFill="1" applyBorder="1" applyAlignment="1">
      <alignment horizontal="center" vertical="top"/>
    </xf>
    <xf numFmtId="0" fontId="146" fillId="5" borderId="3" xfId="0" applyFont="1" applyFill="1" applyBorder="1" applyAlignment="1">
      <alignment horizontal="center" vertical="top"/>
    </xf>
    <xf numFmtId="0" fontId="147" fillId="5" borderId="3" xfId="0" applyFont="1" applyFill="1" applyBorder="1" applyAlignment="1">
      <alignment horizontal="center" vertical="top"/>
    </xf>
    <xf numFmtId="0" fontId="148" fillId="5" borderId="3" xfId="0" applyFont="1" applyFill="1" applyBorder="1" applyAlignment="1">
      <alignment horizontal="left" vertical="top" wrapText="1"/>
    </xf>
    <xf numFmtId="0" fontId="157" fillId="5" borderId="3" xfId="0" applyFont="1" applyFill="1" applyBorder="1" applyAlignment="1">
      <alignment horizontal="center" vertical="top"/>
    </xf>
    <xf numFmtId="0" fontId="158" fillId="5" borderId="3" xfId="0" applyFont="1" applyFill="1" applyBorder="1" applyAlignment="1">
      <alignment horizontal="center" vertical="top"/>
    </xf>
    <xf numFmtId="0" fontId="159" fillId="5" borderId="3" xfId="0" applyFont="1" applyFill="1" applyBorder="1" applyAlignment="1">
      <alignment horizontal="center" vertical="top"/>
    </xf>
    <xf numFmtId="0" fontId="160" fillId="5" borderId="3" xfId="0" applyFont="1" applyFill="1" applyBorder="1" applyAlignment="1">
      <alignment horizontal="center" vertical="top"/>
    </xf>
    <xf numFmtId="0" fontId="161" fillId="5" borderId="3" xfId="0" applyFont="1" applyFill="1" applyBorder="1" applyAlignment="1">
      <alignment horizontal="center" vertical="top"/>
    </xf>
    <xf numFmtId="0" fontId="162" fillId="5" borderId="3" xfId="0" applyFont="1" applyFill="1" applyBorder="1" applyAlignment="1">
      <alignment horizontal="center" vertical="top"/>
    </xf>
    <xf numFmtId="0" fontId="163" fillId="5" borderId="3" xfId="0" applyFont="1" applyFill="1" applyBorder="1" applyAlignment="1">
      <alignment horizontal="left" vertical="top" wrapText="1"/>
    </xf>
    <xf numFmtId="0" fontId="193" fillId="5" borderId="3" xfId="0" applyFont="1" applyFill="1" applyBorder="1" applyAlignment="1">
      <alignment horizontal="left" vertical="top" wrapText="1"/>
    </xf>
    <xf numFmtId="0" fontId="194" fillId="5" borderId="3" xfId="0" applyFont="1" applyFill="1" applyBorder="1" applyAlignment="1">
      <alignment horizontal="left" vertical="top" wrapText="1"/>
    </xf>
    <xf numFmtId="0" fontId="195" fillId="5" borderId="3" xfId="0" applyFont="1" applyFill="1" applyBorder="1" applyAlignment="1">
      <alignment horizontal="left" vertical="top" wrapText="1"/>
    </xf>
    <xf numFmtId="0" fontId="196" fillId="5" borderId="3" xfId="0" applyFont="1" applyFill="1" applyBorder="1" applyAlignment="1">
      <alignment horizontal="left" vertical="top" wrapText="1"/>
    </xf>
    <xf numFmtId="0" fontId="197" fillId="5" borderId="3" xfId="0" applyFont="1" applyFill="1" applyBorder="1" applyAlignment="1">
      <alignment horizontal="left" vertical="top" wrapText="1"/>
    </xf>
    <xf numFmtId="0" fontId="198" fillId="5" borderId="3" xfId="0" applyFont="1" applyFill="1" applyBorder="1" applyAlignment="1">
      <alignment horizontal="left" vertical="top" wrapText="1"/>
    </xf>
    <xf numFmtId="0" fontId="199" fillId="5" borderId="3" xfId="0" applyFont="1" applyFill="1" applyBorder="1" applyAlignment="1">
      <alignment horizontal="left" vertical="top" wrapText="1"/>
    </xf>
    <xf numFmtId="0" fontId="200" fillId="5" borderId="3" xfId="0" applyFont="1" applyFill="1" applyBorder="1" applyAlignment="1">
      <alignment horizontal="left" vertical="top" wrapText="1"/>
    </xf>
    <xf numFmtId="0" fontId="201" fillId="5" borderId="3" xfId="0" applyFont="1" applyFill="1" applyBorder="1" applyAlignment="1">
      <alignment horizontal="left" vertical="top" wrapText="1"/>
    </xf>
    <xf numFmtId="0" fontId="202" fillId="5" borderId="3" xfId="0" applyFont="1" applyFill="1" applyBorder="1" applyAlignment="1">
      <alignment horizontal="left" vertical="top" wrapText="1"/>
    </xf>
    <xf numFmtId="0" fontId="203" fillId="5" borderId="3" xfId="0" applyFont="1" applyFill="1" applyBorder="1" applyAlignment="1">
      <alignment horizontal="center" vertical="top"/>
    </xf>
    <xf numFmtId="0" fontId="204" fillId="5" borderId="3" xfId="0" applyFont="1" applyFill="1" applyBorder="1" applyAlignment="1">
      <alignment horizontal="center" vertical="top"/>
    </xf>
    <xf numFmtId="0" fontId="205" fillId="5" borderId="3" xfId="0" applyFont="1" applyFill="1" applyBorder="1" applyAlignment="1">
      <alignment horizontal="center" vertical="top"/>
    </xf>
    <xf numFmtId="0" fontId="206" fillId="5" borderId="3" xfId="0" applyFont="1" applyFill="1" applyBorder="1" applyAlignment="1">
      <alignment horizontal="center" vertical="top"/>
    </xf>
    <xf numFmtId="0" fontId="207" fillId="5" borderId="3" xfId="0" applyFont="1" applyFill="1" applyBorder="1" applyAlignment="1">
      <alignment horizontal="center" vertical="top"/>
    </xf>
    <xf numFmtId="0" fontId="208" fillId="5" borderId="3" xfId="0" applyFont="1" applyFill="1" applyBorder="1" applyAlignment="1">
      <alignment horizontal="center" vertical="top"/>
    </xf>
    <xf numFmtId="0" fontId="209" fillId="5" borderId="3" xfId="0" applyFont="1" applyFill="1" applyBorder="1" applyAlignment="1">
      <alignment horizontal="center" vertical="top"/>
    </xf>
    <xf numFmtId="0" fontId="210" fillId="5" borderId="3" xfId="0" applyFont="1" applyFill="1" applyBorder="1" applyAlignment="1">
      <alignment horizontal="center" vertical="top"/>
    </xf>
    <xf numFmtId="0" fontId="211" fillId="5" borderId="3" xfId="0" applyFont="1" applyFill="1" applyBorder="1" applyAlignment="1">
      <alignment horizontal="center" vertical="top"/>
    </xf>
    <xf numFmtId="0" fontId="212" fillId="5" borderId="3" xfId="0" applyFont="1" applyFill="1" applyBorder="1" applyAlignment="1">
      <alignment horizontal="center" vertical="top"/>
    </xf>
    <xf numFmtId="0" fontId="213" fillId="5" borderId="3" xfId="0" applyFont="1" applyFill="1" applyBorder="1" applyAlignment="1">
      <alignment horizontal="center" vertical="top"/>
    </xf>
    <xf numFmtId="0" fontId="214" fillId="5" borderId="3" xfId="0" applyFont="1" applyFill="1" applyBorder="1" applyAlignment="1">
      <alignment horizontal="center" vertical="top"/>
    </xf>
    <xf numFmtId="0" fontId="215" fillId="5" borderId="3" xfId="0" applyFont="1" applyFill="1" applyBorder="1" applyAlignment="1">
      <alignment horizontal="center" vertical="top"/>
    </xf>
    <xf numFmtId="0" fontId="216" fillId="5" borderId="3" xfId="0" applyFont="1" applyFill="1" applyBorder="1" applyAlignment="1">
      <alignment horizontal="left" vertical="top" wrapText="1"/>
    </xf>
    <xf numFmtId="0" fontId="217" fillId="5" borderId="3" xfId="0" applyFont="1" applyFill="1" applyBorder="1" applyAlignment="1">
      <alignment horizontal="left" vertical="top" wrapText="1"/>
    </xf>
    <xf numFmtId="0" fontId="218" fillId="5" borderId="3" xfId="0" applyFont="1" applyFill="1" applyBorder="1" applyAlignment="1">
      <alignment horizontal="left" vertical="top" wrapText="1"/>
    </xf>
    <xf numFmtId="0" fontId="219" fillId="5" borderId="3" xfId="0" applyFont="1" applyFill="1" applyBorder="1" applyAlignment="1">
      <alignment horizontal="left" vertical="top" wrapText="1"/>
    </xf>
    <xf numFmtId="0" fontId="220" fillId="5" borderId="3" xfId="0" applyFont="1" applyFill="1" applyBorder="1" applyAlignment="1">
      <alignment horizontal="center" vertical="top"/>
    </xf>
    <xf numFmtId="0" fontId="221" fillId="5" borderId="3" xfId="0" applyFont="1" applyFill="1" applyBorder="1" applyAlignment="1">
      <alignment horizontal="center" vertical="top"/>
    </xf>
    <xf numFmtId="0" fontId="222" fillId="5" borderId="3" xfId="0" applyFont="1" applyFill="1" applyBorder="1" applyAlignment="1">
      <alignment horizontal="center" vertical="top"/>
    </xf>
    <xf numFmtId="0" fontId="223" fillId="5" borderId="3" xfId="0" applyFont="1" applyFill="1" applyBorder="1" applyAlignment="1">
      <alignment horizontal="left" vertical="top" wrapText="1"/>
    </xf>
    <xf numFmtId="0" fontId="230" fillId="5" borderId="3" xfId="0" applyFont="1" applyFill="1" applyBorder="1" applyAlignment="1">
      <alignment horizontal="left" vertical="top" wrapText="1"/>
    </xf>
    <xf numFmtId="0" fontId="232" fillId="5" borderId="3" xfId="0" applyFont="1" applyFill="1" applyBorder="1" applyAlignment="1">
      <alignment horizontal="left" vertical="top" wrapText="1"/>
    </xf>
    <xf numFmtId="0" fontId="233" fillId="5" borderId="3" xfId="0" applyFont="1" applyFill="1" applyBorder="1" applyAlignment="1">
      <alignment horizontal="left" vertical="top" wrapText="1"/>
    </xf>
    <xf numFmtId="0" fontId="234" fillId="5" borderId="3" xfId="0" applyFont="1" applyFill="1" applyBorder="1" applyAlignment="1">
      <alignment horizontal="left" vertical="top" wrapText="1"/>
    </xf>
    <xf numFmtId="0" fontId="235" fillId="5" borderId="3" xfId="0" applyFont="1" applyFill="1" applyBorder="1" applyAlignment="1">
      <alignment horizontal="left" vertical="top" wrapText="1"/>
    </xf>
    <xf numFmtId="0" fontId="236" fillId="5" borderId="3" xfId="0" applyFont="1" applyFill="1" applyBorder="1" applyAlignment="1">
      <alignment horizontal="left" vertical="top" wrapText="1"/>
    </xf>
    <xf numFmtId="0" fontId="237" fillId="5" borderId="3" xfId="0" applyFont="1" applyFill="1" applyBorder="1" applyAlignment="1">
      <alignment horizontal="left" vertical="top" wrapText="1"/>
    </xf>
    <xf numFmtId="0" fontId="238" fillId="5" borderId="3" xfId="0" applyFont="1" applyFill="1" applyBorder="1" applyAlignment="1">
      <alignment horizontal="left" vertical="top" wrapText="1"/>
    </xf>
    <xf numFmtId="0" fontId="239" fillId="5" borderId="3" xfId="0" applyFont="1" applyFill="1" applyBorder="1" applyAlignment="1">
      <alignment horizontal="left" vertical="top" wrapText="1"/>
    </xf>
    <xf numFmtId="0" fontId="240" fillId="5" borderId="3" xfId="0" applyFont="1" applyFill="1" applyBorder="1" applyAlignment="1">
      <alignment horizontal="left" vertical="top" wrapText="1"/>
    </xf>
    <xf numFmtId="0" fontId="241" fillId="5" borderId="3" xfId="0" applyFont="1" applyFill="1" applyBorder="1" applyAlignment="1">
      <alignment horizontal="left" vertical="top" wrapText="1"/>
    </xf>
    <xf numFmtId="0" fontId="242" fillId="5" borderId="3" xfId="0" applyFont="1" applyFill="1" applyBorder="1" applyAlignment="1">
      <alignment horizontal="left" vertical="top" wrapText="1"/>
    </xf>
    <xf numFmtId="0" fontId="243" fillId="5" borderId="3" xfId="0" applyFont="1" applyFill="1" applyBorder="1" applyAlignment="1">
      <alignment horizontal="left" vertical="top" wrapText="1"/>
    </xf>
    <xf numFmtId="0" fontId="244" fillId="5" borderId="3" xfId="0" applyFont="1" applyFill="1" applyBorder="1" applyAlignment="1">
      <alignment horizontal="left" vertical="top" wrapText="1"/>
    </xf>
    <xf numFmtId="0" fontId="245" fillId="5" borderId="3" xfId="0" applyFont="1" applyFill="1" applyBorder="1" applyAlignment="1">
      <alignment horizontal="left" vertical="top" wrapText="1"/>
    </xf>
    <xf numFmtId="0" fontId="246" fillId="5" borderId="3" xfId="0" applyFont="1" applyFill="1" applyBorder="1" applyAlignment="1">
      <alignment horizontal="left" vertical="top" wrapText="1"/>
    </xf>
    <xf numFmtId="0" fontId="247" fillId="5" borderId="3" xfId="0" applyFont="1" applyFill="1" applyBorder="1" applyAlignment="1">
      <alignment horizontal="left" vertical="top" wrapText="1"/>
    </xf>
    <xf numFmtId="0" fontId="248" fillId="5" borderId="3" xfId="0" applyFont="1" applyFill="1" applyBorder="1" applyAlignment="1">
      <alignment horizontal="left" vertical="top" wrapText="1"/>
    </xf>
    <xf numFmtId="0" fontId="249" fillId="5" borderId="3" xfId="0" applyFont="1" applyFill="1" applyBorder="1" applyAlignment="1">
      <alignment horizontal="left" vertical="top" wrapText="1"/>
    </xf>
    <xf numFmtId="0" fontId="250" fillId="5" borderId="3" xfId="0" applyFont="1" applyFill="1" applyBorder="1" applyAlignment="1">
      <alignment horizontal="left" vertical="top" wrapText="1"/>
    </xf>
    <xf numFmtId="0" fontId="251" fillId="5" borderId="3" xfId="0" applyFont="1" applyFill="1" applyBorder="1" applyAlignment="1">
      <alignment horizontal="left" vertical="top" wrapText="1"/>
    </xf>
    <xf numFmtId="0" fontId="252" fillId="5" borderId="3" xfId="0" applyFont="1" applyFill="1" applyBorder="1" applyAlignment="1">
      <alignment horizontal="left" vertical="top" wrapText="1"/>
    </xf>
    <xf numFmtId="0" fontId="253" fillId="5" borderId="3" xfId="0" applyFont="1" applyFill="1" applyBorder="1" applyAlignment="1">
      <alignment horizontal="left" vertical="top" wrapText="1"/>
    </xf>
    <xf numFmtId="0" fontId="254" fillId="5" borderId="3" xfId="0" applyFont="1" applyFill="1" applyBorder="1" applyAlignment="1">
      <alignment horizontal="left" vertical="top" wrapText="1"/>
    </xf>
    <xf numFmtId="0" fontId="255" fillId="5" borderId="3" xfId="0" applyFont="1" applyFill="1" applyBorder="1" applyAlignment="1">
      <alignment horizontal="left" vertical="top" wrapText="1"/>
    </xf>
    <xf numFmtId="0" fontId="256" fillId="5" borderId="3" xfId="0" applyFont="1" applyFill="1" applyBorder="1" applyAlignment="1">
      <alignment horizontal="left" vertical="top" wrapText="1"/>
    </xf>
    <xf numFmtId="0" fontId="257" fillId="5" borderId="3" xfId="0" applyFont="1" applyFill="1" applyBorder="1" applyAlignment="1">
      <alignment horizontal="left" vertical="top" wrapText="1"/>
    </xf>
    <xf numFmtId="0" fontId="258" fillId="5" borderId="3" xfId="0" applyFont="1" applyFill="1" applyBorder="1" applyAlignment="1">
      <alignment horizontal="left" vertical="top" wrapText="1"/>
    </xf>
    <xf numFmtId="0" fontId="259" fillId="5" borderId="3" xfId="0" applyFont="1" applyFill="1" applyBorder="1" applyAlignment="1">
      <alignment horizontal="left" vertical="top" wrapText="1"/>
    </xf>
    <xf numFmtId="0" fontId="260" fillId="5" borderId="3" xfId="0" applyFont="1" applyFill="1" applyBorder="1" applyAlignment="1">
      <alignment horizontal="left" vertical="top" wrapText="1"/>
    </xf>
    <xf numFmtId="0" fontId="261" fillId="5" borderId="3" xfId="0" applyFont="1" applyFill="1" applyBorder="1" applyAlignment="1">
      <alignment horizontal="left" vertical="top" wrapText="1"/>
    </xf>
    <xf numFmtId="0" fontId="262" fillId="5" borderId="3" xfId="0" applyFont="1" applyFill="1" applyBorder="1" applyAlignment="1">
      <alignment horizontal="left" vertical="top" wrapText="1"/>
    </xf>
    <xf numFmtId="0" fontId="263" fillId="5" borderId="3" xfId="0" applyFont="1" applyFill="1" applyBorder="1" applyAlignment="1">
      <alignment horizontal="left" vertical="top" wrapText="1"/>
    </xf>
    <xf numFmtId="0" fontId="264" fillId="5" borderId="3" xfId="0" applyFont="1" applyFill="1" applyBorder="1" applyAlignment="1">
      <alignment horizontal="left" vertical="top" wrapText="1"/>
    </xf>
    <xf numFmtId="0" fontId="265" fillId="5" borderId="3" xfId="0" applyFont="1" applyFill="1" applyBorder="1" applyAlignment="1">
      <alignment horizontal="left" vertical="top" wrapText="1"/>
    </xf>
    <xf numFmtId="0" fontId="266" fillId="5" borderId="3" xfId="0" applyFont="1" applyFill="1" applyBorder="1" applyAlignment="1">
      <alignment horizontal="left" vertical="top" wrapText="1"/>
    </xf>
    <xf numFmtId="0" fontId="267" fillId="5" borderId="3" xfId="0" applyFont="1" applyFill="1" applyBorder="1" applyAlignment="1">
      <alignment horizontal="left" vertical="top" wrapText="1"/>
    </xf>
    <xf numFmtId="0" fontId="268" fillId="5" borderId="3" xfId="0" applyFont="1" applyFill="1" applyBorder="1" applyAlignment="1">
      <alignment horizontal="left" vertical="top" wrapText="1"/>
    </xf>
    <xf numFmtId="0" fontId="269" fillId="5" borderId="3" xfId="0" applyFont="1" applyFill="1" applyBorder="1" applyAlignment="1">
      <alignment horizontal="left" vertical="top" wrapText="1"/>
    </xf>
    <xf numFmtId="0" fontId="270" fillId="5" borderId="3" xfId="0" applyFont="1" applyFill="1" applyBorder="1" applyAlignment="1">
      <alignment horizontal="left" vertical="top" wrapText="1"/>
    </xf>
    <xf numFmtId="0" fontId="271" fillId="5" borderId="3" xfId="0" applyFont="1" applyFill="1" applyBorder="1" applyAlignment="1">
      <alignment horizontal="left" vertical="top" wrapText="1"/>
    </xf>
    <xf numFmtId="0" fontId="272" fillId="5" borderId="3" xfId="0" applyFont="1" applyFill="1" applyBorder="1" applyAlignment="1">
      <alignment horizontal="left" vertical="top" wrapText="1"/>
    </xf>
    <xf numFmtId="0" fontId="273" fillId="5" borderId="3" xfId="0" applyFont="1" applyFill="1" applyBorder="1" applyAlignment="1">
      <alignment horizontal="left" vertical="top" wrapText="1"/>
    </xf>
    <xf numFmtId="0" fontId="274" fillId="5" borderId="3" xfId="0" applyFont="1" applyFill="1" applyBorder="1" applyAlignment="1">
      <alignment horizontal="left" vertical="top" wrapText="1"/>
    </xf>
    <xf numFmtId="0" fontId="275" fillId="5" borderId="3" xfId="0" applyFont="1" applyFill="1" applyBorder="1" applyAlignment="1">
      <alignment horizontal="left" vertical="top" wrapText="1"/>
    </xf>
    <xf numFmtId="0" fontId="276" fillId="5" borderId="3" xfId="0" applyFont="1" applyFill="1" applyBorder="1" applyAlignment="1">
      <alignment horizontal="left" vertical="top" wrapText="1"/>
    </xf>
    <xf numFmtId="0" fontId="277" fillId="5" borderId="3" xfId="0" applyFont="1" applyFill="1" applyBorder="1" applyAlignment="1">
      <alignment horizontal="left" vertical="top" wrapText="1"/>
    </xf>
    <xf numFmtId="0" fontId="278" fillId="5" borderId="3" xfId="0" applyFont="1" applyFill="1" applyBorder="1" applyAlignment="1">
      <alignment horizontal="left" vertical="top" wrapText="1"/>
    </xf>
    <xf numFmtId="0" fontId="279" fillId="5" borderId="3" xfId="0" applyFont="1" applyFill="1" applyBorder="1" applyAlignment="1">
      <alignment horizontal="left" vertical="top" wrapText="1"/>
    </xf>
    <xf numFmtId="0" fontId="280" fillId="5" borderId="3" xfId="0" applyFont="1" applyFill="1" applyBorder="1" applyAlignment="1">
      <alignment horizontal="left" vertical="top" wrapText="1"/>
    </xf>
    <xf numFmtId="0" fontId="281" fillId="5" borderId="3" xfId="0" applyFont="1" applyFill="1" applyBorder="1" applyAlignment="1">
      <alignment horizontal="left" vertical="top" wrapText="1"/>
    </xf>
    <xf numFmtId="0" fontId="282" fillId="5" borderId="3" xfId="0" applyFont="1" applyFill="1" applyBorder="1" applyAlignment="1">
      <alignment horizontal="left" vertical="top" wrapText="1"/>
    </xf>
    <xf numFmtId="0" fontId="303" fillId="5" borderId="3" xfId="0" applyFont="1" applyFill="1" applyBorder="1" applyAlignment="1">
      <alignment horizontal="left" vertical="top" wrapText="1"/>
    </xf>
    <xf numFmtId="0" fontId="304" fillId="5" borderId="3" xfId="0" applyFont="1" applyFill="1" applyBorder="1" applyAlignment="1">
      <alignment horizontal="center" vertical="top"/>
    </xf>
    <xf numFmtId="0" fontId="305" fillId="5" borderId="3" xfId="0" applyFont="1" applyFill="1" applyBorder="1" applyAlignment="1">
      <alignment horizontal="center" vertical="top"/>
    </xf>
    <xf numFmtId="0" fontId="306" fillId="5" borderId="3" xfId="0" applyFont="1" applyFill="1" applyBorder="1" applyAlignment="1">
      <alignment horizontal="center" vertical="top"/>
    </xf>
    <xf numFmtId="0" fontId="307" fillId="5" borderId="3" xfId="0" applyFont="1" applyFill="1" applyBorder="1" applyAlignment="1">
      <alignment horizontal="center" vertical="top"/>
    </xf>
    <xf numFmtId="0" fontId="308" fillId="5" borderId="3" xfId="0" applyFont="1" applyFill="1" applyBorder="1" applyAlignment="1">
      <alignment horizontal="center" vertical="top"/>
    </xf>
    <xf numFmtId="0" fontId="309" fillId="5" borderId="3" xfId="0" applyFont="1" applyFill="1" applyBorder="1" applyAlignment="1">
      <alignment horizontal="center" vertical="top"/>
    </xf>
    <xf numFmtId="0" fontId="310" fillId="5" borderId="3" xfId="0" applyFont="1" applyFill="1" applyBorder="1" applyAlignment="1">
      <alignment horizontal="center" vertical="top"/>
    </xf>
    <xf numFmtId="0" fontId="311" fillId="5" borderId="3" xfId="0" applyFont="1" applyFill="1" applyBorder="1" applyAlignment="1">
      <alignment horizontal="center" vertical="top"/>
    </xf>
    <xf numFmtId="0" fontId="312" fillId="5" borderId="3" xfId="0" applyFont="1" applyFill="1" applyBorder="1" applyAlignment="1">
      <alignment horizontal="center" vertical="top"/>
    </xf>
    <xf numFmtId="0" fontId="313" fillId="5" borderId="3" xfId="0" applyFont="1" applyFill="1" applyBorder="1" applyAlignment="1">
      <alignment horizontal="center" vertical="top"/>
    </xf>
    <xf numFmtId="0" fontId="314" fillId="5" borderId="3" xfId="0" applyFont="1" applyFill="1" applyBorder="1" applyAlignment="1">
      <alignment horizontal="left" vertical="top" wrapText="1"/>
    </xf>
    <xf numFmtId="0" fontId="315" fillId="5" borderId="3" xfId="0" applyFont="1" applyFill="1" applyBorder="1" applyAlignment="1">
      <alignment horizontal="left" vertical="top" wrapText="1"/>
    </xf>
    <xf numFmtId="0" fontId="316" fillId="5" borderId="3" xfId="0" applyFont="1" applyFill="1" applyBorder="1" applyAlignment="1">
      <alignment horizontal="left" vertical="top" wrapText="1"/>
    </xf>
    <xf numFmtId="0" fontId="317" fillId="5" borderId="3" xfId="0" applyFont="1" applyFill="1" applyBorder="1" applyAlignment="1">
      <alignment horizontal="left" vertical="top" wrapText="1"/>
    </xf>
    <xf numFmtId="0" fontId="318" fillId="5" borderId="3" xfId="0" applyFont="1" applyFill="1" applyBorder="1" applyAlignment="1">
      <alignment horizontal="left" vertical="top" wrapText="1"/>
    </xf>
    <xf numFmtId="0" fontId="319" fillId="5" borderId="3" xfId="0" applyFont="1" applyFill="1" applyBorder="1" applyAlignment="1">
      <alignment horizontal="left" vertical="top" wrapText="1"/>
    </xf>
    <xf numFmtId="0" fontId="320" fillId="5" borderId="3" xfId="0" applyFont="1" applyFill="1" applyBorder="1" applyAlignment="1">
      <alignment horizontal="left" vertical="top" wrapText="1"/>
    </xf>
    <xf numFmtId="0" fontId="321" fillId="5" borderId="3" xfId="0" applyFont="1" applyFill="1" applyBorder="1" applyAlignment="1">
      <alignment horizontal="left" vertical="top" wrapText="1"/>
    </xf>
    <xf numFmtId="0" fontId="322" fillId="5" borderId="3" xfId="0" applyFont="1" applyFill="1" applyBorder="1" applyAlignment="1">
      <alignment horizontal="left" vertical="top" wrapText="1"/>
    </xf>
    <xf numFmtId="0" fontId="323" fillId="5" borderId="3" xfId="0" applyFont="1" applyFill="1" applyBorder="1" applyAlignment="1">
      <alignment horizontal="left" vertical="top" wrapText="1"/>
    </xf>
    <xf numFmtId="0" fontId="324" fillId="5" borderId="3" xfId="0" applyFont="1" applyFill="1" applyBorder="1" applyAlignment="1">
      <alignment horizontal="left" vertical="top" wrapText="1"/>
    </xf>
    <xf numFmtId="0" fontId="325" fillId="5" borderId="3" xfId="0" applyFont="1" applyFill="1" applyBorder="1" applyAlignment="1">
      <alignment horizontal="left" vertical="top" wrapText="1"/>
    </xf>
    <xf numFmtId="0" fontId="327" fillId="5" borderId="3" xfId="0" applyFont="1" applyFill="1" applyBorder="1" applyAlignment="1">
      <alignment horizontal="center" vertical="top"/>
    </xf>
    <xf numFmtId="0" fontId="328" fillId="5" borderId="3" xfId="0" applyFont="1" applyFill="1" applyBorder="1" applyAlignment="1">
      <alignment horizontal="center" vertical="top"/>
    </xf>
    <xf numFmtId="0" fontId="374" fillId="5" borderId="3" xfId="0" applyFont="1" applyFill="1" applyBorder="1" applyAlignment="1">
      <alignment horizontal="left" vertical="top" wrapText="1"/>
    </xf>
    <xf numFmtId="0" fontId="375" fillId="5" borderId="3" xfId="0" applyFont="1" applyFill="1" applyBorder="1" applyAlignment="1">
      <alignment horizontal="left" vertical="top" wrapText="1"/>
    </xf>
    <xf numFmtId="0" fontId="376" fillId="5" borderId="3" xfId="0" applyFont="1" applyFill="1" applyBorder="1" applyAlignment="1">
      <alignment horizontal="left" vertical="top" wrapText="1"/>
    </xf>
    <xf numFmtId="0" fontId="377" fillId="5" borderId="3" xfId="0" applyFont="1" applyFill="1" applyBorder="1" applyAlignment="1">
      <alignment horizontal="left" vertical="top" wrapText="1"/>
    </xf>
    <xf numFmtId="0" fontId="378" fillId="5" borderId="3" xfId="0" applyFont="1" applyFill="1" applyBorder="1" applyAlignment="1">
      <alignment horizontal="left" vertical="top" wrapText="1"/>
    </xf>
    <xf numFmtId="0" fontId="379" fillId="5" borderId="3" xfId="0" applyFont="1" applyFill="1" applyBorder="1" applyAlignment="1">
      <alignment horizontal="left" vertical="top" wrapText="1"/>
    </xf>
    <xf numFmtId="0" fontId="380" fillId="5" borderId="3" xfId="0" applyFont="1" applyFill="1" applyBorder="1" applyAlignment="1">
      <alignment horizontal="left" vertical="top" wrapText="1"/>
    </xf>
    <xf numFmtId="0" fontId="381" fillId="5" borderId="3" xfId="0" applyFont="1" applyFill="1" applyBorder="1" applyAlignment="1">
      <alignment horizontal="left" vertical="top" wrapText="1"/>
    </xf>
    <xf numFmtId="0" fontId="382" fillId="5" borderId="3" xfId="0" applyFont="1" applyFill="1" applyBorder="1" applyAlignment="1">
      <alignment horizontal="left" vertical="top" wrapText="1"/>
    </xf>
    <xf numFmtId="0" fontId="383" fillId="5" borderId="3" xfId="0" applyFont="1" applyFill="1" applyBorder="1" applyAlignment="1">
      <alignment horizontal="left" vertical="top" wrapText="1"/>
    </xf>
    <xf numFmtId="0" fontId="384" fillId="5" borderId="3" xfId="0" applyFont="1" applyFill="1" applyBorder="1" applyAlignment="1">
      <alignment horizontal="left" vertical="top" wrapText="1"/>
    </xf>
    <xf numFmtId="0" fontId="385" fillId="5" borderId="3" xfId="0" applyFont="1" applyFill="1" applyBorder="1" applyAlignment="1">
      <alignment horizontal="center" vertical="top"/>
    </xf>
    <xf numFmtId="0" fontId="386" fillId="5" borderId="3" xfId="0" applyFont="1" applyFill="1" applyBorder="1" applyAlignment="1">
      <alignment horizontal="left" vertical="top" wrapText="1"/>
    </xf>
    <xf numFmtId="0" fontId="387" fillId="5" borderId="3" xfId="0" applyFont="1" applyFill="1" applyBorder="1" applyAlignment="1">
      <alignment horizontal="left" vertical="top" wrapText="1"/>
    </xf>
    <xf numFmtId="0" fontId="390" fillId="5" borderId="3" xfId="0" applyFont="1" applyFill="1" applyBorder="1" applyAlignment="1">
      <alignment horizontal="left" vertical="top" wrapText="1"/>
    </xf>
    <xf numFmtId="0" fontId="391" fillId="5" borderId="3" xfId="0" applyFont="1" applyFill="1" applyBorder="1" applyAlignment="1">
      <alignment horizontal="left" vertical="top" wrapText="1"/>
    </xf>
    <xf numFmtId="0" fontId="392" fillId="5" borderId="3" xfId="0" applyFont="1" applyFill="1" applyBorder="1" applyAlignment="1">
      <alignment horizontal="center" vertical="top"/>
    </xf>
    <xf numFmtId="0" fontId="393" fillId="5" borderId="3" xfId="0" applyFont="1" applyFill="1" applyBorder="1" applyAlignment="1">
      <alignment horizontal="center" vertical="top"/>
    </xf>
    <xf numFmtId="0" fontId="394" fillId="5" borderId="3" xfId="0" applyFont="1" applyFill="1" applyBorder="1" applyAlignment="1">
      <alignment horizontal="left" vertical="top" wrapText="1"/>
    </xf>
    <xf numFmtId="0" fontId="395" fillId="5" borderId="3" xfId="0" applyFont="1" applyFill="1" applyBorder="1" applyAlignment="1">
      <alignment horizontal="left" vertical="top" wrapText="1"/>
    </xf>
    <xf numFmtId="0" fontId="396" fillId="5" borderId="3" xfId="0" applyFont="1" applyFill="1" applyBorder="1" applyAlignment="1">
      <alignment horizontal="left" vertical="top" wrapText="1"/>
    </xf>
    <xf numFmtId="0" fontId="397" fillId="5" borderId="3" xfId="0" applyFont="1" applyFill="1" applyBorder="1" applyAlignment="1">
      <alignment horizontal="left" vertical="top" wrapText="1"/>
    </xf>
    <xf numFmtId="0" fontId="398" fillId="5" borderId="3" xfId="0" applyFont="1" applyFill="1" applyBorder="1" applyAlignment="1">
      <alignment horizontal="left" vertical="top" wrapText="1"/>
    </xf>
    <xf numFmtId="0" fontId="399" fillId="5" borderId="3" xfId="0" applyFont="1" applyFill="1" applyBorder="1" applyAlignment="1">
      <alignment horizontal="left" vertical="top" wrapText="1"/>
    </xf>
    <xf numFmtId="0" fontId="400" fillId="5" borderId="3" xfId="0" applyFont="1" applyFill="1" applyBorder="1" applyAlignment="1">
      <alignment horizontal="left" vertical="top" wrapText="1"/>
    </xf>
    <xf numFmtId="0" fontId="401" fillId="5" borderId="3" xfId="0" applyFont="1" applyFill="1" applyBorder="1" applyAlignment="1">
      <alignment horizontal="left" vertical="top" wrapText="1"/>
    </xf>
    <xf numFmtId="0" fontId="402" fillId="5" borderId="3" xfId="0" applyFont="1" applyFill="1" applyBorder="1" applyAlignment="1">
      <alignment horizontal="left" vertical="top" wrapText="1"/>
    </xf>
    <xf numFmtId="0" fontId="403" fillId="5" borderId="3" xfId="0" applyFont="1" applyFill="1" applyBorder="1" applyAlignment="1">
      <alignment horizontal="left" vertical="top" wrapText="1"/>
    </xf>
    <xf numFmtId="0" fontId="404" fillId="5" borderId="3" xfId="0" applyFont="1" applyFill="1" applyBorder="1" applyAlignment="1">
      <alignment horizontal="left" vertical="top" wrapText="1"/>
    </xf>
    <xf numFmtId="0" fontId="405" fillId="5" borderId="3" xfId="0" applyFont="1" applyFill="1" applyBorder="1" applyAlignment="1">
      <alignment horizontal="left" vertical="top" wrapText="1"/>
    </xf>
    <xf numFmtId="0" fontId="406" fillId="5" borderId="3" xfId="0" applyFont="1" applyFill="1" applyBorder="1" applyAlignment="1">
      <alignment horizontal="left" vertical="top" wrapText="1"/>
    </xf>
    <xf numFmtId="0" fontId="407" fillId="5" borderId="3" xfId="0" applyFont="1" applyFill="1" applyBorder="1" applyAlignment="1">
      <alignment horizontal="left" vertical="top" wrapText="1"/>
    </xf>
    <xf numFmtId="0" fontId="408" fillId="5" borderId="3" xfId="0" applyFont="1" applyFill="1" applyBorder="1" applyAlignment="1">
      <alignment horizontal="left" vertical="top" wrapText="1"/>
    </xf>
    <xf numFmtId="0" fontId="409" fillId="5" borderId="3" xfId="0" applyFont="1" applyFill="1" applyBorder="1" applyAlignment="1">
      <alignment horizontal="left" vertical="top" wrapText="1"/>
    </xf>
    <xf numFmtId="0" fontId="410" fillId="5" borderId="3" xfId="0" applyFont="1" applyFill="1" applyBorder="1" applyAlignment="1">
      <alignment horizontal="left" vertical="top" wrapText="1"/>
    </xf>
    <xf numFmtId="0" fontId="411" fillId="5" borderId="3" xfId="0" applyFont="1" applyFill="1" applyBorder="1" applyAlignment="1">
      <alignment horizontal="left" vertical="top" wrapText="1"/>
    </xf>
    <xf numFmtId="0" fontId="414" fillId="5" borderId="3" xfId="0" applyFont="1" applyFill="1" applyBorder="1" applyAlignment="1">
      <alignment horizontal="left" vertical="top" wrapText="1"/>
    </xf>
    <xf numFmtId="0" fontId="415" fillId="5" borderId="3" xfId="0" applyFont="1" applyFill="1" applyBorder="1" applyAlignment="1">
      <alignment horizontal="left" vertical="top" wrapText="1"/>
    </xf>
    <xf numFmtId="0" fontId="416" fillId="5" borderId="3" xfId="0" applyFont="1" applyFill="1" applyBorder="1" applyAlignment="1">
      <alignment horizontal="left" vertical="top" wrapText="1"/>
    </xf>
    <xf numFmtId="0" fontId="417" fillId="5" borderId="3" xfId="0" applyFont="1" applyFill="1" applyBorder="1" applyAlignment="1">
      <alignment horizontal="center" vertical="top"/>
    </xf>
    <xf numFmtId="0" fontId="418" fillId="5" borderId="3" xfId="0" applyFont="1" applyFill="1" applyBorder="1" applyAlignment="1">
      <alignment horizontal="center" vertical="top"/>
    </xf>
    <xf numFmtId="0" fontId="419" fillId="5" borderId="3" xfId="0" applyFont="1" applyFill="1" applyBorder="1" applyAlignment="1">
      <alignment horizontal="center" vertical="top"/>
    </xf>
    <xf numFmtId="0" fontId="420" fillId="5" borderId="3" xfId="0" applyFont="1" applyFill="1" applyBorder="1" applyAlignment="1">
      <alignment horizontal="left" vertical="top" wrapText="1"/>
    </xf>
    <xf numFmtId="0" fontId="421" fillId="5" borderId="3" xfId="0" applyFont="1" applyFill="1" applyBorder="1" applyAlignment="1">
      <alignment horizontal="center" vertical="top"/>
    </xf>
    <xf numFmtId="0" fontId="422" fillId="5" borderId="3" xfId="0" applyFont="1" applyFill="1" applyBorder="1" applyAlignment="1">
      <alignment horizontal="center" vertical="top"/>
    </xf>
    <xf numFmtId="0" fontId="423" fillId="5" borderId="3" xfId="0" applyFont="1" applyFill="1" applyBorder="1" applyAlignment="1">
      <alignment horizontal="left" vertical="top" wrapText="1"/>
    </xf>
    <xf numFmtId="0" fontId="424" fillId="5" borderId="3" xfId="0" applyFont="1" applyFill="1" applyBorder="1" applyAlignment="1">
      <alignment horizontal="left" vertical="top" wrapText="1"/>
    </xf>
    <xf numFmtId="0" fontId="425" fillId="5" borderId="3" xfId="0" applyFont="1" applyFill="1" applyBorder="1" applyAlignment="1">
      <alignment horizontal="left" vertical="top" wrapText="1"/>
    </xf>
    <xf numFmtId="0" fontId="426" fillId="5" borderId="3" xfId="0" applyFont="1" applyFill="1" applyBorder="1" applyAlignment="1">
      <alignment horizontal="left" vertical="top" wrapText="1"/>
    </xf>
    <xf numFmtId="0" fontId="427" fillId="5" borderId="3" xfId="0" applyFont="1" applyFill="1" applyBorder="1" applyAlignment="1">
      <alignment horizontal="left" vertical="top" wrapText="1"/>
    </xf>
    <xf numFmtId="0" fontId="428" fillId="5" borderId="3" xfId="0" applyFont="1" applyFill="1" applyBorder="1" applyAlignment="1">
      <alignment horizontal="left" vertical="top" wrapText="1"/>
    </xf>
    <xf numFmtId="0" fontId="429" fillId="5" borderId="3" xfId="0" applyFont="1" applyFill="1" applyBorder="1" applyAlignment="1">
      <alignment horizontal="center" vertical="top"/>
    </xf>
    <xf numFmtId="0" fontId="430" fillId="5" borderId="3" xfId="0" applyFont="1" applyFill="1" applyBorder="1" applyAlignment="1">
      <alignment horizontal="left" vertical="top" wrapText="1"/>
    </xf>
    <xf numFmtId="0" fontId="431" fillId="5" borderId="3" xfId="0" applyFont="1" applyFill="1" applyBorder="1" applyAlignment="1">
      <alignment horizontal="left" vertical="top" wrapText="1"/>
    </xf>
    <xf numFmtId="0" fontId="432" fillId="5" borderId="3" xfId="0" applyFont="1" applyFill="1" applyBorder="1" applyAlignment="1">
      <alignment horizontal="left" vertical="top" wrapText="1"/>
    </xf>
    <xf numFmtId="0" fontId="433" fillId="5" borderId="3" xfId="0" applyFont="1" applyFill="1" applyBorder="1" applyAlignment="1">
      <alignment horizontal="left" vertical="top" wrapText="1"/>
    </xf>
    <xf numFmtId="0" fontId="434" fillId="5" borderId="3" xfId="0" applyFont="1" applyFill="1" applyBorder="1" applyAlignment="1">
      <alignment horizontal="left" vertical="top" wrapText="1"/>
    </xf>
    <xf numFmtId="0" fontId="435" fillId="5" borderId="3" xfId="0" applyFont="1" applyFill="1" applyBorder="1" applyAlignment="1">
      <alignment horizontal="left" vertical="top" wrapText="1"/>
    </xf>
    <xf numFmtId="0" fontId="436" fillId="5" borderId="3" xfId="0" applyFont="1" applyFill="1" applyBorder="1" applyAlignment="1">
      <alignment horizontal="center" vertical="top"/>
    </xf>
    <xf numFmtId="0" fontId="445" fillId="5" borderId="3" xfId="0" applyFont="1" applyFill="1" applyBorder="1" applyAlignment="1">
      <alignment horizontal="left" vertical="top" wrapText="1"/>
    </xf>
    <xf numFmtId="0" fontId="447" fillId="5" borderId="3" xfId="0" applyFont="1" applyFill="1" applyBorder="1" applyAlignment="1">
      <alignment horizontal="center" vertical="top"/>
    </xf>
    <xf numFmtId="0" fontId="448" fillId="5" borderId="3" xfId="0" applyFont="1" applyFill="1" applyBorder="1" applyAlignment="1">
      <alignment horizontal="left" vertical="top" wrapText="1"/>
    </xf>
    <xf numFmtId="0" fontId="452" fillId="5" borderId="3" xfId="0" applyFont="1" applyFill="1" applyBorder="1" applyAlignment="1">
      <alignment horizontal="left" vertical="top" wrapText="1"/>
    </xf>
    <xf numFmtId="0" fontId="453" fillId="5" borderId="3" xfId="0" applyFont="1" applyFill="1" applyBorder="1" applyAlignment="1">
      <alignment horizontal="left" vertical="top" wrapText="1"/>
    </xf>
    <xf numFmtId="0" fontId="454" fillId="5" borderId="3" xfId="0" applyFont="1" applyFill="1" applyBorder="1" applyAlignment="1">
      <alignment horizontal="left" vertical="top" wrapText="1"/>
    </xf>
    <xf numFmtId="0" fontId="455" fillId="5" borderId="3" xfId="0" applyFont="1" applyFill="1" applyBorder="1" applyAlignment="1">
      <alignment horizontal="left" vertical="top" wrapText="1"/>
    </xf>
    <xf numFmtId="0" fontId="456" fillId="5" borderId="3" xfId="0" applyFont="1" applyFill="1" applyBorder="1" applyAlignment="1">
      <alignment horizontal="left" vertical="top" wrapText="1"/>
    </xf>
    <xf numFmtId="0" fontId="457" fillId="5" borderId="3" xfId="0" applyFont="1" applyFill="1" applyBorder="1" applyAlignment="1">
      <alignment horizontal="left" vertical="top" wrapText="1"/>
    </xf>
    <xf numFmtId="0" fontId="458" fillId="5" borderId="3" xfId="0" applyFont="1" applyFill="1" applyBorder="1" applyAlignment="1">
      <alignment horizontal="left" vertical="top" wrapText="1"/>
    </xf>
    <xf numFmtId="0" fontId="459" fillId="5" borderId="3" xfId="0" applyFont="1" applyFill="1" applyBorder="1" applyAlignment="1">
      <alignment horizontal="center" vertical="top"/>
    </xf>
    <xf numFmtId="0" fontId="460" fillId="5" borderId="3" xfId="0" applyFont="1" applyFill="1" applyBorder="1" applyAlignment="1">
      <alignment horizontal="center" vertical="top"/>
    </xf>
    <xf numFmtId="0" fontId="461" fillId="5" borderId="3" xfId="0" applyFont="1" applyFill="1" applyBorder="1" applyAlignment="1">
      <alignment horizontal="center" vertical="top"/>
    </xf>
    <xf numFmtId="0" fontId="462" fillId="5" borderId="3" xfId="0" applyFont="1" applyFill="1" applyBorder="1" applyAlignment="1">
      <alignment horizontal="center" vertical="top"/>
    </xf>
    <xf numFmtId="0" fontId="463" fillId="5" borderId="3" xfId="0" applyFont="1" applyFill="1" applyBorder="1" applyAlignment="1">
      <alignment horizontal="left" vertical="top" wrapText="1"/>
    </xf>
    <xf numFmtId="0" fontId="464" fillId="5" borderId="3" xfId="0" applyFont="1" applyFill="1" applyBorder="1" applyAlignment="1">
      <alignment horizontal="left" vertical="top" wrapText="1"/>
    </xf>
    <xf numFmtId="0" fontId="465" fillId="5" borderId="3" xfId="0" applyFont="1" applyFill="1" applyBorder="1" applyAlignment="1">
      <alignment horizontal="left" vertical="top" wrapText="1"/>
    </xf>
    <xf numFmtId="0" fontId="471" fillId="5" borderId="3" xfId="0" applyFont="1" applyFill="1" applyBorder="1" applyAlignment="1">
      <alignment horizontal="left" vertical="top" wrapText="1"/>
    </xf>
    <xf numFmtId="0" fontId="472" fillId="5" borderId="3" xfId="0" applyFont="1" applyFill="1" applyBorder="1" applyAlignment="1">
      <alignment horizontal="center" vertical="top"/>
    </xf>
    <xf numFmtId="0" fontId="487" fillId="5" borderId="3" xfId="0" applyFont="1" applyFill="1" applyBorder="1" applyAlignment="1">
      <alignment horizontal="left" vertical="top" wrapText="1"/>
    </xf>
    <xf numFmtId="0" fontId="488" fillId="5" borderId="3" xfId="0" applyFont="1" applyFill="1" applyBorder="1" applyAlignment="1">
      <alignment horizontal="left" vertical="top" wrapText="1"/>
    </xf>
    <xf numFmtId="0" fontId="489" fillId="5" borderId="3" xfId="0" applyFont="1" applyFill="1" applyBorder="1" applyAlignment="1">
      <alignment horizontal="left" vertical="top" wrapText="1"/>
    </xf>
    <xf numFmtId="0" fontId="490" fillId="5" borderId="3" xfId="0" applyFont="1" applyFill="1" applyBorder="1" applyAlignment="1">
      <alignment horizontal="left" vertical="top" wrapText="1"/>
    </xf>
    <xf numFmtId="0" fontId="491" fillId="5" borderId="3" xfId="0" applyFont="1" applyFill="1" applyBorder="1" applyAlignment="1">
      <alignment horizontal="left" vertical="top" wrapText="1"/>
    </xf>
    <xf numFmtId="0" fontId="492" fillId="5" borderId="3" xfId="0" applyFont="1" applyFill="1" applyBorder="1" applyAlignment="1">
      <alignment horizontal="left" vertical="top" wrapText="1"/>
    </xf>
    <xf numFmtId="0" fontId="493" fillId="5" borderId="3" xfId="0" applyFont="1" applyFill="1" applyBorder="1" applyAlignment="1">
      <alignment horizontal="left" vertical="top" wrapText="1"/>
    </xf>
    <xf numFmtId="0" fontId="494" fillId="5" borderId="3" xfId="0" applyFont="1" applyFill="1" applyBorder="1" applyAlignment="1">
      <alignment horizontal="left" vertical="top" wrapText="1"/>
    </xf>
    <xf numFmtId="0" fontId="495" fillId="5" borderId="3" xfId="0" applyFont="1" applyFill="1" applyBorder="1" applyAlignment="1">
      <alignment horizontal="left" vertical="top" wrapText="1"/>
    </xf>
    <xf numFmtId="0" fontId="496" fillId="5" borderId="3" xfId="0" applyFont="1" applyFill="1" applyBorder="1" applyAlignment="1">
      <alignment horizontal="left" vertical="top" wrapText="1"/>
    </xf>
    <xf numFmtId="0" fontId="497" fillId="5" borderId="3" xfId="0" applyFont="1" applyFill="1" applyBorder="1" applyAlignment="1">
      <alignment horizontal="center" vertical="top"/>
    </xf>
    <xf numFmtId="0" fontId="498" fillId="5" borderId="3" xfId="0" applyFont="1" applyFill="1" applyBorder="1" applyAlignment="1">
      <alignment horizontal="left" vertical="top" wrapText="1"/>
    </xf>
    <xf numFmtId="0" fontId="499" fillId="5" borderId="3" xfId="0" applyFont="1" applyFill="1" applyBorder="1" applyAlignment="1">
      <alignment horizontal="left" vertical="top" wrapText="1"/>
    </xf>
    <xf numFmtId="0" fontId="500" fillId="5" borderId="3" xfId="0" applyFont="1" applyFill="1" applyBorder="1" applyAlignment="1">
      <alignment horizontal="left" vertical="top" wrapText="1"/>
    </xf>
    <xf numFmtId="0" fontId="501" fillId="5" borderId="3" xfId="0" applyFont="1" applyFill="1" applyBorder="1" applyAlignment="1">
      <alignment horizontal="left" vertical="top" wrapText="1"/>
    </xf>
    <xf numFmtId="0" fontId="502" fillId="5" borderId="3" xfId="0" applyFont="1" applyFill="1" applyBorder="1" applyAlignment="1">
      <alignment horizontal="left" vertical="top" wrapText="1"/>
    </xf>
    <xf numFmtId="0" fontId="503" fillId="5" borderId="3" xfId="0" applyFont="1" applyFill="1" applyBorder="1" applyAlignment="1">
      <alignment horizontal="center" vertical="top"/>
    </xf>
    <xf numFmtId="0" fontId="504" fillId="5" borderId="3" xfId="0" applyFont="1" applyFill="1" applyBorder="1" applyAlignment="1">
      <alignment horizontal="left" vertical="top" wrapText="1"/>
    </xf>
    <xf numFmtId="0" fontId="505" fillId="5" borderId="3" xfId="0" applyFont="1" applyFill="1" applyBorder="1" applyAlignment="1">
      <alignment horizontal="left" vertical="top" wrapText="1"/>
    </xf>
    <xf numFmtId="0" fontId="506" fillId="5" borderId="3" xfId="0" applyFont="1" applyFill="1" applyBorder="1" applyAlignment="1">
      <alignment horizontal="left" vertical="top" wrapText="1"/>
    </xf>
    <xf numFmtId="0" fontId="507" fillId="5" borderId="3" xfId="0" applyFont="1" applyFill="1" applyBorder="1" applyAlignment="1">
      <alignment horizontal="left" vertical="top" wrapText="1"/>
    </xf>
    <xf numFmtId="0" fontId="508" fillId="5" borderId="3" xfId="0" applyFont="1" applyFill="1" applyBorder="1" applyAlignment="1">
      <alignment horizontal="left" vertical="top" wrapText="1"/>
    </xf>
    <xf numFmtId="0" fontId="509" fillId="5" borderId="3" xfId="0" applyFont="1" applyFill="1" applyBorder="1" applyAlignment="1">
      <alignment horizontal="left" vertical="top" wrapText="1"/>
    </xf>
    <xf numFmtId="0" fontId="510" fillId="5" borderId="3" xfId="0" applyFont="1" applyFill="1" applyBorder="1" applyAlignment="1">
      <alignment horizontal="left" vertical="top" wrapText="1"/>
    </xf>
    <xf numFmtId="0" fontId="511" fillId="5" borderId="3" xfId="0" applyFont="1" applyFill="1" applyBorder="1" applyAlignment="1">
      <alignment horizontal="left" vertical="top" wrapText="1"/>
    </xf>
    <xf numFmtId="0" fontId="512" fillId="5" borderId="3" xfId="0" applyFont="1" applyFill="1" applyBorder="1" applyAlignment="1">
      <alignment horizontal="left" vertical="top" wrapText="1"/>
    </xf>
    <xf numFmtId="0" fontId="513" fillId="5" borderId="3" xfId="0" applyFont="1" applyFill="1" applyBorder="1" applyAlignment="1">
      <alignment horizontal="left" vertical="top" wrapText="1"/>
    </xf>
    <xf numFmtId="0" fontId="514" fillId="5" borderId="3" xfId="0" applyFont="1" applyFill="1" applyBorder="1" applyAlignment="1">
      <alignment horizontal="left" vertical="top" wrapText="1"/>
    </xf>
    <xf numFmtId="0" fontId="515" fillId="5" borderId="3" xfId="0" applyFont="1" applyFill="1" applyBorder="1" applyAlignment="1">
      <alignment horizontal="left" vertical="top" wrapText="1"/>
    </xf>
    <xf numFmtId="0" fontId="516" fillId="5" borderId="3" xfId="0" applyFont="1" applyFill="1" applyBorder="1" applyAlignment="1">
      <alignment horizontal="left" vertical="top" wrapText="1"/>
    </xf>
    <xf numFmtId="0" fontId="517" fillId="5" borderId="3" xfId="0" applyFont="1" applyFill="1" applyBorder="1" applyAlignment="1">
      <alignment horizontal="left" vertical="top" wrapText="1"/>
    </xf>
    <xf numFmtId="0" fontId="518" fillId="5" borderId="3" xfId="0" applyFont="1" applyFill="1" applyBorder="1" applyAlignment="1">
      <alignment horizontal="left" vertical="top" wrapText="1"/>
    </xf>
    <xf numFmtId="0" fontId="519" fillId="5" borderId="3" xfId="0" applyFont="1" applyFill="1" applyBorder="1" applyAlignment="1">
      <alignment horizontal="left" vertical="top" wrapText="1"/>
    </xf>
    <xf numFmtId="0" fontId="520" fillId="5" borderId="3" xfId="0" applyFont="1" applyFill="1" applyBorder="1" applyAlignment="1">
      <alignment horizontal="left" vertical="top" wrapText="1"/>
    </xf>
    <xf numFmtId="0" fontId="521" fillId="5" borderId="3" xfId="0" applyFont="1" applyFill="1" applyBorder="1" applyAlignment="1">
      <alignment horizontal="left" vertical="top" wrapText="1"/>
    </xf>
    <xf numFmtId="0" fontId="522" fillId="5" borderId="3" xfId="0" applyFont="1" applyFill="1" applyBorder="1" applyAlignment="1">
      <alignment horizontal="left" vertical="top" wrapText="1"/>
    </xf>
    <xf numFmtId="0" fontId="523" fillId="5" borderId="3" xfId="0" applyFont="1" applyFill="1" applyBorder="1" applyAlignment="1">
      <alignment horizontal="left" vertical="top" wrapText="1"/>
    </xf>
    <xf numFmtId="0" fontId="524" fillId="5" borderId="3" xfId="0" applyFont="1" applyFill="1" applyBorder="1" applyAlignment="1">
      <alignment horizontal="left" vertical="top" wrapText="1"/>
    </xf>
    <xf numFmtId="0" fontId="525" fillId="5" borderId="3" xfId="0" applyFont="1" applyFill="1" applyBorder="1" applyAlignment="1">
      <alignment horizontal="left" vertical="top" wrapText="1"/>
    </xf>
    <xf numFmtId="0" fontId="526" fillId="5" borderId="3" xfId="0" applyFont="1" applyFill="1" applyBorder="1" applyAlignment="1">
      <alignment horizontal="left" vertical="top" wrapText="1"/>
    </xf>
    <xf numFmtId="0" fontId="527" fillId="5" borderId="3" xfId="0" applyFont="1" applyFill="1" applyBorder="1" applyAlignment="1">
      <alignment horizontal="left" vertical="top" wrapText="1"/>
    </xf>
    <xf numFmtId="0" fontId="528" fillId="5" borderId="3" xfId="0" applyFont="1" applyFill="1" applyBorder="1" applyAlignment="1">
      <alignment horizontal="left" vertical="top" wrapText="1"/>
    </xf>
    <xf numFmtId="0" fontId="529" fillId="5" borderId="3" xfId="0" applyFont="1" applyFill="1" applyBorder="1" applyAlignment="1">
      <alignment horizontal="left" vertical="top" wrapText="1"/>
    </xf>
    <xf numFmtId="0" fontId="530" fillId="5" borderId="3" xfId="0" applyFont="1" applyFill="1" applyBorder="1" applyAlignment="1">
      <alignment horizontal="left" vertical="top" wrapText="1"/>
    </xf>
    <xf numFmtId="0" fontId="531" fillId="5" borderId="3" xfId="0" applyFont="1" applyFill="1" applyBorder="1" applyAlignment="1">
      <alignment horizontal="left" vertical="top" wrapText="1"/>
    </xf>
    <xf numFmtId="0" fontId="532" fillId="5" borderId="3" xfId="0" applyFont="1" applyFill="1" applyBorder="1" applyAlignment="1">
      <alignment horizontal="left" vertical="top" wrapText="1"/>
    </xf>
    <xf numFmtId="0" fontId="533" fillId="5" borderId="3" xfId="0" applyFont="1" applyFill="1" applyBorder="1" applyAlignment="1">
      <alignment horizontal="left" vertical="top" wrapText="1"/>
    </xf>
    <xf numFmtId="0" fontId="534" fillId="5" borderId="3" xfId="0" applyFont="1" applyFill="1" applyBorder="1" applyAlignment="1">
      <alignment horizontal="left" vertical="top" wrapText="1"/>
    </xf>
    <xf numFmtId="0" fontId="535" fillId="5" borderId="3" xfId="0" applyFont="1" applyFill="1" applyBorder="1" applyAlignment="1">
      <alignment horizontal="left" vertical="top" wrapText="1"/>
    </xf>
    <xf numFmtId="0" fontId="536" fillId="5" borderId="3" xfId="0" applyFont="1" applyFill="1" applyBorder="1" applyAlignment="1">
      <alignment horizontal="left" vertical="top" wrapText="1"/>
    </xf>
    <xf numFmtId="0" fontId="537" fillId="5" borderId="3" xfId="0" applyFont="1" applyFill="1" applyBorder="1" applyAlignment="1">
      <alignment horizontal="left" vertical="top" wrapText="1"/>
    </xf>
    <xf numFmtId="0" fontId="538" fillId="5" borderId="3" xfId="0" applyFont="1" applyFill="1" applyBorder="1" applyAlignment="1">
      <alignment horizontal="left" vertical="top" wrapText="1"/>
    </xf>
    <xf numFmtId="0" fontId="539" fillId="5" borderId="3" xfId="0" applyFont="1" applyFill="1" applyBorder="1" applyAlignment="1">
      <alignment horizontal="left" vertical="top" wrapText="1"/>
    </xf>
    <xf numFmtId="0" fontId="540" fillId="5" borderId="3" xfId="0" applyFont="1" applyFill="1" applyBorder="1" applyAlignment="1">
      <alignment horizontal="left" vertical="top" wrapText="1"/>
    </xf>
    <xf numFmtId="0" fontId="541" fillId="5" borderId="3" xfId="0" applyFont="1" applyFill="1" applyBorder="1" applyAlignment="1">
      <alignment horizontal="left" vertical="top" wrapText="1"/>
    </xf>
    <xf numFmtId="0" fontId="542" fillId="5" borderId="3" xfId="0" applyFont="1" applyFill="1" applyBorder="1" applyAlignment="1">
      <alignment horizontal="left" vertical="top" wrapText="1"/>
    </xf>
    <xf numFmtId="0" fontId="543" fillId="5" borderId="3" xfId="0" applyFont="1" applyFill="1" applyBorder="1" applyAlignment="1">
      <alignment horizontal="left" vertical="top" wrapText="1"/>
    </xf>
    <xf numFmtId="0" fontId="544" fillId="5" borderId="3" xfId="0" applyFont="1" applyFill="1" applyBorder="1" applyAlignment="1">
      <alignment horizontal="left" vertical="top" wrapText="1"/>
    </xf>
    <xf numFmtId="0" fontId="545" fillId="5" borderId="3" xfId="0" applyFont="1" applyFill="1" applyBorder="1" applyAlignment="1">
      <alignment horizontal="left" vertical="top" wrapText="1"/>
    </xf>
    <xf numFmtId="0" fontId="546" fillId="5" borderId="3" xfId="0" applyFont="1" applyFill="1" applyBorder="1" applyAlignment="1">
      <alignment horizontal="left" vertical="top" wrapText="1"/>
    </xf>
    <xf numFmtId="0" fontId="547" fillId="5" borderId="3" xfId="0" applyFont="1" applyFill="1" applyBorder="1" applyAlignment="1">
      <alignment horizontal="left" vertical="top" wrapText="1"/>
    </xf>
    <xf numFmtId="0" fontId="548" fillId="5" borderId="3" xfId="0" applyFont="1" applyFill="1" applyBorder="1" applyAlignment="1">
      <alignment horizontal="left" vertical="top" wrapText="1"/>
    </xf>
    <xf numFmtId="0" fontId="549" fillId="5" borderId="3" xfId="0" applyFont="1" applyFill="1" applyBorder="1" applyAlignment="1">
      <alignment horizontal="left" vertical="top" wrapText="1"/>
    </xf>
    <xf numFmtId="0" fontId="550" fillId="5" borderId="3" xfId="0" applyFont="1" applyFill="1" applyBorder="1" applyAlignment="1">
      <alignment horizontal="left" vertical="top" wrapText="1"/>
    </xf>
    <xf numFmtId="0" fontId="551" fillId="5" borderId="3" xfId="0" applyFont="1" applyFill="1" applyBorder="1" applyAlignment="1">
      <alignment horizontal="left" vertical="top" wrapText="1"/>
    </xf>
    <xf numFmtId="0" fontId="552" fillId="5" borderId="3" xfId="0" applyFont="1" applyFill="1" applyBorder="1" applyAlignment="1">
      <alignment horizontal="left" vertical="top" wrapText="1"/>
    </xf>
    <xf numFmtId="0" fontId="553" fillId="5" borderId="3" xfId="0" applyFont="1" applyFill="1" applyBorder="1" applyAlignment="1">
      <alignment horizontal="center" vertical="top"/>
    </xf>
    <xf numFmtId="0" fontId="554" fillId="5" borderId="3" xfId="0" applyFont="1" applyFill="1" applyBorder="1" applyAlignment="1">
      <alignment horizontal="left" vertical="top" wrapText="1"/>
    </xf>
    <xf numFmtId="0" fontId="555" fillId="5" borderId="3" xfId="0" applyFont="1" applyFill="1" applyBorder="1" applyAlignment="1">
      <alignment horizontal="left" vertical="top" wrapText="1"/>
    </xf>
    <xf numFmtId="0" fontId="557" fillId="5" borderId="3" xfId="0" applyFont="1" applyFill="1" applyBorder="1" applyAlignment="1">
      <alignment horizontal="left" vertical="top" wrapText="1"/>
    </xf>
    <xf numFmtId="0" fontId="558" fillId="5" borderId="3" xfId="0" applyFont="1" applyFill="1" applyBorder="1" applyAlignment="1">
      <alignment horizontal="left" vertical="top" wrapText="1"/>
    </xf>
    <xf numFmtId="0" fontId="559" fillId="5" borderId="3" xfId="0" applyFont="1" applyFill="1" applyBorder="1" applyAlignment="1">
      <alignment horizontal="left" vertical="top" wrapText="1"/>
    </xf>
    <xf numFmtId="0" fontId="560" fillId="5" borderId="3" xfId="0" applyFont="1" applyFill="1" applyBorder="1" applyAlignment="1">
      <alignment horizontal="left" vertical="top" wrapText="1"/>
    </xf>
    <xf numFmtId="0" fontId="561" fillId="5" borderId="3" xfId="0" applyFont="1" applyFill="1" applyBorder="1" applyAlignment="1">
      <alignment horizontal="left" vertical="top" wrapText="1"/>
    </xf>
    <xf numFmtId="0" fontId="575" fillId="5" borderId="3" xfId="0" applyFont="1" applyFill="1" applyBorder="1" applyAlignment="1">
      <alignment horizontal="center" vertical="top"/>
    </xf>
    <xf numFmtId="0" fontId="576" fillId="5" borderId="3" xfId="0" applyFont="1" applyFill="1" applyBorder="1" applyAlignment="1">
      <alignment horizontal="center" vertical="top"/>
    </xf>
    <xf numFmtId="0" fontId="580" fillId="5" borderId="3" xfId="0" applyFont="1" applyFill="1" applyBorder="1" applyAlignment="1">
      <alignment horizontal="left" vertical="top" wrapText="1"/>
    </xf>
    <xf numFmtId="0" fontId="581" fillId="5" borderId="3" xfId="0" applyFont="1" applyFill="1" applyBorder="1" applyAlignment="1">
      <alignment horizontal="left" vertical="top" wrapText="1"/>
    </xf>
    <xf numFmtId="0" fontId="582" fillId="5" borderId="3" xfId="0" applyFont="1" applyFill="1" applyBorder="1" applyAlignment="1">
      <alignment horizontal="left" vertical="top" wrapText="1"/>
    </xf>
    <xf numFmtId="0" fontId="583" fillId="5" borderId="3" xfId="0" applyFont="1" applyFill="1" applyBorder="1" applyAlignment="1">
      <alignment horizontal="left" vertical="top" wrapText="1"/>
    </xf>
    <xf numFmtId="0" fontId="584" fillId="5" borderId="3" xfId="0" applyFont="1" applyFill="1" applyBorder="1" applyAlignment="1">
      <alignment horizontal="left" vertical="top" wrapText="1"/>
    </xf>
    <xf numFmtId="0" fontId="585" fillId="5" borderId="3" xfId="0" applyFont="1" applyFill="1" applyBorder="1" applyAlignment="1">
      <alignment horizontal="left" vertical="top" wrapText="1"/>
    </xf>
    <xf numFmtId="0" fontId="586" fillId="5" borderId="3" xfId="0" applyFont="1" applyFill="1" applyBorder="1" applyAlignment="1">
      <alignment horizontal="left" vertical="top" wrapText="1"/>
    </xf>
    <xf numFmtId="0" fontId="587" fillId="5" borderId="3" xfId="0" applyFont="1" applyFill="1" applyBorder="1" applyAlignment="1">
      <alignment horizontal="left" vertical="top" wrapText="1"/>
    </xf>
    <xf numFmtId="0" fontId="588" fillId="5" borderId="3" xfId="0" applyFont="1" applyFill="1" applyBorder="1" applyAlignment="1">
      <alignment horizontal="left" vertical="top" wrapText="1"/>
    </xf>
    <xf numFmtId="0" fontId="589" fillId="5" borderId="3" xfId="0" applyFont="1" applyFill="1" applyBorder="1" applyAlignment="1">
      <alignment horizontal="left" vertical="top" wrapText="1"/>
    </xf>
    <xf numFmtId="0" fontId="590" fillId="5" borderId="3" xfId="0" applyFont="1" applyFill="1" applyBorder="1" applyAlignment="1">
      <alignment horizontal="left" vertical="top" wrapText="1"/>
    </xf>
    <xf numFmtId="0" fontId="591" fillId="5" borderId="3" xfId="0" applyFont="1" applyFill="1" applyBorder="1" applyAlignment="1">
      <alignment horizontal="left" vertical="top" wrapText="1"/>
    </xf>
    <xf numFmtId="0" fontId="592" fillId="5" borderId="3" xfId="0" applyFont="1" applyFill="1" applyBorder="1" applyAlignment="1">
      <alignment horizontal="left" vertical="top" wrapText="1"/>
    </xf>
    <xf numFmtId="0" fontId="593" fillId="5" borderId="3" xfId="0" applyFont="1" applyFill="1" applyBorder="1" applyAlignment="1">
      <alignment horizontal="left" vertical="top" wrapText="1"/>
    </xf>
    <xf numFmtId="0" fontId="594" fillId="5" borderId="3" xfId="0" applyFont="1" applyFill="1" applyBorder="1" applyAlignment="1">
      <alignment horizontal="left" vertical="top" wrapText="1"/>
    </xf>
    <xf numFmtId="0" fontId="595" fillId="5" borderId="3" xfId="0" applyFont="1" applyFill="1" applyBorder="1" applyAlignment="1">
      <alignment horizontal="left" vertical="top" wrapText="1"/>
    </xf>
    <xf numFmtId="0" fontId="596" fillId="5" borderId="3" xfId="0" applyFont="1" applyFill="1" applyBorder="1" applyAlignment="1">
      <alignment horizontal="center" vertical="top"/>
    </xf>
    <xf numFmtId="0" fontId="597" fillId="5" borderId="3" xfId="0" applyFont="1" applyFill="1" applyBorder="1" applyAlignment="1">
      <alignment horizontal="center" vertical="top"/>
    </xf>
    <xf numFmtId="0" fontId="598" fillId="5" borderId="3" xfId="0" applyFont="1" applyFill="1" applyBorder="1" applyAlignment="1">
      <alignment horizontal="center" vertical="top"/>
    </xf>
    <xf numFmtId="0" fontId="599" fillId="5" borderId="3" xfId="0" applyFont="1" applyFill="1" applyBorder="1" applyAlignment="1">
      <alignment horizontal="center" vertical="top"/>
    </xf>
    <xf numFmtId="0" fontId="600" fillId="5" borderId="3" xfId="0" applyFont="1" applyFill="1" applyBorder="1" applyAlignment="1">
      <alignment horizontal="center" vertical="top"/>
    </xf>
    <xf numFmtId="0" fontId="601" fillId="5" borderId="3" xfId="0" applyFont="1" applyFill="1" applyBorder="1" applyAlignment="1">
      <alignment horizontal="center" vertical="top"/>
    </xf>
    <xf numFmtId="0" fontId="602" fillId="5" borderId="3" xfId="0" applyFont="1" applyFill="1" applyBorder="1" applyAlignment="1">
      <alignment horizontal="center" vertical="top"/>
    </xf>
    <xf numFmtId="0" fontId="603" fillId="5" borderId="3" xfId="0" applyFont="1" applyFill="1" applyBorder="1" applyAlignment="1">
      <alignment horizontal="center" vertical="top"/>
    </xf>
    <xf numFmtId="0" fontId="604" fillId="5" borderId="3" xfId="0" applyFont="1" applyFill="1" applyBorder="1" applyAlignment="1">
      <alignment horizontal="center" vertical="top"/>
    </xf>
    <xf numFmtId="0" fontId="605" fillId="5" borderId="3" xfId="0" applyFont="1" applyFill="1" applyBorder="1" applyAlignment="1">
      <alignment horizontal="center" vertical="top"/>
    </xf>
    <xf numFmtId="0" fontId="606" fillId="5" borderId="3" xfId="0" applyFont="1" applyFill="1" applyBorder="1" applyAlignment="1">
      <alignment horizontal="center" vertical="top"/>
    </xf>
    <xf numFmtId="0" fontId="607" fillId="5" borderId="3" xfId="0" applyFont="1" applyFill="1" applyBorder="1" applyAlignment="1">
      <alignment horizontal="center" vertical="top"/>
    </xf>
    <xf numFmtId="0" fontId="608" fillId="5" borderId="3" xfId="0" applyFont="1" applyFill="1" applyBorder="1" applyAlignment="1">
      <alignment horizontal="center" vertical="top"/>
    </xf>
    <xf numFmtId="0" fontId="609" fillId="5" borderId="3" xfId="0" applyFont="1" applyFill="1" applyBorder="1" applyAlignment="1">
      <alignment horizontal="center" vertical="top"/>
    </xf>
    <xf numFmtId="0" fontId="610" fillId="5" borderId="3" xfId="0" applyFont="1" applyFill="1" applyBorder="1" applyAlignment="1">
      <alignment horizontal="center" vertical="top"/>
    </xf>
    <xf numFmtId="0" fontId="611" fillId="5" borderId="3" xfId="0" applyFont="1" applyFill="1" applyBorder="1" applyAlignment="1">
      <alignment horizontal="center" vertical="top"/>
    </xf>
    <xf numFmtId="0" fontId="612" fillId="5" borderId="3" xfId="0" applyFont="1" applyFill="1" applyBorder="1" applyAlignment="1">
      <alignment horizontal="center" vertical="top"/>
    </xf>
    <xf numFmtId="0" fontId="613" fillId="5" borderId="3" xfId="0" applyFont="1" applyFill="1" applyBorder="1" applyAlignment="1">
      <alignment horizontal="center" vertical="top"/>
    </xf>
    <xf numFmtId="0" fontId="614" fillId="5" borderId="3" xfId="0" applyFont="1" applyFill="1" applyBorder="1" applyAlignment="1">
      <alignment horizontal="center" vertical="top"/>
    </xf>
    <xf numFmtId="0" fontId="615" fillId="5" borderId="3" xfId="0" applyFont="1" applyFill="1" applyBorder="1" applyAlignment="1">
      <alignment horizontal="center" vertical="top"/>
    </xf>
    <xf numFmtId="0" fontId="616" fillId="5" borderId="3" xfId="0" applyFont="1" applyFill="1" applyBorder="1" applyAlignment="1">
      <alignment horizontal="center" vertical="top"/>
    </xf>
    <xf numFmtId="0" fontId="617" fillId="5" borderId="3" xfId="0" applyFont="1" applyFill="1" applyBorder="1" applyAlignment="1">
      <alignment horizontal="center" vertical="top"/>
    </xf>
    <xf numFmtId="0" fontId="618" fillId="5" borderId="3" xfId="0" applyFont="1" applyFill="1" applyBorder="1" applyAlignment="1">
      <alignment horizontal="center" vertical="top"/>
    </xf>
    <xf numFmtId="0" fontId="619" fillId="5" borderId="3" xfId="0" applyFont="1" applyFill="1" applyBorder="1" applyAlignment="1">
      <alignment horizontal="center" vertical="top"/>
    </xf>
    <xf numFmtId="0" fontId="620" fillId="5" borderId="3" xfId="0" applyFont="1" applyFill="1" applyBorder="1" applyAlignment="1">
      <alignment horizontal="center" vertical="top"/>
    </xf>
    <xf numFmtId="0" fontId="621" fillId="5" borderId="3" xfId="0" applyFont="1" applyFill="1" applyBorder="1" applyAlignment="1">
      <alignment horizontal="center" vertical="top"/>
    </xf>
    <xf numFmtId="0" fontId="622" fillId="5" borderId="3" xfId="0" applyFont="1" applyFill="1" applyBorder="1" applyAlignment="1">
      <alignment horizontal="center" vertical="top"/>
    </xf>
    <xf numFmtId="0" fontId="623" fillId="5" borderId="3" xfId="0" applyFont="1" applyFill="1" applyBorder="1" applyAlignment="1">
      <alignment horizontal="center" vertical="top"/>
    </xf>
    <xf numFmtId="0" fontId="624" fillId="5" borderId="3" xfId="0" applyFont="1" applyFill="1" applyBorder="1" applyAlignment="1">
      <alignment horizontal="center" vertical="top"/>
    </xf>
    <xf numFmtId="0" fontId="625" fillId="5" borderId="3" xfId="0" applyFont="1" applyFill="1" applyBorder="1" applyAlignment="1">
      <alignment horizontal="center" vertical="top"/>
    </xf>
    <xf numFmtId="0" fontId="626" fillId="5" borderId="3" xfId="0" applyFont="1" applyFill="1" applyBorder="1" applyAlignment="1">
      <alignment horizontal="center" vertical="top"/>
    </xf>
    <xf numFmtId="0" fontId="627" fillId="5" borderId="3" xfId="0" applyFont="1" applyFill="1" applyBorder="1" applyAlignment="1">
      <alignment horizontal="center" vertical="top"/>
    </xf>
    <xf numFmtId="0" fontId="628" fillId="5" borderId="3" xfId="0" applyFont="1" applyFill="1" applyBorder="1" applyAlignment="1">
      <alignment horizontal="center" vertical="top"/>
    </xf>
    <xf numFmtId="0" fontId="629" fillId="5" borderId="3" xfId="0" applyFont="1" applyFill="1" applyBorder="1" applyAlignment="1">
      <alignment horizontal="center" vertical="top"/>
    </xf>
    <xf numFmtId="0" fontId="630" fillId="5" borderId="3" xfId="0" applyFont="1" applyFill="1" applyBorder="1" applyAlignment="1">
      <alignment horizontal="left" vertical="top" wrapText="1"/>
    </xf>
    <xf numFmtId="0" fontId="631" fillId="5" borderId="3" xfId="0" applyFont="1" applyFill="1" applyBorder="1" applyAlignment="1">
      <alignment horizontal="center" vertical="top"/>
    </xf>
    <xf numFmtId="0" fontId="632" fillId="5" borderId="3" xfId="0" applyFont="1" applyFill="1" applyBorder="1" applyAlignment="1">
      <alignment horizontal="center" vertical="top"/>
    </xf>
    <xf numFmtId="0" fontId="639" fillId="5" borderId="3" xfId="0" applyFont="1" applyFill="1" applyBorder="1" applyAlignment="1">
      <alignment horizontal="left" vertical="top" wrapText="1"/>
    </xf>
    <xf numFmtId="0" fontId="656" fillId="5" borderId="3" xfId="0" applyFont="1" applyFill="1" applyBorder="1" applyAlignment="1">
      <alignment horizontal="center" vertical="top"/>
    </xf>
    <xf numFmtId="0" fontId="657" fillId="5" borderId="3" xfId="0" applyFont="1" applyFill="1" applyBorder="1" applyAlignment="1">
      <alignment horizontal="center" vertical="top"/>
    </xf>
    <xf numFmtId="0" fontId="658" fillId="5" borderId="3" xfId="0" applyFont="1" applyFill="1" applyBorder="1" applyAlignment="1">
      <alignment horizontal="center" vertical="top"/>
    </xf>
    <xf numFmtId="0" fontId="659" fillId="5" borderId="3" xfId="0" applyFont="1" applyFill="1" applyBorder="1" applyAlignment="1">
      <alignment horizontal="center" vertical="top"/>
    </xf>
    <xf numFmtId="0" fontId="671" fillId="5" borderId="3" xfId="0" applyFont="1" applyFill="1" applyBorder="1" applyAlignment="1">
      <alignment horizontal="left" vertical="top" wrapText="1"/>
    </xf>
    <xf numFmtId="0" fontId="672" fillId="5" borderId="3" xfId="0" applyFont="1" applyFill="1" applyBorder="1" applyAlignment="1">
      <alignment horizontal="left" vertical="top" wrapText="1"/>
    </xf>
    <xf numFmtId="0" fontId="673" fillId="5" borderId="3" xfId="0" applyFont="1" applyFill="1" applyBorder="1" applyAlignment="1">
      <alignment horizontal="left" vertical="top" wrapText="1"/>
    </xf>
    <xf numFmtId="0" fontId="674" fillId="5" borderId="3" xfId="0" applyFont="1" applyFill="1" applyBorder="1" applyAlignment="1">
      <alignment horizontal="left" vertical="top" wrapText="1"/>
    </xf>
    <xf numFmtId="0" fontId="675" fillId="5" borderId="3" xfId="0" applyFont="1" applyFill="1" applyBorder="1" applyAlignment="1">
      <alignment horizontal="left" vertical="top" wrapText="1"/>
    </xf>
    <xf numFmtId="0" fontId="676" fillId="5" borderId="3" xfId="0" applyFont="1" applyFill="1" applyBorder="1" applyAlignment="1">
      <alignment horizontal="left" vertical="top" wrapText="1"/>
    </xf>
    <xf numFmtId="0" fontId="677" fillId="5" borderId="3" xfId="0" applyFont="1" applyFill="1" applyBorder="1" applyAlignment="1">
      <alignment horizontal="left" vertical="top" wrapText="1"/>
    </xf>
    <xf numFmtId="0" fontId="678" fillId="5" borderId="3" xfId="0" applyFont="1" applyFill="1" applyBorder="1" applyAlignment="1">
      <alignment horizontal="left" vertical="top" wrapText="1"/>
    </xf>
    <xf numFmtId="0" fontId="684" fillId="5" borderId="3" xfId="0" applyFont="1" applyFill="1" applyBorder="1" applyAlignment="1">
      <alignment horizontal="center" vertical="top"/>
    </xf>
    <xf numFmtId="0" fontId="685" fillId="5" borderId="3" xfId="0" applyFont="1" applyFill="1" applyBorder="1" applyAlignment="1">
      <alignment horizontal="center" vertical="top"/>
    </xf>
    <xf numFmtId="0" fontId="686" fillId="5" borderId="3" xfId="0" applyFont="1" applyFill="1" applyBorder="1" applyAlignment="1">
      <alignment horizontal="center" vertical="top"/>
    </xf>
    <xf numFmtId="0" fontId="687" fillId="5" borderId="3" xfId="0" applyFont="1" applyFill="1" applyBorder="1" applyAlignment="1">
      <alignment horizontal="center" vertical="top"/>
    </xf>
    <xf numFmtId="0" fontId="688" fillId="5" borderId="3" xfId="0" applyFont="1" applyFill="1" applyBorder="1" applyAlignment="1">
      <alignment horizontal="center" vertical="top"/>
    </xf>
    <xf numFmtId="0" fontId="689" fillId="5" borderId="3" xfId="0" applyFont="1" applyFill="1" applyBorder="1" applyAlignment="1">
      <alignment horizontal="center" vertical="top"/>
    </xf>
    <xf numFmtId="0" fontId="690" fillId="5" borderId="3" xfId="0" applyFont="1" applyFill="1" applyBorder="1" applyAlignment="1">
      <alignment horizontal="center" vertical="top"/>
    </xf>
    <xf numFmtId="49" fontId="0" fillId="0" borderId="0" xfId="0" applyNumberFormat="1"/>
    <xf numFmtId="0" fontId="691" fillId="3" borderId="3" xfId="0" applyFont="1" applyFill="1" applyBorder="1" applyAlignment="1">
      <alignment horizontal="left" vertical="top" wrapText="1"/>
    </xf>
    <xf numFmtId="0" fontId="693" fillId="4" borderId="3" xfId="0" applyFont="1" applyFill="1" applyBorder="1" applyAlignment="1">
      <alignment horizontal="center" vertical="top" wrapText="1"/>
    </xf>
    <xf numFmtId="0" fontId="694" fillId="5" borderId="3" xfId="0" applyFont="1" applyFill="1" applyBorder="1" applyAlignment="1">
      <alignment horizontal="left" vertical="top" wrapText="1"/>
    </xf>
    <xf numFmtId="0" fontId="695" fillId="5" borderId="3" xfId="0" applyFont="1" applyFill="1" applyBorder="1" applyAlignment="1">
      <alignment horizontal="left" vertical="top" wrapText="1"/>
    </xf>
    <xf numFmtId="0" fontId="696" fillId="5" borderId="3" xfId="0" applyFont="1" applyFill="1" applyBorder="1" applyAlignment="1">
      <alignment horizontal="left" vertical="top" wrapText="1"/>
    </xf>
    <xf numFmtId="0" fontId="697" fillId="5" borderId="3" xfId="0" applyFont="1" applyFill="1" applyBorder="1" applyAlignment="1">
      <alignment horizontal="left" vertical="top" wrapText="1"/>
    </xf>
    <xf numFmtId="0" fontId="698" fillId="5" borderId="3" xfId="0" applyFont="1" applyFill="1" applyBorder="1" applyAlignment="1">
      <alignment horizontal="left" vertical="top" wrapText="1"/>
    </xf>
    <xf numFmtId="0" fontId="699" fillId="5" borderId="3" xfId="0" applyFont="1" applyFill="1" applyBorder="1" applyAlignment="1">
      <alignment horizontal="left" vertical="top" wrapText="1"/>
    </xf>
    <xf numFmtId="0" fontId="700" fillId="5" borderId="3" xfId="0" applyFont="1" applyFill="1" applyBorder="1" applyAlignment="1">
      <alignment horizontal="left" vertical="top" wrapText="1"/>
    </xf>
    <xf numFmtId="0" fontId="701" fillId="5" borderId="3" xfId="0" applyFont="1" applyFill="1" applyBorder="1" applyAlignment="1">
      <alignment horizontal="left" vertical="top" wrapText="1"/>
    </xf>
    <xf numFmtId="0" fontId="702" fillId="5" borderId="3" xfId="0" applyFont="1" applyFill="1" applyBorder="1" applyAlignment="1">
      <alignment horizontal="left" vertical="top" wrapText="1"/>
    </xf>
    <xf numFmtId="0" fontId="703" fillId="5" borderId="3" xfId="0" applyFont="1" applyFill="1" applyBorder="1" applyAlignment="1">
      <alignment horizontal="left" vertical="top" wrapText="1"/>
    </xf>
    <xf numFmtId="0" fontId="704" fillId="5" borderId="3" xfId="0" applyFont="1" applyFill="1" applyBorder="1" applyAlignment="1">
      <alignment horizontal="left" vertical="top" wrapText="1"/>
    </xf>
    <xf numFmtId="0" fontId="705" fillId="5" borderId="3" xfId="0" applyFont="1" applyFill="1" applyBorder="1" applyAlignment="1">
      <alignment horizontal="left" vertical="top" wrapText="1"/>
    </xf>
    <xf numFmtId="0" fontId="706" fillId="5" borderId="3" xfId="0" applyFont="1" applyFill="1" applyBorder="1" applyAlignment="1">
      <alignment horizontal="left" vertical="top" wrapText="1"/>
    </xf>
    <xf numFmtId="0" fontId="707" fillId="5" borderId="3" xfId="0" applyFont="1" applyFill="1" applyBorder="1" applyAlignment="1">
      <alignment horizontal="left" vertical="top" wrapText="1"/>
    </xf>
    <xf numFmtId="0" fontId="708" fillId="5" borderId="3" xfId="0" applyFont="1" applyFill="1" applyBorder="1" applyAlignment="1">
      <alignment horizontal="left" vertical="top" wrapText="1"/>
    </xf>
    <xf numFmtId="0" fontId="709" fillId="5" borderId="3" xfId="0" applyFont="1" applyFill="1" applyBorder="1" applyAlignment="1">
      <alignment horizontal="left" vertical="top" wrapText="1"/>
    </xf>
    <xf numFmtId="0" fontId="710" fillId="5" borderId="3" xfId="0" applyFont="1" applyFill="1" applyBorder="1" applyAlignment="1">
      <alignment horizontal="left" vertical="top" wrapText="1"/>
    </xf>
    <xf numFmtId="0" fontId="711" fillId="5" borderId="3" xfId="0" applyFont="1" applyFill="1" applyBorder="1" applyAlignment="1">
      <alignment horizontal="left" vertical="top" wrapText="1"/>
    </xf>
    <xf numFmtId="0" fontId="712" fillId="5" borderId="3" xfId="0" applyFont="1" applyFill="1" applyBorder="1" applyAlignment="1">
      <alignment horizontal="left" vertical="top" wrapText="1"/>
    </xf>
    <xf numFmtId="0" fontId="713" fillId="5" borderId="3" xfId="0" applyFont="1" applyFill="1" applyBorder="1" applyAlignment="1">
      <alignment horizontal="left" vertical="top" wrapText="1"/>
    </xf>
    <xf numFmtId="0" fontId="714" fillId="5" borderId="3" xfId="0" applyFont="1" applyFill="1" applyBorder="1" applyAlignment="1">
      <alignment horizontal="left" vertical="top" wrapText="1"/>
    </xf>
    <xf numFmtId="0" fontId="715" fillId="5" borderId="3" xfId="0" applyFont="1" applyFill="1" applyBorder="1" applyAlignment="1">
      <alignment horizontal="left" vertical="top" wrapText="1"/>
    </xf>
    <xf numFmtId="0" fontId="716" fillId="5" borderId="3" xfId="0" applyFont="1" applyFill="1" applyBorder="1" applyAlignment="1">
      <alignment horizontal="left" vertical="top" wrapText="1"/>
    </xf>
    <xf numFmtId="0" fontId="717" fillId="5" borderId="3" xfId="0" applyFont="1" applyFill="1" applyBorder="1" applyAlignment="1">
      <alignment horizontal="left" vertical="top" wrapText="1"/>
    </xf>
    <xf numFmtId="0" fontId="718" fillId="5" borderId="3" xfId="0" applyFont="1" applyFill="1" applyBorder="1" applyAlignment="1">
      <alignment horizontal="left" vertical="top" wrapText="1"/>
    </xf>
    <xf numFmtId="0" fontId="719" fillId="5" borderId="3" xfId="0" applyFont="1" applyFill="1" applyBorder="1" applyAlignment="1">
      <alignment horizontal="left" vertical="top" wrapText="1"/>
    </xf>
    <xf numFmtId="0" fontId="720" fillId="5" borderId="3" xfId="0" applyFont="1" applyFill="1" applyBorder="1" applyAlignment="1">
      <alignment horizontal="left" vertical="top" wrapText="1"/>
    </xf>
    <xf numFmtId="0" fontId="721" fillId="5" borderId="3" xfId="0" applyFont="1" applyFill="1" applyBorder="1" applyAlignment="1">
      <alignment horizontal="left" vertical="top" wrapText="1"/>
    </xf>
    <xf numFmtId="0" fontId="722" fillId="5" borderId="3" xfId="0" applyFont="1" applyFill="1" applyBorder="1" applyAlignment="1">
      <alignment horizontal="left" vertical="top" wrapText="1"/>
    </xf>
    <xf numFmtId="0" fontId="723" fillId="5" borderId="3" xfId="0" applyFont="1" applyFill="1" applyBorder="1" applyAlignment="1">
      <alignment horizontal="left" vertical="top" wrapText="1"/>
    </xf>
    <xf numFmtId="0" fontId="730" fillId="5" borderId="3" xfId="0" applyFont="1" applyFill="1" applyBorder="1" applyAlignment="1">
      <alignment horizontal="left" vertical="top" wrapText="1"/>
    </xf>
    <xf numFmtId="0" fontId="731" fillId="5" borderId="3" xfId="0" applyFont="1" applyFill="1" applyBorder="1" applyAlignment="1">
      <alignment horizontal="center" vertical="top"/>
    </xf>
    <xf numFmtId="0" fontId="732" fillId="5" borderId="3" xfId="0" applyFont="1" applyFill="1" applyBorder="1" applyAlignment="1">
      <alignment horizontal="center" vertical="top"/>
    </xf>
    <xf numFmtId="0" fontId="733" fillId="5" borderId="3" xfId="0" applyFont="1" applyFill="1" applyBorder="1" applyAlignment="1">
      <alignment horizontal="center" vertical="top"/>
    </xf>
    <xf numFmtId="0" fontId="734" fillId="5" borderId="3" xfId="0" applyFont="1" applyFill="1" applyBorder="1" applyAlignment="1">
      <alignment horizontal="center" vertical="top"/>
    </xf>
    <xf numFmtId="0" fontId="735" fillId="5" borderId="3" xfId="0" applyFont="1" applyFill="1" applyBorder="1" applyAlignment="1">
      <alignment horizontal="left" vertical="top" wrapText="1"/>
    </xf>
    <xf numFmtId="0" fontId="736" fillId="5" borderId="3" xfId="0" applyFont="1" applyFill="1" applyBorder="1" applyAlignment="1">
      <alignment horizontal="center" vertical="top"/>
    </xf>
    <xf numFmtId="0" fontId="737" fillId="5" borderId="3" xfId="0" applyFont="1" applyFill="1" applyBorder="1" applyAlignment="1">
      <alignment horizontal="center" vertical="top"/>
    </xf>
    <xf numFmtId="0" fontId="738" fillId="5" borderId="3" xfId="0" applyFont="1" applyFill="1" applyBorder="1" applyAlignment="1">
      <alignment horizontal="center" vertical="top"/>
    </xf>
    <xf numFmtId="0" fontId="739" fillId="5" borderId="3" xfId="0" applyFont="1" applyFill="1" applyBorder="1" applyAlignment="1">
      <alignment horizontal="left" vertical="top" wrapText="1"/>
    </xf>
    <xf numFmtId="0" fontId="740" fillId="5" borderId="3" xfId="0" applyFont="1" applyFill="1" applyBorder="1" applyAlignment="1">
      <alignment horizontal="center" vertical="top"/>
    </xf>
    <xf numFmtId="0" fontId="741" fillId="5" borderId="3" xfId="0" applyFont="1" applyFill="1" applyBorder="1" applyAlignment="1">
      <alignment horizontal="center" vertical="top"/>
    </xf>
    <xf numFmtId="0" fontId="742" fillId="5" borderId="3" xfId="0" applyFont="1" applyFill="1" applyBorder="1" applyAlignment="1">
      <alignment horizontal="center" vertical="top"/>
    </xf>
    <xf numFmtId="0" fontId="743" fillId="5" borderId="3" xfId="0" applyFont="1" applyFill="1" applyBorder="1" applyAlignment="1">
      <alignment horizontal="center" vertical="top"/>
    </xf>
    <xf numFmtId="0" fontId="744" fillId="5" borderId="3" xfId="0" applyFont="1" applyFill="1" applyBorder="1" applyAlignment="1">
      <alignment horizontal="center" vertical="top"/>
    </xf>
    <xf numFmtId="0" fontId="745" fillId="5" borderId="3" xfId="0" applyFont="1" applyFill="1" applyBorder="1" applyAlignment="1">
      <alignment horizontal="center" vertical="top"/>
    </xf>
    <xf numFmtId="0" fontId="746" fillId="5" borderId="3" xfId="0" applyFont="1" applyFill="1" applyBorder="1" applyAlignment="1">
      <alignment horizontal="left" vertical="top" wrapText="1"/>
    </xf>
    <xf numFmtId="0" fontId="747" fillId="5" borderId="3" xfId="0" applyFont="1" applyFill="1" applyBorder="1" applyAlignment="1">
      <alignment horizontal="left" vertical="top" wrapText="1"/>
    </xf>
    <xf numFmtId="0" fontId="748" fillId="5" borderId="3" xfId="0" applyFont="1" applyFill="1" applyBorder="1" applyAlignment="1">
      <alignment horizontal="left" vertical="top" wrapText="1"/>
    </xf>
    <xf numFmtId="0" fontId="749" fillId="5" borderId="3" xfId="0" applyFont="1" applyFill="1" applyBorder="1" applyAlignment="1">
      <alignment horizontal="left" vertical="top" wrapText="1"/>
    </xf>
    <xf numFmtId="0" fontId="750" fillId="5" borderId="3" xfId="0" applyFont="1" applyFill="1" applyBorder="1" applyAlignment="1">
      <alignment horizontal="left" vertical="top" wrapText="1"/>
    </xf>
    <xf numFmtId="0" fontId="751" fillId="5" borderId="3" xfId="0" applyFont="1" applyFill="1" applyBorder="1" applyAlignment="1">
      <alignment horizontal="left" vertical="top" wrapText="1"/>
    </xf>
    <xf numFmtId="0" fontId="752" fillId="5" borderId="3" xfId="0" applyFont="1" applyFill="1" applyBorder="1" applyAlignment="1">
      <alignment horizontal="center" vertical="top"/>
    </xf>
    <xf numFmtId="0" fontId="753" fillId="5" borderId="3" xfId="0" applyFont="1" applyFill="1" applyBorder="1" applyAlignment="1">
      <alignment horizontal="center" vertical="top"/>
    </xf>
    <xf numFmtId="0" fontId="754" fillId="5" borderId="3" xfId="0" applyFont="1" applyFill="1" applyBorder="1" applyAlignment="1">
      <alignment horizontal="center" vertical="top"/>
    </xf>
    <xf numFmtId="0" fontId="755" fillId="5" borderId="3" xfId="0" applyFont="1" applyFill="1" applyBorder="1" applyAlignment="1">
      <alignment horizontal="center" vertical="top"/>
    </xf>
    <xf numFmtId="0" fontId="756" fillId="5" borderId="3" xfId="0" applyFont="1" applyFill="1" applyBorder="1" applyAlignment="1">
      <alignment horizontal="center" vertical="top"/>
    </xf>
    <xf numFmtId="0" fontId="757" fillId="5" borderId="3" xfId="0" applyFont="1" applyFill="1" applyBorder="1" applyAlignment="1">
      <alignment horizontal="center" vertical="top"/>
    </xf>
    <xf numFmtId="0" fontId="758" fillId="5" borderId="3" xfId="0" applyFont="1" applyFill="1" applyBorder="1" applyAlignment="1">
      <alignment horizontal="left" vertical="top" wrapText="1"/>
    </xf>
    <xf numFmtId="0" fontId="759" fillId="5" borderId="3" xfId="0" applyFont="1" applyFill="1" applyBorder="1" applyAlignment="1">
      <alignment horizontal="left" vertical="top" wrapText="1"/>
    </xf>
    <xf numFmtId="0" fontId="760" fillId="5" borderId="3" xfId="0" applyFont="1" applyFill="1" applyBorder="1" applyAlignment="1">
      <alignment horizontal="left" vertical="top" wrapText="1"/>
    </xf>
    <xf numFmtId="0" fontId="778" fillId="5" borderId="3" xfId="0" applyFont="1" applyFill="1" applyBorder="1" applyAlignment="1">
      <alignment horizontal="left" vertical="top" wrapText="1"/>
    </xf>
    <xf numFmtId="0" fontId="780" fillId="5" borderId="3" xfId="0" applyFont="1" applyFill="1" applyBorder="1" applyAlignment="1">
      <alignment horizontal="center" vertical="top"/>
    </xf>
    <xf numFmtId="0" fontId="781" fillId="5" borderId="3" xfId="0" applyFont="1" applyFill="1" applyBorder="1" applyAlignment="1">
      <alignment horizontal="center" vertical="top"/>
    </xf>
    <xf numFmtId="0" fontId="782" fillId="5" borderId="3" xfId="0" applyFont="1" applyFill="1" applyBorder="1" applyAlignment="1">
      <alignment horizontal="center" vertical="top"/>
    </xf>
    <xf numFmtId="0" fontId="783" fillId="5" borderId="3" xfId="0" applyFont="1" applyFill="1" applyBorder="1" applyAlignment="1">
      <alignment horizontal="center" vertical="top"/>
    </xf>
    <xf numFmtId="0" fontId="784" fillId="5" borderId="3" xfId="0" applyFont="1" applyFill="1" applyBorder="1" applyAlignment="1">
      <alignment horizontal="center" vertical="top"/>
    </xf>
    <xf numFmtId="0" fontId="785" fillId="5" borderId="3" xfId="0" applyFont="1" applyFill="1" applyBorder="1" applyAlignment="1">
      <alignment horizontal="center" vertical="top"/>
    </xf>
    <xf numFmtId="0" fontId="786" fillId="5" borderId="3" xfId="0" applyFont="1" applyFill="1" applyBorder="1" applyAlignment="1">
      <alignment horizontal="center" vertical="top"/>
    </xf>
    <xf numFmtId="0" fontId="787" fillId="5" borderId="3" xfId="0" applyFont="1" applyFill="1" applyBorder="1" applyAlignment="1">
      <alignment horizontal="center" vertical="top"/>
    </xf>
    <xf numFmtId="0" fontId="788" fillId="5" borderId="3" xfId="0" applyFont="1" applyFill="1" applyBorder="1" applyAlignment="1">
      <alignment horizontal="left" vertical="top" wrapText="1"/>
    </xf>
    <xf numFmtId="0" fontId="789" fillId="5" borderId="3" xfId="0" applyFont="1" applyFill="1" applyBorder="1" applyAlignment="1">
      <alignment horizontal="center" vertical="top"/>
    </xf>
    <xf numFmtId="0" fontId="790" fillId="5" borderId="3" xfId="0" applyFont="1" applyFill="1" applyBorder="1" applyAlignment="1">
      <alignment horizontal="left" vertical="top" wrapText="1"/>
    </xf>
    <xf numFmtId="0" fontId="791" fillId="5" borderId="3" xfId="0" applyFont="1" applyFill="1" applyBorder="1" applyAlignment="1">
      <alignment horizontal="left" vertical="top" wrapText="1"/>
    </xf>
    <xf numFmtId="0" fontId="792" fillId="5" borderId="3" xfId="0" applyFont="1" applyFill="1" applyBorder="1" applyAlignment="1">
      <alignment horizontal="center" vertical="top"/>
    </xf>
    <xf numFmtId="0" fontId="793" fillId="5" borderId="3" xfId="0" applyFont="1" applyFill="1" applyBorder="1" applyAlignment="1">
      <alignment horizontal="center" vertical="top"/>
    </xf>
    <xf numFmtId="0" fontId="794" fillId="5" borderId="3" xfId="0" applyFont="1" applyFill="1" applyBorder="1" applyAlignment="1">
      <alignment horizontal="left" vertical="top" wrapText="1"/>
    </xf>
    <xf numFmtId="0" fontId="795" fillId="5" borderId="3" xfId="0" applyFont="1" applyFill="1" applyBorder="1" applyAlignment="1">
      <alignment horizontal="center" vertical="top"/>
    </xf>
    <xf numFmtId="0" fontId="796" fillId="5" borderId="3" xfId="0" applyFont="1" applyFill="1" applyBorder="1" applyAlignment="1">
      <alignment horizontal="center" vertical="top"/>
    </xf>
    <xf numFmtId="0" fontId="797" fillId="5" borderId="3" xfId="0" applyFont="1" applyFill="1" applyBorder="1" applyAlignment="1">
      <alignment horizontal="center" vertical="top"/>
    </xf>
    <xf numFmtId="0" fontId="798" fillId="5" borderId="3" xfId="0" applyFont="1" applyFill="1" applyBorder="1" applyAlignment="1">
      <alignment horizontal="center" vertical="top"/>
    </xf>
    <xf numFmtId="0" fontId="799" fillId="5" borderId="3" xfId="0" applyFont="1" applyFill="1" applyBorder="1" applyAlignment="1">
      <alignment horizontal="center" vertical="top"/>
    </xf>
    <xf numFmtId="0" fontId="800" fillId="5" borderId="3" xfId="0" applyFont="1" applyFill="1" applyBorder="1" applyAlignment="1">
      <alignment horizontal="center" vertical="top"/>
    </xf>
    <xf numFmtId="0" fontId="801" fillId="5" borderId="3" xfId="0" applyFont="1" applyFill="1" applyBorder="1" applyAlignment="1">
      <alignment horizontal="center" vertical="top"/>
    </xf>
    <xf numFmtId="0" fontId="802" fillId="5" borderId="3" xfId="0" applyFont="1" applyFill="1" applyBorder="1" applyAlignment="1">
      <alignment horizontal="center" vertical="top"/>
    </xf>
    <xf numFmtId="0" fontId="803" fillId="5" borderId="3" xfId="0" applyFont="1" applyFill="1" applyBorder="1" applyAlignment="1">
      <alignment horizontal="center" vertical="top"/>
    </xf>
    <xf numFmtId="0" fontId="804" fillId="5" borderId="3" xfId="0" applyFont="1" applyFill="1" applyBorder="1" applyAlignment="1">
      <alignment horizontal="center" vertical="top"/>
    </xf>
    <xf numFmtId="0" fontId="805" fillId="5" borderId="3" xfId="0" applyFont="1" applyFill="1" applyBorder="1" applyAlignment="1">
      <alignment horizontal="center" vertical="top"/>
    </xf>
    <xf numFmtId="0" fontId="806" fillId="5" borderId="3" xfId="0" applyFont="1" applyFill="1" applyBorder="1" applyAlignment="1">
      <alignment horizontal="left" vertical="top" wrapText="1"/>
    </xf>
    <xf numFmtId="0" fontId="807" fillId="5" borderId="3" xfId="0" applyFont="1" applyFill="1" applyBorder="1" applyAlignment="1">
      <alignment horizontal="left" vertical="top" wrapText="1"/>
    </xf>
    <xf numFmtId="0" fontId="808" fillId="5" borderId="3" xfId="0" applyFont="1" applyFill="1" applyBorder="1" applyAlignment="1">
      <alignment horizontal="left" vertical="top" wrapText="1"/>
    </xf>
    <xf numFmtId="0" fontId="809" fillId="5" borderId="3" xfId="0" applyFont="1" applyFill="1" applyBorder="1" applyAlignment="1">
      <alignment horizontal="left" vertical="top" wrapText="1"/>
    </xf>
    <xf numFmtId="0" fontId="810" fillId="5" borderId="3" xfId="0" applyFont="1" applyFill="1" applyBorder="1" applyAlignment="1">
      <alignment horizontal="left" vertical="top" wrapText="1"/>
    </xf>
    <xf numFmtId="0" fontId="811" fillId="5" borderId="3" xfId="0" applyFont="1" applyFill="1" applyBorder="1" applyAlignment="1">
      <alignment horizontal="left" vertical="top" wrapText="1"/>
    </xf>
    <xf numFmtId="0" fontId="812" fillId="5" borderId="3" xfId="0" applyFont="1" applyFill="1" applyBorder="1" applyAlignment="1">
      <alignment horizontal="left" vertical="top" wrapText="1"/>
    </xf>
    <xf numFmtId="0" fontId="823" fillId="5" borderId="3" xfId="0" applyFont="1" applyFill="1" applyBorder="1" applyAlignment="1">
      <alignment horizontal="left" vertical="top" wrapText="1"/>
    </xf>
    <xf numFmtId="0" fontId="824" fillId="5" borderId="3" xfId="0" applyFont="1" applyFill="1" applyBorder="1" applyAlignment="1">
      <alignment horizontal="left" vertical="top" wrapText="1"/>
    </xf>
    <xf numFmtId="0" fontId="825" fillId="5" borderId="3" xfId="0" applyFont="1" applyFill="1" applyBorder="1" applyAlignment="1">
      <alignment horizontal="left" vertical="top" wrapText="1"/>
    </xf>
    <xf numFmtId="0" fontId="826" fillId="5" borderId="3" xfId="0" applyFont="1" applyFill="1" applyBorder="1" applyAlignment="1">
      <alignment horizontal="left" vertical="top" wrapText="1"/>
    </xf>
    <xf numFmtId="0" fontId="827" fillId="5" borderId="3" xfId="0" applyFont="1" applyFill="1" applyBorder="1" applyAlignment="1">
      <alignment horizontal="left" vertical="top" wrapText="1"/>
    </xf>
    <xf numFmtId="0" fontId="856" fillId="5" borderId="3" xfId="0" applyFont="1" applyFill="1" applyBorder="1" applyAlignment="1">
      <alignment horizontal="left" vertical="top" wrapText="1"/>
    </xf>
    <xf numFmtId="0" fontId="857" fillId="5" borderId="3" xfId="0" applyFont="1" applyFill="1" applyBorder="1" applyAlignment="1">
      <alignment horizontal="left" vertical="top" wrapText="1"/>
    </xf>
    <xf numFmtId="0" fontId="858" fillId="5" borderId="3" xfId="0" applyFont="1" applyFill="1" applyBorder="1" applyAlignment="1">
      <alignment horizontal="left" vertical="top" wrapText="1"/>
    </xf>
    <xf numFmtId="0" fontId="859" fillId="5" borderId="3" xfId="0" applyFont="1" applyFill="1" applyBorder="1" applyAlignment="1">
      <alignment horizontal="left" vertical="top" wrapText="1"/>
    </xf>
    <xf numFmtId="0" fontId="860" fillId="5" borderId="3" xfId="0" applyFont="1" applyFill="1" applyBorder="1" applyAlignment="1">
      <alignment horizontal="left" vertical="top" wrapText="1"/>
    </xf>
    <xf numFmtId="0" fontId="861" fillId="5" borderId="3" xfId="0" applyFont="1" applyFill="1" applyBorder="1" applyAlignment="1">
      <alignment horizontal="left" vertical="top" wrapText="1"/>
    </xf>
    <xf numFmtId="0" fontId="862" fillId="5" borderId="3" xfId="0" applyFont="1" applyFill="1" applyBorder="1" applyAlignment="1">
      <alignment horizontal="left" vertical="top" wrapText="1"/>
    </xf>
    <xf numFmtId="0" fontId="863" fillId="5" borderId="3" xfId="0" applyFont="1" applyFill="1" applyBorder="1" applyAlignment="1">
      <alignment horizontal="left" vertical="top" wrapText="1"/>
    </xf>
    <xf numFmtId="0" fontId="864" fillId="5" borderId="3" xfId="0" applyFont="1" applyFill="1" applyBorder="1" applyAlignment="1">
      <alignment horizontal="left" vertical="top" wrapText="1"/>
    </xf>
    <xf numFmtId="0" fontId="865" fillId="5" borderId="3" xfId="0" applyFont="1" applyFill="1" applyBorder="1" applyAlignment="1">
      <alignment horizontal="left" vertical="top" wrapText="1"/>
    </xf>
    <xf numFmtId="0" fontId="866" fillId="5" borderId="3" xfId="0" applyFont="1" applyFill="1" applyBorder="1" applyAlignment="1">
      <alignment horizontal="left" vertical="top" wrapText="1"/>
    </xf>
    <xf numFmtId="0" fontId="867" fillId="5" borderId="3" xfId="0" applyFont="1" applyFill="1" applyBorder="1" applyAlignment="1">
      <alignment horizontal="left" vertical="top" wrapText="1"/>
    </xf>
    <xf numFmtId="0" fontId="868" fillId="5" borderId="3" xfId="0" applyFont="1" applyFill="1" applyBorder="1" applyAlignment="1">
      <alignment horizontal="left" vertical="top" wrapText="1"/>
    </xf>
    <xf numFmtId="0" fontId="869" fillId="5" borderId="3" xfId="0" applyFont="1" applyFill="1" applyBorder="1" applyAlignment="1">
      <alignment horizontal="left" vertical="top" wrapText="1"/>
    </xf>
    <xf numFmtId="0" fontId="870" fillId="5" borderId="3" xfId="0" applyFont="1" applyFill="1" applyBorder="1" applyAlignment="1">
      <alignment horizontal="left" vertical="top" wrapText="1"/>
    </xf>
    <xf numFmtId="0" fontId="871" fillId="5" borderId="3" xfId="0" applyFont="1" applyFill="1" applyBorder="1" applyAlignment="1">
      <alignment horizontal="left" vertical="top" wrapText="1"/>
    </xf>
    <xf numFmtId="0" fontId="872" fillId="5" borderId="3" xfId="0" applyFont="1" applyFill="1" applyBorder="1" applyAlignment="1">
      <alignment horizontal="left" vertical="top" wrapText="1"/>
    </xf>
    <xf numFmtId="0" fontId="873" fillId="5" borderId="3" xfId="0" applyFont="1" applyFill="1" applyBorder="1" applyAlignment="1">
      <alignment horizontal="left" vertical="top" wrapText="1"/>
    </xf>
    <xf numFmtId="0" fontId="874" fillId="5" borderId="3" xfId="0" applyFont="1" applyFill="1" applyBorder="1" applyAlignment="1">
      <alignment horizontal="left" vertical="top" wrapText="1"/>
    </xf>
    <xf numFmtId="0" fontId="875" fillId="5" borderId="3" xfId="0" applyFont="1" applyFill="1" applyBorder="1" applyAlignment="1">
      <alignment horizontal="left" vertical="top" wrapText="1"/>
    </xf>
    <xf numFmtId="0" fontId="876" fillId="5" borderId="3" xfId="0" applyFont="1" applyFill="1" applyBorder="1" applyAlignment="1">
      <alignment horizontal="left" vertical="top" wrapText="1"/>
    </xf>
    <xf numFmtId="0" fontId="877" fillId="5" borderId="3" xfId="0" applyFont="1" applyFill="1" applyBorder="1" applyAlignment="1">
      <alignment horizontal="left" vertical="top" wrapText="1"/>
    </xf>
    <xf numFmtId="0" fontId="878" fillId="5" borderId="3" xfId="0" applyFont="1" applyFill="1" applyBorder="1" applyAlignment="1">
      <alignment horizontal="left" vertical="top" wrapText="1"/>
    </xf>
    <xf numFmtId="0" fontId="880" fillId="5" borderId="3" xfId="0" applyFont="1" applyFill="1" applyBorder="1" applyAlignment="1">
      <alignment horizontal="left" vertical="top" wrapText="1"/>
    </xf>
    <xf numFmtId="0" fontId="881" fillId="5" borderId="3" xfId="0" applyFont="1" applyFill="1" applyBorder="1" applyAlignment="1">
      <alignment horizontal="left" vertical="top" wrapText="1"/>
    </xf>
    <xf numFmtId="0" fontId="882" fillId="5" borderId="3" xfId="0" applyFont="1" applyFill="1" applyBorder="1" applyAlignment="1">
      <alignment horizontal="left" vertical="top" wrapText="1"/>
    </xf>
    <xf numFmtId="0" fontId="883" fillId="5" borderId="3" xfId="0" applyFont="1" applyFill="1" applyBorder="1" applyAlignment="1">
      <alignment horizontal="left" vertical="top" wrapText="1"/>
    </xf>
    <xf numFmtId="0" fontId="884" fillId="5" borderId="3" xfId="0" applyFont="1" applyFill="1" applyBorder="1" applyAlignment="1">
      <alignment horizontal="left" vertical="top" wrapText="1"/>
    </xf>
    <xf numFmtId="0" fontId="885" fillId="5" borderId="3" xfId="0" applyFont="1" applyFill="1" applyBorder="1" applyAlignment="1">
      <alignment horizontal="left" vertical="top" wrapText="1"/>
    </xf>
    <xf numFmtId="0" fontId="886" fillId="5" borderId="3" xfId="0" applyFont="1" applyFill="1" applyBorder="1" applyAlignment="1">
      <alignment horizontal="center" vertical="top"/>
    </xf>
    <xf numFmtId="0" fontId="887" fillId="5" borderId="3" xfId="0" applyFont="1" applyFill="1" applyBorder="1" applyAlignment="1">
      <alignment horizontal="center" vertical="top"/>
    </xf>
    <xf numFmtId="0" fontId="888" fillId="5" borderId="3" xfId="0" applyFont="1" applyFill="1" applyBorder="1" applyAlignment="1">
      <alignment horizontal="center" vertical="top"/>
    </xf>
    <xf numFmtId="0" fontId="889" fillId="5" borderId="3" xfId="0" applyFont="1" applyFill="1" applyBorder="1" applyAlignment="1">
      <alignment horizontal="center" vertical="top"/>
    </xf>
    <xf numFmtId="0" fontId="890" fillId="5" borderId="3" xfId="0" applyFont="1" applyFill="1" applyBorder="1" applyAlignment="1">
      <alignment horizontal="center" vertical="top"/>
    </xf>
    <xf numFmtId="0" fontId="891" fillId="5" borderId="3" xfId="0" applyFont="1" applyFill="1" applyBorder="1" applyAlignment="1">
      <alignment horizontal="center" vertical="top"/>
    </xf>
    <xf numFmtId="0" fontId="892" fillId="5" borderId="3" xfId="0" applyFont="1" applyFill="1" applyBorder="1" applyAlignment="1">
      <alignment horizontal="center" vertical="top"/>
    </xf>
    <xf numFmtId="0" fontId="904" fillId="5" borderId="3" xfId="0" applyFont="1" applyFill="1" applyBorder="1" applyAlignment="1">
      <alignment horizontal="left" vertical="top" wrapText="1"/>
    </xf>
    <xf numFmtId="0" fontId="905" fillId="5" borderId="3" xfId="0" applyFont="1" applyFill="1" applyBorder="1" applyAlignment="1">
      <alignment horizontal="left" vertical="top" wrapText="1"/>
    </xf>
    <xf numFmtId="0" fontId="920" fillId="3" borderId="3" xfId="0" applyFont="1" applyFill="1" applyBorder="1" applyAlignment="1">
      <alignment horizontal="left" vertical="top" wrapText="1"/>
    </xf>
    <xf numFmtId="0" fontId="923" fillId="4" borderId="3" xfId="0" applyFont="1" applyFill="1" applyBorder="1" applyAlignment="1">
      <alignment horizontal="center" vertical="top" wrapText="1"/>
    </xf>
    <xf numFmtId="0" fontId="924" fillId="5" borderId="3" xfId="0" applyFont="1" applyFill="1" applyBorder="1" applyAlignment="1">
      <alignment horizontal="left" vertical="top" wrapText="1"/>
    </xf>
    <xf numFmtId="0" fontId="925" fillId="5" borderId="3" xfId="0" applyFont="1" applyFill="1" applyBorder="1" applyAlignment="1">
      <alignment horizontal="left" vertical="top" wrapText="1"/>
    </xf>
    <xf numFmtId="0" fontId="926" fillId="5" borderId="3" xfId="0" applyFont="1" applyFill="1" applyBorder="1" applyAlignment="1">
      <alignment horizontal="left" vertical="top" wrapText="1"/>
    </xf>
    <xf numFmtId="0" fontId="927" fillId="5" borderId="3" xfId="0" applyFont="1" applyFill="1" applyBorder="1" applyAlignment="1">
      <alignment horizontal="center" vertical="top"/>
    </xf>
    <xf numFmtId="0" fontId="928" fillId="5" borderId="3" xfId="0" applyFont="1" applyFill="1" applyBorder="1" applyAlignment="1">
      <alignment horizontal="center" vertical="top"/>
    </xf>
    <xf numFmtId="0" fontId="929" fillId="5" borderId="3" xfId="0" applyFont="1" applyFill="1" applyBorder="1" applyAlignment="1">
      <alignment horizontal="center" vertical="top"/>
    </xf>
    <xf numFmtId="0" fontId="930" fillId="5" borderId="3" xfId="0" applyFont="1" applyFill="1" applyBorder="1" applyAlignment="1">
      <alignment horizontal="center" vertical="top"/>
    </xf>
    <xf numFmtId="0" fontId="931" fillId="5" borderId="3" xfId="0" applyFont="1" applyFill="1" applyBorder="1" applyAlignment="1">
      <alignment horizontal="center" vertical="top"/>
    </xf>
    <xf numFmtId="0" fontId="932" fillId="5" borderId="3" xfId="0" applyFont="1" applyFill="1" applyBorder="1" applyAlignment="1">
      <alignment horizontal="center" vertical="top"/>
    </xf>
    <xf numFmtId="0" fontId="933" fillId="5" borderId="3" xfId="0" applyFont="1" applyFill="1" applyBorder="1" applyAlignment="1">
      <alignment horizontal="center" vertical="top"/>
    </xf>
    <xf numFmtId="0" fontId="934" fillId="5" borderId="3" xfId="0" applyFont="1" applyFill="1" applyBorder="1" applyAlignment="1">
      <alignment horizontal="center" vertical="top"/>
    </xf>
    <xf numFmtId="0" fontId="935" fillId="5" borderId="3" xfId="0" applyFont="1" applyFill="1" applyBorder="1" applyAlignment="1">
      <alignment horizontal="center" vertical="top"/>
    </xf>
    <xf numFmtId="0" fontId="936" fillId="5" borderId="3" xfId="0" applyFont="1" applyFill="1" applyBorder="1" applyAlignment="1">
      <alignment horizontal="center" vertical="top"/>
    </xf>
    <xf numFmtId="0" fontId="937" fillId="5" borderId="3" xfId="0" applyFont="1" applyFill="1" applyBorder="1" applyAlignment="1">
      <alignment horizontal="center" vertical="top"/>
    </xf>
    <xf numFmtId="0" fontId="938" fillId="5" borderId="3" xfId="0" applyFont="1" applyFill="1" applyBorder="1" applyAlignment="1">
      <alignment horizontal="center" vertical="top"/>
    </xf>
    <xf numFmtId="0" fontId="939" fillId="5" borderId="3" xfId="0" applyFont="1" applyFill="1" applyBorder="1" applyAlignment="1">
      <alignment horizontal="center" vertical="top"/>
    </xf>
    <xf numFmtId="0" fontId="940" fillId="5" borderId="3" xfId="0" applyFont="1" applyFill="1" applyBorder="1" applyAlignment="1">
      <alignment horizontal="center" vertical="top"/>
    </xf>
    <xf numFmtId="0" fontId="941" fillId="5" borderId="3" xfId="0" applyFont="1" applyFill="1" applyBorder="1" applyAlignment="1">
      <alignment horizontal="center" vertical="top"/>
    </xf>
    <xf numFmtId="0" fontId="942" fillId="5" borderId="3" xfId="0" applyFont="1" applyFill="1" applyBorder="1" applyAlignment="1">
      <alignment horizontal="center" vertical="top"/>
    </xf>
    <xf numFmtId="0" fontId="943" fillId="5" borderId="3" xfId="0" applyFont="1" applyFill="1" applyBorder="1" applyAlignment="1">
      <alignment horizontal="center" vertical="top"/>
    </xf>
    <xf numFmtId="0" fontId="944" fillId="5" borderId="3" xfId="0" applyFont="1" applyFill="1" applyBorder="1" applyAlignment="1">
      <alignment horizontal="left" vertical="top" wrapText="1"/>
    </xf>
    <xf numFmtId="0" fontId="945" fillId="5" borderId="3" xfId="0" applyFont="1" applyFill="1" applyBorder="1" applyAlignment="1">
      <alignment horizontal="left" vertical="top" wrapText="1"/>
    </xf>
    <xf numFmtId="0" fontId="946" fillId="5" borderId="3" xfId="0" applyFont="1" applyFill="1" applyBorder="1" applyAlignment="1">
      <alignment horizontal="left" vertical="top" wrapText="1"/>
    </xf>
    <xf numFmtId="0" fontId="947" fillId="5" borderId="3" xfId="0" applyFont="1" applyFill="1" applyBorder="1" applyAlignment="1">
      <alignment horizontal="left" vertical="top" wrapText="1"/>
    </xf>
    <xf numFmtId="0" fontId="948" fillId="5" borderId="3" xfId="0" applyFont="1" applyFill="1" applyBorder="1" applyAlignment="1">
      <alignment horizontal="left" vertical="top" wrapText="1"/>
    </xf>
    <xf numFmtId="0" fontId="950" fillId="5" borderId="3" xfId="0" applyFont="1" applyFill="1" applyBorder="1" applyAlignment="1">
      <alignment horizontal="left" vertical="top" wrapText="1"/>
    </xf>
    <xf numFmtId="0" fontId="1005" fillId="5" borderId="3" xfId="0" applyFont="1" applyFill="1" applyBorder="1" applyAlignment="1">
      <alignment horizontal="left" vertical="top" wrapText="1"/>
    </xf>
    <xf numFmtId="0" fontId="1006" fillId="5" borderId="3" xfId="0" applyFont="1" applyFill="1" applyBorder="1" applyAlignment="1">
      <alignment horizontal="left" vertical="top" wrapText="1"/>
    </xf>
    <xf numFmtId="0" fontId="1007" fillId="5" borderId="3" xfId="0" applyFont="1" applyFill="1" applyBorder="1" applyAlignment="1">
      <alignment horizontal="left" vertical="top" wrapText="1"/>
    </xf>
    <xf numFmtId="0" fontId="1008" fillId="5" borderId="3" xfId="0" applyFont="1" applyFill="1" applyBorder="1" applyAlignment="1">
      <alignment horizontal="left" vertical="top" wrapText="1"/>
    </xf>
    <xf numFmtId="0" fontId="1009" fillId="5" borderId="3" xfId="0" applyFont="1" applyFill="1" applyBorder="1" applyAlignment="1">
      <alignment horizontal="left" vertical="top" wrapText="1"/>
    </xf>
    <xf numFmtId="0" fontId="1010" fillId="5" borderId="3" xfId="0" applyFont="1" applyFill="1" applyBorder="1" applyAlignment="1">
      <alignment horizontal="left" vertical="top" wrapText="1"/>
    </xf>
    <xf numFmtId="0" fontId="1011" fillId="5" borderId="3" xfId="0" applyFont="1" applyFill="1" applyBorder="1" applyAlignment="1">
      <alignment horizontal="left" vertical="top" wrapText="1"/>
    </xf>
    <xf numFmtId="0" fontId="1012" fillId="5" borderId="3" xfId="0" applyFont="1" applyFill="1" applyBorder="1" applyAlignment="1">
      <alignment horizontal="left" vertical="top" wrapText="1"/>
    </xf>
    <xf numFmtId="0" fontId="1013" fillId="5" borderId="3" xfId="0" applyFont="1" applyFill="1" applyBorder="1" applyAlignment="1">
      <alignment horizontal="center" vertical="top"/>
    </xf>
    <xf numFmtId="0" fontId="1014" fillId="5" borderId="3" xfId="0" applyFont="1" applyFill="1" applyBorder="1" applyAlignment="1">
      <alignment horizontal="center" vertical="top"/>
    </xf>
    <xf numFmtId="0" fontId="1037" fillId="5" borderId="3" xfId="0" applyFont="1" applyFill="1" applyBorder="1" applyAlignment="1">
      <alignment horizontal="left" vertical="top" wrapText="1"/>
    </xf>
    <xf numFmtId="0" fontId="1039" fillId="5" borderId="3" xfId="0" applyFont="1" applyFill="1" applyBorder="1" applyAlignment="1">
      <alignment horizontal="left" vertical="top" wrapText="1"/>
    </xf>
    <xf numFmtId="0" fontId="1040" fillId="5" borderId="3" xfId="0" applyFont="1" applyFill="1" applyBorder="1" applyAlignment="1">
      <alignment horizontal="left" vertical="top" wrapText="1"/>
    </xf>
    <xf numFmtId="0" fontId="1041" fillId="5" borderId="3" xfId="0" applyFont="1" applyFill="1" applyBorder="1" applyAlignment="1">
      <alignment horizontal="left" vertical="top" wrapText="1"/>
    </xf>
    <xf numFmtId="0" fontId="1042" fillId="5" borderId="3" xfId="0" applyFont="1" applyFill="1" applyBorder="1" applyAlignment="1">
      <alignment horizontal="left" vertical="top" wrapText="1"/>
    </xf>
    <xf numFmtId="0" fontId="1043" fillId="5" borderId="3" xfId="0" applyFont="1" applyFill="1" applyBorder="1" applyAlignment="1">
      <alignment horizontal="left" vertical="top" wrapText="1"/>
    </xf>
    <xf numFmtId="0" fontId="1044" fillId="5" borderId="3" xfId="0" applyFont="1" applyFill="1" applyBorder="1" applyAlignment="1">
      <alignment horizontal="left" vertical="top" wrapText="1"/>
    </xf>
    <xf numFmtId="0" fontId="1045" fillId="5" borderId="3" xfId="0" applyFont="1" applyFill="1" applyBorder="1" applyAlignment="1">
      <alignment horizontal="left" vertical="top" wrapText="1"/>
    </xf>
    <xf numFmtId="0" fontId="1046" fillId="5" borderId="3" xfId="0" applyFont="1" applyFill="1" applyBorder="1" applyAlignment="1">
      <alignment horizontal="left" vertical="top" wrapText="1"/>
    </xf>
    <xf numFmtId="0" fontId="1047" fillId="5" borderId="3" xfId="0" applyFont="1" applyFill="1" applyBorder="1" applyAlignment="1">
      <alignment horizontal="left" vertical="top" wrapText="1"/>
    </xf>
    <xf numFmtId="0" fontId="1048" fillId="5" borderId="3" xfId="0" applyFont="1" applyFill="1" applyBorder="1" applyAlignment="1">
      <alignment horizontal="left" vertical="top" wrapText="1"/>
    </xf>
    <xf numFmtId="0" fontId="1049" fillId="5" borderId="3" xfId="0" applyFont="1" applyFill="1" applyBorder="1" applyAlignment="1">
      <alignment horizontal="left" vertical="top" wrapText="1"/>
    </xf>
    <xf numFmtId="0" fontId="1050" fillId="5" borderId="3" xfId="0" applyFont="1" applyFill="1" applyBorder="1" applyAlignment="1">
      <alignment horizontal="left" vertical="top" wrapText="1"/>
    </xf>
    <xf numFmtId="0" fontId="1070" fillId="5" borderId="3" xfId="0" applyFont="1" applyFill="1" applyBorder="1" applyAlignment="1">
      <alignment horizontal="left" vertical="top" wrapText="1"/>
    </xf>
    <xf numFmtId="0" fontId="1071" fillId="5" borderId="3" xfId="0" applyFont="1" applyFill="1" applyBorder="1" applyAlignment="1">
      <alignment horizontal="left" vertical="top" wrapText="1"/>
    </xf>
    <xf numFmtId="0" fontId="1072" fillId="5" borderId="3" xfId="0" applyFont="1" applyFill="1" applyBorder="1" applyAlignment="1">
      <alignment horizontal="left" vertical="top" wrapText="1"/>
    </xf>
    <xf numFmtId="0" fontId="1073" fillId="5" borderId="3" xfId="0" applyFont="1" applyFill="1" applyBorder="1" applyAlignment="1">
      <alignment horizontal="left" vertical="top" wrapText="1"/>
    </xf>
    <xf numFmtId="0" fontId="1074" fillId="5" borderId="3" xfId="0" applyFont="1" applyFill="1" applyBorder="1" applyAlignment="1">
      <alignment horizontal="left" vertical="top" wrapText="1"/>
    </xf>
    <xf numFmtId="0" fontId="1075" fillId="5" borderId="3" xfId="0" applyFont="1" applyFill="1" applyBorder="1" applyAlignment="1">
      <alignment horizontal="left" vertical="top" wrapText="1"/>
    </xf>
    <xf numFmtId="0" fontId="1076" fillId="5" borderId="3" xfId="0" applyFont="1" applyFill="1" applyBorder="1" applyAlignment="1">
      <alignment horizontal="center" vertical="top"/>
    </xf>
    <xf numFmtId="0" fontId="1077" fillId="5" borderId="3" xfId="0" applyFont="1" applyFill="1" applyBorder="1" applyAlignment="1">
      <alignment horizontal="center" vertical="top"/>
    </xf>
    <xf numFmtId="0" fontId="1078" fillId="5" borderId="3" xfId="0" applyFont="1" applyFill="1" applyBorder="1" applyAlignment="1">
      <alignment horizontal="left" vertical="top" wrapText="1"/>
    </xf>
    <xf numFmtId="0" fontId="1079" fillId="5" borderId="3" xfId="0" applyFont="1" applyFill="1" applyBorder="1" applyAlignment="1">
      <alignment horizontal="left" vertical="top" wrapText="1"/>
    </xf>
    <xf numFmtId="0" fontId="1080" fillId="5" borderId="3" xfId="0" applyFont="1" applyFill="1" applyBorder="1" applyAlignment="1">
      <alignment horizontal="left" vertical="top" wrapText="1"/>
    </xf>
    <xf numFmtId="0" fontId="1081" fillId="5" borderId="3" xfId="0" applyFont="1" applyFill="1" applyBorder="1" applyAlignment="1">
      <alignment horizontal="left" vertical="top" wrapText="1"/>
    </xf>
    <xf numFmtId="0" fontId="1082" fillId="5" borderId="3" xfId="0" applyFont="1" applyFill="1" applyBorder="1" applyAlignment="1">
      <alignment horizontal="left" vertical="top" wrapText="1"/>
    </xf>
    <xf numFmtId="0" fontId="1091" fillId="5" borderId="3" xfId="0" applyFont="1" applyFill="1" applyBorder="1" applyAlignment="1">
      <alignment horizontal="left" vertical="top" wrapText="1"/>
    </xf>
    <xf numFmtId="0" fontId="1092" fillId="5" borderId="3" xfId="0" applyFont="1" applyFill="1" applyBorder="1" applyAlignment="1">
      <alignment horizontal="left" vertical="top" wrapText="1"/>
    </xf>
    <xf numFmtId="0" fontId="1093" fillId="5" borderId="3" xfId="0" applyFont="1" applyFill="1" applyBorder="1" applyAlignment="1">
      <alignment horizontal="left" vertical="top" wrapText="1"/>
    </xf>
    <xf numFmtId="0" fontId="1094" fillId="5" borderId="3" xfId="0" applyFont="1" applyFill="1" applyBorder="1" applyAlignment="1">
      <alignment horizontal="left" vertical="top" wrapText="1"/>
    </xf>
    <xf numFmtId="0" fontId="1095" fillId="5" borderId="3" xfId="0" applyFont="1" applyFill="1" applyBorder="1" applyAlignment="1">
      <alignment horizontal="left" vertical="top" wrapText="1"/>
    </xf>
    <xf numFmtId="0" fontId="1096" fillId="5" borderId="3" xfId="0" applyFont="1" applyFill="1" applyBorder="1" applyAlignment="1">
      <alignment horizontal="left" vertical="top" wrapText="1"/>
    </xf>
    <xf numFmtId="0" fontId="1097" fillId="5" borderId="3" xfId="0" applyFont="1" applyFill="1" applyBorder="1" applyAlignment="1">
      <alignment horizontal="left" vertical="top" wrapText="1"/>
    </xf>
    <xf numFmtId="0" fontId="1098" fillId="5" borderId="3" xfId="0" applyFont="1" applyFill="1" applyBorder="1" applyAlignment="1">
      <alignment horizontal="left" vertical="top" wrapText="1"/>
    </xf>
    <xf numFmtId="0" fontId="1099" fillId="5" borderId="3" xfId="0" applyFont="1" applyFill="1" applyBorder="1" applyAlignment="1">
      <alignment horizontal="left" vertical="top" wrapText="1"/>
    </xf>
    <xf numFmtId="0" fontId="1100" fillId="5" borderId="3" xfId="0" applyFont="1" applyFill="1" applyBorder="1" applyAlignment="1">
      <alignment horizontal="left" vertical="top" wrapText="1"/>
    </xf>
    <xf numFmtId="0" fontId="1101" fillId="5" borderId="3" xfId="0" applyFont="1" applyFill="1" applyBorder="1" applyAlignment="1">
      <alignment horizontal="left" vertical="top" wrapText="1"/>
    </xf>
    <xf numFmtId="0" fontId="1102" fillId="5" borderId="3" xfId="0" applyFont="1" applyFill="1" applyBorder="1" applyAlignment="1">
      <alignment horizontal="left" vertical="top" wrapText="1"/>
    </xf>
    <xf numFmtId="0" fontId="1103" fillId="5" borderId="3" xfId="0" applyFont="1" applyFill="1" applyBorder="1" applyAlignment="1">
      <alignment horizontal="left" vertical="top" wrapText="1"/>
    </xf>
    <xf numFmtId="0" fontId="1104" fillId="5" borderId="3" xfId="0" applyFont="1" applyFill="1" applyBorder="1" applyAlignment="1">
      <alignment horizontal="left" vertical="top" wrapText="1"/>
    </xf>
    <xf numFmtId="0" fontId="1105" fillId="5" borderId="3" xfId="0" applyFont="1" applyFill="1" applyBorder="1" applyAlignment="1">
      <alignment horizontal="left" vertical="top" wrapText="1"/>
    </xf>
    <xf numFmtId="0" fontId="1106" fillId="5" borderId="3" xfId="0" applyFont="1" applyFill="1" applyBorder="1" applyAlignment="1">
      <alignment horizontal="left" vertical="top" wrapText="1"/>
    </xf>
    <xf numFmtId="0" fontId="1107" fillId="5" borderId="3" xfId="0" applyFont="1" applyFill="1" applyBorder="1" applyAlignment="1">
      <alignment horizontal="left" vertical="top" wrapText="1"/>
    </xf>
    <xf numFmtId="0" fontId="1108" fillId="5" borderId="3" xfId="0" applyFont="1" applyFill="1" applyBorder="1" applyAlignment="1">
      <alignment horizontal="left" vertical="top" wrapText="1"/>
    </xf>
    <xf numFmtId="0" fontId="1109" fillId="5" borderId="3" xfId="0" applyFont="1" applyFill="1" applyBorder="1" applyAlignment="1">
      <alignment horizontal="left" vertical="top" wrapText="1"/>
    </xf>
    <xf numFmtId="0" fontId="1110" fillId="5" borderId="3" xfId="0" applyFont="1" applyFill="1" applyBorder="1" applyAlignment="1">
      <alignment horizontal="left" vertical="top" wrapText="1"/>
    </xf>
    <xf numFmtId="0" fontId="1111" fillId="5" borderId="3" xfId="0" applyFont="1" applyFill="1" applyBorder="1" applyAlignment="1">
      <alignment horizontal="center" vertical="top"/>
    </xf>
    <xf numFmtId="0" fontId="1112" fillId="5" borderId="3" xfId="0" applyFont="1" applyFill="1" applyBorder="1" applyAlignment="1">
      <alignment horizontal="center" vertical="top"/>
    </xf>
    <xf numFmtId="0" fontId="1113" fillId="5" borderId="3" xfId="0" applyFont="1" applyFill="1" applyBorder="1" applyAlignment="1">
      <alignment horizontal="center" vertical="top"/>
    </xf>
    <xf numFmtId="0" fontId="1114" fillId="5" borderId="3" xfId="0" applyFont="1" applyFill="1" applyBorder="1" applyAlignment="1">
      <alignment horizontal="center" vertical="top"/>
    </xf>
    <xf numFmtId="0" fontId="1115" fillId="5" borderId="3" xfId="0" applyFont="1" applyFill="1" applyBorder="1" applyAlignment="1">
      <alignment horizontal="center" vertical="top"/>
    </xf>
    <xf numFmtId="0" fontId="1116" fillId="5" borderId="3" xfId="0" applyFont="1" applyFill="1" applyBorder="1" applyAlignment="1">
      <alignment horizontal="center" vertical="top"/>
    </xf>
    <xf numFmtId="0" fontId="1117" fillId="5" borderId="3" xfId="0" applyFont="1" applyFill="1" applyBorder="1" applyAlignment="1">
      <alignment horizontal="center" vertical="top"/>
    </xf>
    <xf numFmtId="0" fontId="1118" fillId="5" borderId="3" xfId="0" applyFont="1" applyFill="1" applyBorder="1" applyAlignment="1">
      <alignment horizontal="left" vertical="top" wrapText="1"/>
    </xf>
    <xf numFmtId="0" fontId="1119" fillId="5" borderId="3" xfId="0" applyFont="1" applyFill="1" applyBorder="1" applyAlignment="1">
      <alignment horizontal="left" vertical="top" wrapText="1"/>
    </xf>
    <xf numFmtId="0" fontId="1120" fillId="5" borderId="3" xfId="0" applyFont="1" applyFill="1" applyBorder="1" applyAlignment="1">
      <alignment horizontal="left" vertical="top" wrapText="1"/>
    </xf>
    <xf numFmtId="0" fontId="1121" fillId="5" borderId="3" xfId="0" applyFont="1" applyFill="1" applyBorder="1" applyAlignment="1">
      <alignment horizontal="center" vertical="top"/>
    </xf>
    <xf numFmtId="0" fontId="1122" fillId="5" borderId="3" xfId="0" applyFont="1" applyFill="1" applyBorder="1" applyAlignment="1">
      <alignment horizontal="center" vertical="top"/>
    </xf>
    <xf numFmtId="0" fontId="1123" fillId="5" borderId="3" xfId="0" applyFont="1" applyFill="1" applyBorder="1" applyAlignment="1">
      <alignment horizontal="center" vertical="top"/>
    </xf>
    <xf numFmtId="0" fontId="1124" fillId="5" borderId="3" xfId="0" applyFont="1" applyFill="1" applyBorder="1" applyAlignment="1">
      <alignment horizontal="center" vertical="top"/>
    </xf>
    <xf numFmtId="0" fontId="1125" fillId="5" borderId="3" xfId="0" applyFont="1" applyFill="1" applyBorder="1" applyAlignment="1">
      <alignment horizontal="left" vertical="top" wrapText="1"/>
    </xf>
    <xf numFmtId="0" fontId="1126" fillId="5" borderId="3" xfId="0" applyFont="1" applyFill="1" applyBorder="1" applyAlignment="1">
      <alignment horizontal="center" vertical="top"/>
    </xf>
    <xf numFmtId="0" fontId="1127" fillId="5" borderId="3" xfId="0" applyFont="1" applyFill="1" applyBorder="1" applyAlignment="1">
      <alignment horizontal="center" vertical="top"/>
    </xf>
    <xf numFmtId="0" fontId="1128" fillId="5" borderId="3" xfId="0" applyFont="1" applyFill="1" applyBorder="1" applyAlignment="1">
      <alignment horizontal="center" vertical="top"/>
    </xf>
    <xf numFmtId="0" fontId="1129" fillId="5" borderId="3" xfId="0" applyFont="1" applyFill="1" applyBorder="1" applyAlignment="1">
      <alignment horizontal="center" vertical="top"/>
    </xf>
    <xf numFmtId="0" fontId="1130" fillId="5" borderId="3" xfId="0" applyFont="1" applyFill="1" applyBorder="1" applyAlignment="1">
      <alignment horizontal="center" vertical="top"/>
    </xf>
    <xf numFmtId="0" fontId="1131" fillId="5" borderId="3" xfId="0" applyFont="1" applyFill="1" applyBorder="1" applyAlignment="1">
      <alignment horizontal="center" vertical="top"/>
    </xf>
    <xf numFmtId="0" fontId="1132" fillId="5" borderId="3" xfId="0" applyFont="1" applyFill="1" applyBorder="1" applyAlignment="1">
      <alignment horizontal="center" vertical="top"/>
    </xf>
    <xf numFmtId="0" fontId="1133" fillId="5" borderId="3" xfId="0" applyFont="1" applyFill="1" applyBorder="1" applyAlignment="1">
      <alignment horizontal="center" vertical="top"/>
    </xf>
    <xf numFmtId="0" fontId="1134" fillId="5" borderId="3" xfId="0" applyFont="1" applyFill="1" applyBorder="1" applyAlignment="1">
      <alignment horizontal="center" vertical="top"/>
    </xf>
    <xf numFmtId="0" fontId="1135" fillId="5" borderId="3" xfId="0" applyFont="1" applyFill="1" applyBorder="1" applyAlignment="1">
      <alignment horizontal="left" vertical="top" wrapText="1"/>
    </xf>
    <xf numFmtId="0" fontId="1136" fillId="5" borderId="3" xfId="0" applyFont="1" applyFill="1" applyBorder="1" applyAlignment="1">
      <alignment horizontal="left" vertical="top" wrapText="1"/>
    </xf>
    <xf numFmtId="0" fontId="1137" fillId="5" borderId="3" xfId="0" applyFont="1" applyFill="1" applyBorder="1" applyAlignment="1">
      <alignment horizontal="left" vertical="top" wrapText="1"/>
    </xf>
    <xf numFmtId="0" fontId="1138" fillId="5" borderId="3" xfId="0" applyFont="1" applyFill="1" applyBorder="1" applyAlignment="1">
      <alignment horizontal="left" vertical="top" wrapText="1"/>
    </xf>
    <xf numFmtId="0" fontId="1139" fillId="5" borderId="3" xfId="0" applyFont="1" applyFill="1" applyBorder="1" applyAlignment="1">
      <alignment horizontal="left" vertical="top" wrapText="1"/>
    </xf>
    <xf numFmtId="0" fontId="1140" fillId="5" borderId="3" xfId="0" applyFont="1" applyFill="1" applyBorder="1" applyAlignment="1">
      <alignment horizontal="left" vertical="top" wrapText="1"/>
    </xf>
    <xf numFmtId="0" fontId="1141" fillId="5" borderId="3" xfId="0" applyFont="1" applyFill="1" applyBorder="1" applyAlignment="1">
      <alignment horizontal="left" vertical="top" wrapText="1"/>
    </xf>
    <xf numFmtId="0" fontId="1142" fillId="5" borderId="3" xfId="0" applyFont="1" applyFill="1" applyBorder="1" applyAlignment="1">
      <alignment horizontal="left" vertical="top" wrapText="1"/>
    </xf>
    <xf numFmtId="0" fontId="1143" fillId="5" borderId="3" xfId="0" applyFont="1" applyFill="1" applyBorder="1" applyAlignment="1">
      <alignment horizontal="left" vertical="top" wrapText="1"/>
    </xf>
    <xf numFmtId="0" fontId="1144" fillId="5" borderId="3" xfId="0" applyFont="1" applyFill="1" applyBorder="1" applyAlignment="1">
      <alignment horizontal="left" vertical="top" wrapText="1"/>
    </xf>
    <xf numFmtId="0" fontId="1145" fillId="5" borderId="3" xfId="0" applyFont="1" applyFill="1" applyBorder="1" applyAlignment="1">
      <alignment horizontal="left" vertical="top" wrapText="1"/>
    </xf>
    <xf numFmtId="0" fontId="1146" fillId="5" borderId="3" xfId="0" applyFont="1" applyFill="1" applyBorder="1" applyAlignment="1">
      <alignment horizontal="left" vertical="top" wrapText="1"/>
    </xf>
    <xf numFmtId="0" fontId="1147" fillId="5" borderId="3" xfId="0" applyFont="1" applyFill="1" applyBorder="1" applyAlignment="1">
      <alignment horizontal="left" vertical="top" wrapText="1"/>
    </xf>
    <xf numFmtId="0" fontId="1148" fillId="5" borderId="3" xfId="0" applyFont="1" applyFill="1" applyBorder="1" applyAlignment="1">
      <alignment horizontal="left" vertical="top" wrapText="1"/>
    </xf>
    <xf numFmtId="0" fontId="1149" fillId="5" borderId="3" xfId="0" applyFont="1" applyFill="1" applyBorder="1" applyAlignment="1">
      <alignment horizontal="left" vertical="top" wrapText="1"/>
    </xf>
    <xf numFmtId="0" fontId="1150" fillId="5" borderId="3" xfId="0" applyFont="1" applyFill="1" applyBorder="1" applyAlignment="1">
      <alignment horizontal="left" vertical="top" wrapText="1"/>
    </xf>
    <xf numFmtId="0" fontId="1151" fillId="5" borderId="3" xfId="0" applyFont="1" applyFill="1" applyBorder="1" applyAlignment="1">
      <alignment horizontal="left" vertical="top" wrapText="1"/>
    </xf>
    <xf numFmtId="0" fontId="1152" fillId="5" borderId="3" xfId="0" applyFont="1" applyFill="1" applyBorder="1" applyAlignment="1">
      <alignment horizontal="left" vertical="top" wrapText="1"/>
    </xf>
    <xf numFmtId="0" fontId="1153" fillId="5" borderId="3" xfId="0" applyFont="1" applyFill="1" applyBorder="1" applyAlignment="1">
      <alignment horizontal="left" vertical="top" wrapText="1"/>
    </xf>
    <xf numFmtId="0" fontId="1154" fillId="5" borderId="3" xfId="0" applyFont="1" applyFill="1" applyBorder="1" applyAlignment="1">
      <alignment horizontal="left" vertical="top" wrapText="1"/>
    </xf>
    <xf numFmtId="0" fontId="1155" fillId="5" borderId="3" xfId="0" applyFont="1" applyFill="1" applyBorder="1" applyAlignment="1">
      <alignment horizontal="left" vertical="top" wrapText="1"/>
    </xf>
    <xf numFmtId="0" fontId="1156" fillId="5" borderId="3" xfId="0" applyFont="1" applyFill="1" applyBorder="1" applyAlignment="1">
      <alignment horizontal="left" vertical="top" wrapText="1"/>
    </xf>
    <xf numFmtId="0" fontId="1157" fillId="5" borderId="3" xfId="0" applyFont="1" applyFill="1" applyBorder="1" applyAlignment="1">
      <alignment horizontal="left" vertical="top" wrapText="1"/>
    </xf>
    <xf numFmtId="0" fontId="1158" fillId="5" borderId="3" xfId="0" applyFont="1" applyFill="1" applyBorder="1" applyAlignment="1">
      <alignment horizontal="center" vertical="top"/>
    </xf>
    <xf numFmtId="0" fontId="1159" fillId="5" borderId="3" xfId="0" applyFont="1" applyFill="1" applyBorder="1" applyAlignment="1">
      <alignment horizontal="left" vertical="top" wrapText="1"/>
    </xf>
    <xf numFmtId="0" fontId="1160" fillId="5" borderId="3" xfId="0" applyFont="1" applyFill="1" applyBorder="1" applyAlignment="1">
      <alignment horizontal="left" vertical="top" wrapText="1"/>
    </xf>
    <xf numFmtId="0" fontId="1161" fillId="5" borderId="3" xfId="0" applyFont="1" applyFill="1" applyBorder="1" applyAlignment="1">
      <alignment horizontal="left" vertical="top" wrapText="1"/>
    </xf>
    <xf numFmtId="0" fontId="1162" fillId="5" borderId="3" xfId="0" applyFont="1" applyFill="1" applyBorder="1" applyAlignment="1">
      <alignment horizontal="left" vertical="top" wrapText="1"/>
    </xf>
    <xf numFmtId="0" fontId="1163" fillId="5" borderId="3" xfId="0" applyFont="1" applyFill="1" applyBorder="1" applyAlignment="1">
      <alignment horizontal="left" vertical="top" wrapText="1"/>
    </xf>
    <xf numFmtId="0" fontId="1170" fillId="5" borderId="3" xfId="0" applyFont="1" applyFill="1" applyBorder="1" applyAlignment="1">
      <alignment horizontal="left" vertical="top" wrapText="1"/>
    </xf>
    <xf numFmtId="0" fontId="1171" fillId="5" borderId="3" xfId="0" applyFont="1" applyFill="1" applyBorder="1" applyAlignment="1">
      <alignment horizontal="left" vertical="top" wrapText="1"/>
    </xf>
    <xf numFmtId="0" fontId="1172" fillId="5" borderId="3" xfId="0" applyFont="1" applyFill="1" applyBorder="1" applyAlignment="1">
      <alignment horizontal="left" vertical="top" wrapText="1"/>
    </xf>
    <xf numFmtId="0" fontId="1173" fillId="5" borderId="3" xfId="0" applyFont="1" applyFill="1" applyBorder="1" applyAlignment="1">
      <alignment horizontal="left" vertical="top" wrapText="1"/>
    </xf>
    <xf numFmtId="0" fontId="1174" fillId="5" borderId="3" xfId="0" applyFont="1" applyFill="1" applyBorder="1" applyAlignment="1">
      <alignment horizontal="left" vertical="top" wrapText="1"/>
    </xf>
    <xf numFmtId="0" fontId="1175" fillId="5" borderId="3" xfId="0" applyFont="1" applyFill="1" applyBorder="1" applyAlignment="1">
      <alignment horizontal="left" vertical="top" wrapText="1"/>
    </xf>
    <xf numFmtId="0" fontId="1176" fillId="5" borderId="3" xfId="0" applyFont="1" applyFill="1" applyBorder="1" applyAlignment="1">
      <alignment horizontal="center" vertical="top"/>
    </xf>
    <xf numFmtId="0" fontId="1177" fillId="5" borderId="3" xfId="0" applyFont="1" applyFill="1" applyBorder="1" applyAlignment="1">
      <alignment horizontal="center" vertical="top"/>
    </xf>
    <xf numFmtId="0" fontId="1178" fillId="5" borderId="3" xfId="0" applyFont="1" applyFill="1" applyBorder="1" applyAlignment="1">
      <alignment horizontal="center" vertical="top"/>
    </xf>
    <xf numFmtId="0" fontId="1180" fillId="5" borderId="3" xfId="0" applyFont="1" applyFill="1" applyBorder="1" applyAlignment="1">
      <alignment horizontal="left" vertical="top" wrapText="1"/>
    </xf>
    <xf numFmtId="0" fontId="1181" fillId="5" borderId="3" xfId="0" applyFont="1" applyFill="1" applyBorder="1" applyAlignment="1">
      <alignment horizontal="left" vertical="top" wrapText="1"/>
    </xf>
    <xf numFmtId="0" fontId="1182" fillId="5" borderId="3" xfId="0" applyFont="1" applyFill="1" applyBorder="1" applyAlignment="1">
      <alignment horizontal="left" vertical="top" wrapText="1"/>
    </xf>
    <xf numFmtId="0" fontId="1183" fillId="5" borderId="3" xfId="0" applyFont="1" applyFill="1" applyBorder="1" applyAlignment="1">
      <alignment horizontal="left" vertical="top" wrapText="1"/>
    </xf>
    <xf numFmtId="0" fontId="1184" fillId="5" borderId="3" xfId="0" applyFont="1" applyFill="1" applyBorder="1" applyAlignment="1">
      <alignment horizontal="left" vertical="top" wrapText="1"/>
    </xf>
    <xf numFmtId="0" fontId="1185" fillId="5" borderId="3" xfId="0" applyFont="1" applyFill="1" applyBorder="1" applyAlignment="1">
      <alignment horizontal="left" vertical="top" wrapText="1"/>
    </xf>
    <xf numFmtId="0" fontId="1186" fillId="5" borderId="3" xfId="0" applyFont="1" applyFill="1" applyBorder="1" applyAlignment="1">
      <alignment horizontal="left" vertical="top" wrapText="1"/>
    </xf>
    <xf numFmtId="0" fontId="1187" fillId="5" borderId="3" xfId="0" applyFont="1" applyFill="1" applyBorder="1" applyAlignment="1">
      <alignment horizontal="left" vertical="top" wrapText="1"/>
    </xf>
    <xf numFmtId="0" fontId="1188" fillId="5" borderId="3" xfId="0" applyFont="1" applyFill="1" applyBorder="1" applyAlignment="1">
      <alignment horizontal="left" vertical="top" wrapText="1"/>
    </xf>
    <xf numFmtId="0" fontId="1189" fillId="5" borderId="3" xfId="0" applyFont="1" applyFill="1" applyBorder="1" applyAlignment="1">
      <alignment horizontal="left" vertical="top" wrapText="1"/>
    </xf>
    <xf numFmtId="0" fontId="1190" fillId="5" borderId="3" xfId="0" applyFont="1" applyFill="1" applyBorder="1" applyAlignment="1">
      <alignment horizontal="left" vertical="top" wrapText="1"/>
    </xf>
    <xf numFmtId="0" fontId="1191" fillId="5" borderId="3" xfId="0" applyFont="1" applyFill="1" applyBorder="1" applyAlignment="1">
      <alignment horizontal="left" vertical="top" wrapText="1"/>
    </xf>
    <xf numFmtId="0" fontId="1192" fillId="5" borderId="3" xfId="0" applyFont="1" applyFill="1" applyBorder="1" applyAlignment="1">
      <alignment horizontal="left" vertical="top" wrapText="1"/>
    </xf>
    <xf numFmtId="0" fontId="1193" fillId="5" borderId="3" xfId="0" applyFont="1" applyFill="1" applyBorder="1" applyAlignment="1">
      <alignment horizontal="left" vertical="top" wrapText="1"/>
    </xf>
    <xf numFmtId="0" fontId="1194" fillId="5" borderId="3" xfId="0" applyFont="1" applyFill="1" applyBorder="1" applyAlignment="1">
      <alignment horizontal="center" vertical="top"/>
    </xf>
    <xf numFmtId="0" fontId="1195" fillId="5" borderId="3" xfId="0" applyFont="1" applyFill="1" applyBorder="1" applyAlignment="1">
      <alignment horizontal="center" vertical="top"/>
    </xf>
    <xf numFmtId="0" fontId="1196" fillId="5" borderId="3" xfId="0" applyFont="1" applyFill="1" applyBorder="1" applyAlignment="1">
      <alignment horizontal="center" vertical="top"/>
    </xf>
    <xf numFmtId="0" fontId="1197" fillId="5" borderId="3" xfId="0" applyFont="1" applyFill="1" applyBorder="1" applyAlignment="1">
      <alignment horizontal="center" vertical="top"/>
    </xf>
    <xf numFmtId="0" fontId="1200" fillId="5" borderId="3" xfId="0" applyFont="1" applyFill="1" applyBorder="1" applyAlignment="1">
      <alignment horizontal="left" vertical="top" wrapText="1"/>
    </xf>
    <xf numFmtId="0" fontId="1209" fillId="5" borderId="3" xfId="0" applyFont="1" applyFill="1" applyBorder="1" applyAlignment="1">
      <alignment horizontal="left" vertical="top" wrapText="1"/>
    </xf>
    <xf numFmtId="0" fontId="1213" fillId="5" borderId="3" xfId="0" applyFont="1" applyFill="1" applyBorder="1" applyAlignment="1">
      <alignment horizontal="left" vertical="top" wrapText="1"/>
    </xf>
    <xf numFmtId="0" fontId="1222" fillId="5" borderId="3" xfId="0" applyFont="1" applyFill="1" applyBorder="1" applyAlignment="1">
      <alignment horizontal="left" vertical="top" wrapText="1"/>
    </xf>
    <xf numFmtId="0" fontId="1223" fillId="5" borderId="3" xfId="0" applyFont="1" applyFill="1" applyBorder="1" applyAlignment="1">
      <alignment horizontal="left" vertical="top" wrapText="1"/>
    </xf>
    <xf numFmtId="0" fontId="1224" fillId="5" borderId="3" xfId="0" applyFont="1" applyFill="1" applyBorder="1" applyAlignment="1">
      <alignment horizontal="left" vertical="top" wrapText="1"/>
    </xf>
    <xf numFmtId="0" fontId="1225" fillId="5" borderId="3" xfId="0" applyFont="1" applyFill="1" applyBorder="1" applyAlignment="1">
      <alignment horizontal="left" vertical="top" wrapText="1"/>
    </xf>
    <xf numFmtId="0" fontId="1226" fillId="5" borderId="3" xfId="0" applyFont="1" applyFill="1" applyBorder="1" applyAlignment="1">
      <alignment horizontal="left" vertical="top" wrapText="1"/>
    </xf>
    <xf numFmtId="0" fontId="1227" fillId="5" borderId="3" xfId="0" applyFont="1" applyFill="1" applyBorder="1" applyAlignment="1">
      <alignment horizontal="left" vertical="top" wrapText="1"/>
    </xf>
    <xf numFmtId="0" fontId="1228" fillId="5" borderId="3" xfId="0" applyFont="1" applyFill="1" applyBorder="1" applyAlignment="1">
      <alignment horizontal="left" vertical="top" wrapText="1"/>
    </xf>
    <xf numFmtId="0" fontId="1229" fillId="5" borderId="3" xfId="0" applyFont="1" applyFill="1" applyBorder="1" applyAlignment="1">
      <alignment horizontal="left" vertical="top" wrapText="1"/>
    </xf>
    <xf numFmtId="0" fontId="1230" fillId="5" borderId="3" xfId="0" applyFont="1" applyFill="1" applyBorder="1" applyAlignment="1">
      <alignment horizontal="left" vertical="top" wrapText="1"/>
    </xf>
    <xf numFmtId="0" fontId="1231" fillId="5" borderId="3" xfId="0" applyFont="1" applyFill="1" applyBorder="1" applyAlignment="1">
      <alignment horizontal="left" vertical="top" wrapText="1"/>
    </xf>
    <xf numFmtId="0" fontId="1232" fillId="5" borderId="3" xfId="0" applyFont="1" applyFill="1" applyBorder="1" applyAlignment="1">
      <alignment horizontal="left" vertical="top" wrapText="1"/>
    </xf>
    <xf numFmtId="0" fontId="1233" fillId="5" borderId="3" xfId="0" applyFont="1" applyFill="1" applyBorder="1" applyAlignment="1">
      <alignment horizontal="left" vertical="top" wrapText="1"/>
    </xf>
    <xf numFmtId="0" fontId="1234" fillId="5" borderId="3" xfId="0" applyFont="1" applyFill="1" applyBorder="1" applyAlignment="1">
      <alignment horizontal="left" vertical="top" wrapText="1"/>
    </xf>
    <xf numFmtId="0" fontId="1235" fillId="5" borderId="3" xfId="0" applyFont="1" applyFill="1" applyBorder="1" applyAlignment="1">
      <alignment horizontal="left" vertical="top" wrapText="1"/>
    </xf>
    <xf numFmtId="0" fontId="1236" fillId="5" borderId="3" xfId="0" applyFont="1" applyFill="1" applyBorder="1" applyAlignment="1">
      <alignment horizontal="center" vertical="top"/>
    </xf>
    <xf numFmtId="0" fontId="1237" fillId="5" borderId="3" xfId="0" applyFont="1" applyFill="1" applyBorder="1" applyAlignment="1">
      <alignment horizontal="center" vertical="top"/>
    </xf>
    <xf numFmtId="0" fontId="1238" fillId="5" borderId="3" xfId="0" applyFont="1" applyFill="1" applyBorder="1" applyAlignment="1">
      <alignment horizontal="center" vertical="top"/>
    </xf>
    <xf numFmtId="0" fontId="1239" fillId="5" borderId="3" xfId="0" applyFont="1" applyFill="1" applyBorder="1" applyAlignment="1">
      <alignment horizontal="center" vertical="top"/>
    </xf>
    <xf numFmtId="0" fontId="1240" fillId="5" borderId="3" xfId="0" applyFont="1" applyFill="1" applyBorder="1" applyAlignment="1">
      <alignment horizontal="center" vertical="top"/>
    </xf>
    <xf numFmtId="0" fontId="1241" fillId="5" borderId="3" xfId="0" applyFont="1" applyFill="1" applyBorder="1" applyAlignment="1">
      <alignment horizontal="center" vertical="top"/>
    </xf>
    <xf numFmtId="0" fontId="1242" fillId="5" borderId="3" xfId="0" applyFont="1" applyFill="1" applyBorder="1" applyAlignment="1">
      <alignment horizontal="center" vertical="top"/>
    </xf>
    <xf numFmtId="0" fontId="1243" fillId="5" borderId="3" xfId="0" applyFont="1" applyFill="1" applyBorder="1" applyAlignment="1">
      <alignment horizontal="center" vertical="top"/>
    </xf>
    <xf numFmtId="0" fontId="1244" fillId="5" borderId="3" xfId="0" applyFont="1" applyFill="1" applyBorder="1" applyAlignment="1">
      <alignment horizontal="center" vertical="top"/>
    </xf>
    <xf numFmtId="0" fontId="1246" fillId="5" borderId="3" xfId="0" applyFont="1" applyFill="1" applyBorder="1" applyAlignment="1">
      <alignment horizontal="center" vertical="top"/>
    </xf>
    <xf numFmtId="0" fontId="1247" fillId="5" borderId="3" xfId="0" applyFont="1" applyFill="1" applyBorder="1" applyAlignment="1">
      <alignment horizontal="left" vertical="top" wrapText="1"/>
    </xf>
    <xf numFmtId="0" fontId="1248" fillId="5" borderId="3" xfId="0" applyFont="1" applyFill="1" applyBorder="1" applyAlignment="1">
      <alignment horizontal="left" vertical="top" wrapText="1"/>
    </xf>
    <xf numFmtId="0" fontId="1249" fillId="5" borderId="3" xfId="0" applyFont="1" applyFill="1" applyBorder="1" applyAlignment="1">
      <alignment horizontal="left" vertical="top" wrapText="1"/>
    </xf>
    <xf numFmtId="0" fontId="1250" fillId="5" borderId="3" xfId="0" applyFont="1" applyFill="1" applyBorder="1" applyAlignment="1">
      <alignment horizontal="left" vertical="top" wrapText="1"/>
    </xf>
    <xf numFmtId="0" fontId="1251" fillId="5" borderId="3" xfId="0" applyFont="1" applyFill="1" applyBorder="1" applyAlignment="1">
      <alignment horizontal="center" vertical="top"/>
    </xf>
    <xf numFmtId="0" fontId="1252" fillId="5" borderId="3" xfId="0" applyFont="1" applyFill="1" applyBorder="1" applyAlignment="1">
      <alignment horizontal="center" vertical="top"/>
    </xf>
    <xf numFmtId="0" fontId="1253" fillId="5" borderId="3" xfId="0" applyFont="1" applyFill="1" applyBorder="1" applyAlignment="1">
      <alignment horizontal="center" vertical="top"/>
    </xf>
    <xf numFmtId="0" fontId="1254" fillId="5" borderId="3" xfId="0" applyFont="1" applyFill="1" applyBorder="1" applyAlignment="1">
      <alignment horizontal="left" vertical="top" wrapText="1"/>
    </xf>
    <xf numFmtId="0" fontId="1255" fillId="5" borderId="3" xfId="0" applyFont="1" applyFill="1" applyBorder="1" applyAlignment="1">
      <alignment horizontal="left" vertical="top" wrapText="1"/>
    </xf>
    <xf numFmtId="0" fontId="1256" fillId="5" borderId="3" xfId="0" applyFont="1" applyFill="1" applyBorder="1" applyAlignment="1">
      <alignment horizontal="left" vertical="top" wrapText="1"/>
    </xf>
    <xf numFmtId="0" fontId="1257" fillId="5" borderId="3" xfId="0" applyFont="1" applyFill="1" applyBorder="1" applyAlignment="1">
      <alignment horizontal="left" vertical="top" wrapText="1"/>
    </xf>
    <xf numFmtId="0" fontId="1258" fillId="5" borderId="3" xfId="0" applyFont="1" applyFill="1" applyBorder="1" applyAlignment="1">
      <alignment horizontal="left" vertical="top" wrapText="1"/>
    </xf>
    <xf numFmtId="0" fontId="1259" fillId="5" borderId="3" xfId="0" applyFont="1" applyFill="1" applyBorder="1" applyAlignment="1">
      <alignment horizontal="center" vertical="top"/>
    </xf>
    <xf numFmtId="0" fontId="1262" fillId="5" borderId="3" xfId="0" applyFont="1" applyFill="1" applyBorder="1" applyAlignment="1">
      <alignment horizontal="center" vertical="top"/>
    </xf>
    <xf numFmtId="0" fontId="1263" fillId="5" borderId="3" xfId="0" applyFont="1" applyFill="1" applyBorder="1" applyAlignment="1">
      <alignment horizontal="center" vertical="top"/>
    </xf>
    <xf numFmtId="0" fontId="1264" fillId="5" borderId="3" xfId="0" applyFont="1" applyFill="1" applyBorder="1" applyAlignment="1">
      <alignment horizontal="center" vertical="top"/>
    </xf>
    <xf numFmtId="0" fontId="1265" fillId="5" borderId="3" xfId="0" applyFont="1" applyFill="1" applyBorder="1" applyAlignment="1">
      <alignment horizontal="center" vertical="top"/>
    </xf>
    <xf numFmtId="0" fontId="1266" fillId="5" borderId="3" xfId="0" applyFont="1" applyFill="1" applyBorder="1" applyAlignment="1">
      <alignment horizontal="center" vertical="top"/>
    </xf>
    <xf numFmtId="0" fontId="1267" fillId="5" borderId="3" xfId="0" applyFont="1" applyFill="1" applyBorder="1" applyAlignment="1">
      <alignment horizontal="center" vertical="top"/>
    </xf>
    <xf numFmtId="0" fontId="1268" fillId="5" borderId="3" xfId="0" applyFont="1" applyFill="1" applyBorder="1" applyAlignment="1">
      <alignment horizontal="center" vertical="top"/>
    </xf>
    <xf numFmtId="0" fontId="1269" fillId="5" borderId="3" xfId="0" applyFont="1" applyFill="1" applyBorder="1" applyAlignment="1">
      <alignment horizontal="left" vertical="top" wrapText="1"/>
    </xf>
    <xf numFmtId="0" fontId="1270" fillId="3" borderId="3" xfId="0" applyFont="1" applyFill="1" applyBorder="1" applyAlignment="1">
      <alignment horizontal="left" vertical="top" wrapText="1"/>
    </xf>
    <xf numFmtId="0" fontId="1273" fillId="4" borderId="3" xfId="0" applyFont="1" applyFill="1" applyBorder="1" applyAlignment="1">
      <alignment horizontal="center" vertical="top" wrapText="1"/>
    </xf>
    <xf numFmtId="0" fontId="1274" fillId="5" borderId="3" xfId="0" applyFont="1" applyFill="1" applyBorder="1" applyAlignment="1">
      <alignment horizontal="left" vertical="top" wrapText="1"/>
    </xf>
    <xf numFmtId="0" fontId="1275" fillId="5" borderId="3" xfId="0" applyFont="1" applyFill="1" applyBorder="1" applyAlignment="1">
      <alignment horizontal="left" vertical="top" wrapText="1"/>
    </xf>
    <xf numFmtId="0" fontId="1276" fillId="5" borderId="3" xfId="0" applyFont="1" applyFill="1" applyBorder="1" applyAlignment="1">
      <alignment horizontal="left" vertical="top" wrapText="1"/>
    </xf>
    <xf numFmtId="0" fontId="1277" fillId="5" borderId="3" xfId="0" applyFont="1" applyFill="1" applyBorder="1" applyAlignment="1">
      <alignment horizontal="left" vertical="top" wrapText="1"/>
    </xf>
    <xf numFmtId="0" fontId="1278" fillId="5" borderId="3" xfId="0" applyFont="1" applyFill="1" applyBorder="1" applyAlignment="1">
      <alignment horizontal="left" vertical="top" wrapText="1"/>
    </xf>
    <xf numFmtId="0" fontId="1279" fillId="5" borderId="3" xfId="0" applyFont="1" applyFill="1" applyBorder="1" applyAlignment="1">
      <alignment horizontal="left" vertical="top" wrapText="1"/>
    </xf>
    <xf numFmtId="0" fontId="1280" fillId="5" borderId="3" xfId="0" applyFont="1" applyFill="1" applyBorder="1" applyAlignment="1">
      <alignment horizontal="left" vertical="top" wrapText="1"/>
    </xf>
    <xf numFmtId="0" fontId="1281" fillId="5" borderId="3" xfId="0" applyFont="1" applyFill="1" applyBorder="1" applyAlignment="1">
      <alignment horizontal="left" vertical="top" wrapText="1"/>
    </xf>
    <xf numFmtId="0" fontId="1282" fillId="5" borderId="3" xfId="0" applyFont="1" applyFill="1" applyBorder="1" applyAlignment="1">
      <alignment horizontal="left" vertical="top" wrapText="1"/>
    </xf>
    <xf numFmtId="0" fontId="1283" fillId="5" borderId="3" xfId="0" applyFont="1" applyFill="1" applyBorder="1" applyAlignment="1">
      <alignment horizontal="left" vertical="top" wrapText="1"/>
    </xf>
    <xf numFmtId="0" fontId="1284" fillId="5" borderId="3" xfId="0" applyFont="1" applyFill="1" applyBorder="1" applyAlignment="1">
      <alignment horizontal="left" vertical="top" wrapText="1"/>
    </xf>
    <xf numFmtId="0" fontId="1285" fillId="5" borderId="3" xfId="0" applyFont="1" applyFill="1" applyBorder="1" applyAlignment="1">
      <alignment horizontal="left" vertical="top" wrapText="1"/>
    </xf>
    <xf numFmtId="0" fontId="1286" fillId="5" borderId="3" xfId="0" applyFont="1" applyFill="1" applyBorder="1" applyAlignment="1">
      <alignment horizontal="left" vertical="top" wrapText="1"/>
    </xf>
    <xf numFmtId="0" fontId="1287" fillId="5" borderId="3" xfId="0" applyFont="1" applyFill="1" applyBorder="1" applyAlignment="1">
      <alignment horizontal="left" vertical="top" wrapText="1"/>
    </xf>
    <xf numFmtId="0" fontId="1288" fillId="5" borderId="3" xfId="0" applyFont="1" applyFill="1" applyBorder="1" applyAlignment="1">
      <alignment horizontal="left" vertical="top" wrapText="1"/>
    </xf>
    <xf numFmtId="0" fontId="1289" fillId="5" borderId="3" xfId="0" applyFont="1" applyFill="1" applyBorder="1" applyAlignment="1">
      <alignment horizontal="left" vertical="top" wrapText="1"/>
    </xf>
    <xf numFmtId="0" fontId="1290" fillId="5" borderId="3" xfId="0" applyFont="1" applyFill="1" applyBorder="1" applyAlignment="1">
      <alignment horizontal="left" vertical="top" wrapText="1"/>
    </xf>
    <xf numFmtId="0" fontId="1291" fillId="5" borderId="3" xfId="0" applyFont="1" applyFill="1" applyBorder="1" applyAlignment="1">
      <alignment horizontal="left" vertical="top" wrapText="1"/>
    </xf>
    <xf numFmtId="0" fontId="1292" fillId="5" borderId="3" xfId="0" applyFont="1" applyFill="1" applyBorder="1" applyAlignment="1">
      <alignment horizontal="left" vertical="top" wrapText="1"/>
    </xf>
    <xf numFmtId="0" fontId="1293" fillId="5" borderId="3" xfId="0" applyFont="1" applyFill="1" applyBorder="1" applyAlignment="1">
      <alignment horizontal="left" vertical="top" wrapText="1"/>
    </xf>
    <xf numFmtId="0" fontId="1294" fillId="5" borderId="3" xfId="0" applyFont="1" applyFill="1" applyBorder="1" applyAlignment="1">
      <alignment horizontal="left" vertical="top" wrapText="1"/>
    </xf>
    <xf numFmtId="0" fontId="1295" fillId="5" borderId="3" xfId="0" applyFont="1" applyFill="1" applyBorder="1" applyAlignment="1">
      <alignment horizontal="left" vertical="top" wrapText="1"/>
    </xf>
    <xf numFmtId="0" fontId="1296" fillId="5" borderId="3" xfId="0" applyFont="1" applyFill="1" applyBorder="1" applyAlignment="1">
      <alignment horizontal="left" vertical="top" wrapText="1"/>
    </xf>
    <xf numFmtId="0" fontId="1297" fillId="5" borderId="3" xfId="0" applyFont="1" applyFill="1" applyBorder="1" applyAlignment="1">
      <alignment horizontal="left" vertical="top" wrapText="1"/>
    </xf>
    <xf numFmtId="0" fontId="1298" fillId="5" borderId="3" xfId="0" applyFont="1" applyFill="1" applyBorder="1" applyAlignment="1">
      <alignment horizontal="left" vertical="top" wrapText="1"/>
    </xf>
    <xf numFmtId="0" fontId="1299" fillId="5" borderId="3" xfId="0" applyFont="1" applyFill="1" applyBorder="1" applyAlignment="1">
      <alignment horizontal="left" vertical="top" wrapText="1"/>
    </xf>
    <xf numFmtId="0" fontId="1300" fillId="5" borderId="3" xfId="0" applyFont="1" applyFill="1" applyBorder="1" applyAlignment="1">
      <alignment horizontal="left" vertical="top" wrapText="1"/>
    </xf>
    <xf numFmtId="0" fontId="1301" fillId="5" borderId="3" xfId="0" applyFont="1" applyFill="1" applyBorder="1" applyAlignment="1">
      <alignment horizontal="center" vertical="top"/>
    </xf>
    <xf numFmtId="0" fontId="1302" fillId="5" borderId="3" xfId="0" applyFont="1" applyFill="1" applyBorder="1" applyAlignment="1">
      <alignment horizontal="center" vertical="top"/>
    </xf>
    <xf numFmtId="0" fontId="1303" fillId="5" borderId="3" xfId="0" applyFont="1" applyFill="1" applyBorder="1" applyAlignment="1">
      <alignment horizontal="center" vertical="top"/>
    </xf>
    <xf numFmtId="0" fontId="1304" fillId="5" borderId="3" xfId="0" applyFont="1" applyFill="1" applyBorder="1" applyAlignment="1">
      <alignment horizontal="center" vertical="top"/>
    </xf>
    <xf numFmtId="0" fontId="1305" fillId="5" borderId="3" xfId="0" applyFont="1" applyFill="1" applyBorder="1" applyAlignment="1">
      <alignment horizontal="center" vertical="top"/>
    </xf>
    <xf numFmtId="0" fontId="1306" fillId="5" borderId="3" xfId="0" applyFont="1" applyFill="1" applyBorder="1" applyAlignment="1">
      <alignment horizontal="center" vertical="top"/>
    </xf>
    <xf numFmtId="0" fontId="1307" fillId="5" borderId="3" xfId="0" applyFont="1" applyFill="1" applyBorder="1" applyAlignment="1">
      <alignment horizontal="center" vertical="top"/>
    </xf>
    <xf numFmtId="0" fontId="1308" fillId="5" borderId="3" xfId="0" applyFont="1" applyFill="1" applyBorder="1" applyAlignment="1">
      <alignment horizontal="center" vertical="top"/>
    </xf>
    <xf numFmtId="0" fontId="1309" fillId="5" borderId="3" xfId="0" applyFont="1" applyFill="1" applyBorder="1" applyAlignment="1">
      <alignment horizontal="center" vertical="top"/>
    </xf>
    <xf numFmtId="0" fontId="1310" fillId="5" borderId="3" xfId="0" applyFont="1" applyFill="1" applyBorder="1" applyAlignment="1">
      <alignment horizontal="center" vertical="top"/>
    </xf>
    <xf numFmtId="0" fontId="1311" fillId="5" borderId="3" xfId="0" applyFont="1" applyFill="1" applyBorder="1" applyAlignment="1">
      <alignment horizontal="center" vertical="top"/>
    </xf>
    <xf numFmtId="0" fontId="1312" fillId="5" borderId="3" xfId="0" applyFont="1" applyFill="1" applyBorder="1" applyAlignment="1">
      <alignment horizontal="center" vertical="top"/>
    </xf>
    <xf numFmtId="0" fontId="1313" fillId="5" borderId="3" xfId="0" applyFont="1" applyFill="1" applyBorder="1" applyAlignment="1">
      <alignment horizontal="center" vertical="top"/>
    </xf>
    <xf numFmtId="0" fontId="1314" fillId="5" borderId="3" xfId="0" applyFont="1" applyFill="1" applyBorder="1" applyAlignment="1">
      <alignment horizontal="center" vertical="top"/>
    </xf>
    <xf numFmtId="0" fontId="1315" fillId="5" borderId="3" xfId="0" applyFont="1" applyFill="1" applyBorder="1" applyAlignment="1">
      <alignment horizontal="center" vertical="top"/>
    </xf>
    <xf numFmtId="0" fontId="1316" fillId="5" borderId="3" xfId="0" applyFont="1" applyFill="1" applyBorder="1" applyAlignment="1">
      <alignment horizontal="center" vertical="top"/>
    </xf>
    <xf numFmtId="0" fontId="1317" fillId="5" borderId="3" xfId="0" applyFont="1" applyFill="1" applyBorder="1" applyAlignment="1">
      <alignment horizontal="center" vertical="top"/>
    </xf>
    <xf numFmtId="0" fontId="1318" fillId="5" borderId="3" xfId="0" applyFont="1" applyFill="1" applyBorder="1" applyAlignment="1">
      <alignment horizontal="left" vertical="top" wrapText="1"/>
    </xf>
    <xf numFmtId="0" fontId="1319" fillId="5" borderId="3" xfId="0" applyFont="1" applyFill="1" applyBorder="1" applyAlignment="1">
      <alignment horizontal="left" vertical="top" wrapText="1"/>
    </xf>
    <xf numFmtId="0" fontId="1320" fillId="5" borderId="3" xfId="0" applyFont="1" applyFill="1" applyBorder="1" applyAlignment="1">
      <alignment horizontal="left" vertical="top" wrapText="1"/>
    </xf>
    <xf numFmtId="0" fontId="1321" fillId="5" borderId="3" xfId="0" applyFont="1" applyFill="1" applyBorder="1" applyAlignment="1">
      <alignment horizontal="left" vertical="top" wrapText="1"/>
    </xf>
    <xf numFmtId="0" fontId="1322" fillId="5" borderId="3" xfId="0" applyFont="1" applyFill="1" applyBorder="1" applyAlignment="1">
      <alignment horizontal="left" vertical="top" wrapText="1"/>
    </xf>
    <xf numFmtId="0" fontId="1323" fillId="5" borderId="3" xfId="0" applyFont="1" applyFill="1" applyBorder="1" applyAlignment="1">
      <alignment horizontal="left" vertical="top" wrapText="1"/>
    </xf>
    <xf numFmtId="0" fontId="1324" fillId="5" borderId="3" xfId="0" applyFont="1" applyFill="1" applyBorder="1" applyAlignment="1">
      <alignment horizontal="left" vertical="top" wrapText="1"/>
    </xf>
    <xf numFmtId="0" fontId="1325" fillId="5" borderId="3" xfId="0" applyFont="1" applyFill="1" applyBorder="1" applyAlignment="1">
      <alignment horizontal="left" vertical="top" wrapText="1"/>
    </xf>
    <xf numFmtId="0" fontId="1326" fillId="5" borderId="3" xfId="0" applyFont="1" applyFill="1" applyBorder="1" applyAlignment="1">
      <alignment horizontal="left" vertical="top" wrapText="1"/>
    </xf>
    <xf numFmtId="0" fontId="1327" fillId="5" borderId="3" xfId="0" applyFont="1" applyFill="1" applyBorder="1" applyAlignment="1">
      <alignment horizontal="left" vertical="top" wrapText="1"/>
    </xf>
    <xf numFmtId="0" fontId="1328" fillId="5" borderId="3" xfId="0" applyFont="1" applyFill="1" applyBorder="1" applyAlignment="1">
      <alignment horizontal="left" vertical="top" wrapText="1"/>
    </xf>
    <xf numFmtId="0" fontId="1329" fillId="5" borderId="3" xfId="0" applyFont="1" applyFill="1" applyBorder="1" applyAlignment="1">
      <alignment horizontal="left" vertical="top" wrapText="1"/>
    </xf>
    <xf numFmtId="0" fontId="1330" fillId="5" borderId="3" xfId="0" applyFont="1" applyFill="1" applyBorder="1" applyAlignment="1">
      <alignment horizontal="left" vertical="top" wrapText="1"/>
    </xf>
    <xf numFmtId="0" fontId="1331" fillId="5" borderId="3" xfId="0" applyFont="1" applyFill="1" applyBorder="1" applyAlignment="1">
      <alignment horizontal="left" vertical="top" wrapText="1"/>
    </xf>
    <xf numFmtId="0" fontId="1332" fillId="5" borderId="3" xfId="0" applyFont="1" applyFill="1" applyBorder="1" applyAlignment="1">
      <alignment horizontal="left" vertical="top" wrapText="1"/>
    </xf>
    <xf numFmtId="0" fontId="1333" fillId="5" borderId="3" xfId="0" applyFont="1" applyFill="1" applyBorder="1" applyAlignment="1">
      <alignment horizontal="left" vertical="top" wrapText="1"/>
    </xf>
    <xf numFmtId="0" fontId="1334" fillId="5" borderId="3" xfId="0" applyFont="1" applyFill="1" applyBorder="1" applyAlignment="1">
      <alignment horizontal="left" vertical="top" wrapText="1"/>
    </xf>
    <xf numFmtId="0" fontId="1335" fillId="5" borderId="3" xfId="0" applyFont="1" applyFill="1" applyBorder="1" applyAlignment="1">
      <alignment horizontal="left" vertical="top" wrapText="1"/>
    </xf>
    <xf numFmtId="0" fontId="1336" fillId="5" borderId="3" xfId="0" applyFont="1" applyFill="1" applyBorder="1" applyAlignment="1">
      <alignment horizontal="left" vertical="top" wrapText="1"/>
    </xf>
    <xf numFmtId="0" fontId="1337" fillId="5" borderId="3" xfId="0" applyFont="1" applyFill="1" applyBorder="1" applyAlignment="1">
      <alignment horizontal="left" vertical="top" wrapText="1"/>
    </xf>
    <xf numFmtId="0" fontId="1338" fillId="5" borderId="3" xfId="0" applyFont="1" applyFill="1" applyBorder="1" applyAlignment="1">
      <alignment horizontal="left" vertical="top" wrapText="1"/>
    </xf>
    <xf numFmtId="0" fontId="1339" fillId="5" borderId="3" xfId="0" applyFont="1" applyFill="1" applyBorder="1" applyAlignment="1">
      <alignment horizontal="left" vertical="top" wrapText="1"/>
    </xf>
    <xf numFmtId="0" fontId="1340" fillId="5" borderId="3" xfId="0" applyFont="1" applyFill="1" applyBorder="1" applyAlignment="1">
      <alignment horizontal="left" vertical="top" wrapText="1"/>
    </xf>
    <xf numFmtId="0" fontId="1341" fillId="5" borderId="3" xfId="0" applyFont="1" applyFill="1" applyBorder="1" applyAlignment="1">
      <alignment horizontal="left" vertical="top" wrapText="1"/>
    </xf>
    <xf numFmtId="0" fontId="1342" fillId="5" borderId="3" xfId="0" applyFont="1" applyFill="1" applyBorder="1" applyAlignment="1">
      <alignment horizontal="left" vertical="top" wrapText="1"/>
    </xf>
    <xf numFmtId="0" fontId="1343" fillId="5" borderId="3" xfId="0" applyFont="1" applyFill="1" applyBorder="1" applyAlignment="1">
      <alignment horizontal="left" vertical="top" wrapText="1"/>
    </xf>
    <xf numFmtId="0" fontId="1344" fillId="5" borderId="3" xfId="0" applyFont="1" applyFill="1" applyBorder="1" applyAlignment="1">
      <alignment horizontal="left" vertical="top" wrapText="1"/>
    </xf>
    <xf numFmtId="0" fontId="1345" fillId="5" borderId="3" xfId="0" applyFont="1" applyFill="1" applyBorder="1" applyAlignment="1">
      <alignment horizontal="left" vertical="top" wrapText="1"/>
    </xf>
    <xf numFmtId="0" fontId="1346" fillId="5" borderId="3" xfId="0" applyFont="1" applyFill="1" applyBorder="1" applyAlignment="1">
      <alignment horizontal="left" vertical="top" wrapText="1"/>
    </xf>
    <xf numFmtId="0" fontId="1347" fillId="5" borderId="3" xfId="0" applyFont="1" applyFill="1" applyBorder="1" applyAlignment="1">
      <alignment horizontal="left" vertical="top" wrapText="1"/>
    </xf>
    <xf numFmtId="0" fontId="1348" fillId="5" borderId="3" xfId="0" applyFont="1" applyFill="1" applyBorder="1" applyAlignment="1">
      <alignment horizontal="left" vertical="top" wrapText="1"/>
    </xf>
    <xf numFmtId="0" fontId="1349" fillId="5" borderId="3" xfId="0" applyFont="1" applyFill="1" applyBorder="1" applyAlignment="1">
      <alignment horizontal="left" vertical="top" wrapText="1"/>
    </xf>
    <xf numFmtId="0" fontId="1350" fillId="5" borderId="3" xfId="0" applyFont="1" applyFill="1" applyBorder="1" applyAlignment="1">
      <alignment horizontal="left" vertical="top" wrapText="1"/>
    </xf>
    <xf numFmtId="0" fontId="1351" fillId="5" borderId="3" xfId="0" applyFont="1" applyFill="1" applyBorder="1" applyAlignment="1">
      <alignment horizontal="left" vertical="top" wrapText="1"/>
    </xf>
    <xf numFmtId="0" fontId="1352" fillId="5" borderId="3" xfId="0" applyFont="1" applyFill="1" applyBorder="1" applyAlignment="1">
      <alignment horizontal="left" vertical="top" wrapText="1"/>
    </xf>
    <xf numFmtId="0" fontId="1353" fillId="5" borderId="3" xfId="0" applyFont="1" applyFill="1" applyBorder="1" applyAlignment="1">
      <alignment horizontal="left" vertical="top" wrapText="1"/>
    </xf>
    <xf numFmtId="0" fontId="1354" fillId="5" borderId="3" xfId="0" applyFont="1" applyFill="1" applyBorder="1" applyAlignment="1">
      <alignment horizontal="left" vertical="top" wrapText="1"/>
    </xf>
    <xf numFmtId="0" fontId="1355" fillId="5" borderId="3" xfId="0" applyFont="1" applyFill="1" applyBorder="1" applyAlignment="1">
      <alignment horizontal="left" vertical="top" wrapText="1"/>
    </xf>
    <xf numFmtId="0" fontId="1356" fillId="5" borderId="3" xfId="0" applyFont="1" applyFill="1" applyBorder="1" applyAlignment="1">
      <alignment horizontal="left" vertical="top" wrapText="1"/>
    </xf>
    <xf numFmtId="0" fontId="1357" fillId="5" borderId="3" xfId="0" applyFont="1" applyFill="1" applyBorder="1" applyAlignment="1">
      <alignment horizontal="left" vertical="top" wrapText="1"/>
    </xf>
    <xf numFmtId="0" fontId="1358" fillId="5" borderId="3" xfId="0" applyFont="1" applyFill="1" applyBorder="1" applyAlignment="1">
      <alignment horizontal="left" vertical="top" wrapText="1"/>
    </xf>
    <xf numFmtId="0" fontId="1359" fillId="5" borderId="3" xfId="0" applyFont="1" applyFill="1" applyBorder="1" applyAlignment="1">
      <alignment horizontal="left" vertical="top" wrapText="1"/>
    </xf>
    <xf numFmtId="0" fontId="1360" fillId="5" borderId="3" xfId="0" applyFont="1" applyFill="1" applyBorder="1" applyAlignment="1">
      <alignment horizontal="left" vertical="top" wrapText="1"/>
    </xf>
    <xf numFmtId="0" fontId="1361" fillId="5" borderId="3" xfId="0" applyFont="1" applyFill="1" applyBorder="1" applyAlignment="1">
      <alignment horizontal="left" vertical="top" wrapText="1"/>
    </xf>
    <xf numFmtId="0" fontId="1362" fillId="5" borderId="3" xfId="0" applyFont="1" applyFill="1" applyBorder="1" applyAlignment="1">
      <alignment horizontal="center" vertical="top"/>
    </xf>
    <xf numFmtId="0" fontId="1363" fillId="5" borderId="3" xfId="0" applyFont="1" applyFill="1" applyBorder="1" applyAlignment="1">
      <alignment horizontal="center" vertical="top"/>
    </xf>
    <xf numFmtId="0" fontId="1364" fillId="5" borderId="3" xfId="0" applyFont="1" applyFill="1" applyBorder="1" applyAlignment="1">
      <alignment horizontal="center" vertical="top"/>
    </xf>
    <xf numFmtId="0" fontId="1365" fillId="5" borderId="3" xfId="0" applyFont="1" applyFill="1" applyBorder="1" applyAlignment="1">
      <alignment horizontal="center" vertical="top"/>
    </xf>
    <xf numFmtId="0" fontId="1366" fillId="5" borderId="3" xfId="0" applyFont="1" applyFill="1" applyBorder="1" applyAlignment="1">
      <alignment horizontal="center" vertical="top"/>
    </xf>
    <xf numFmtId="0" fontId="1367" fillId="5" borderId="3" xfId="0" applyFont="1" applyFill="1" applyBorder="1" applyAlignment="1">
      <alignment horizontal="center" vertical="top"/>
    </xf>
    <xf numFmtId="0" fontId="1368" fillId="5" borderId="3" xfId="0" applyFont="1" applyFill="1" applyBorder="1" applyAlignment="1">
      <alignment horizontal="center" vertical="top"/>
    </xf>
    <xf numFmtId="0" fontId="1369" fillId="5" borderId="3" xfId="0" applyFont="1" applyFill="1" applyBorder="1" applyAlignment="1">
      <alignment horizontal="center" vertical="top"/>
    </xf>
    <xf numFmtId="0" fontId="1370" fillId="5" borderId="3" xfId="0" applyFont="1" applyFill="1" applyBorder="1" applyAlignment="1">
      <alignment horizontal="center" vertical="top"/>
    </xf>
    <xf numFmtId="0" fontId="1371" fillId="5" borderId="3" xfId="0" applyFont="1" applyFill="1" applyBorder="1" applyAlignment="1">
      <alignment horizontal="center" vertical="top"/>
    </xf>
    <xf numFmtId="0" fontId="1372" fillId="5" borderId="3" xfId="0" applyFont="1" applyFill="1" applyBorder="1" applyAlignment="1">
      <alignment horizontal="center" vertical="top"/>
    </xf>
    <xf numFmtId="0" fontId="1373" fillId="5" borderId="3" xfId="0" applyFont="1" applyFill="1" applyBorder="1" applyAlignment="1">
      <alignment horizontal="center" vertical="top"/>
    </xf>
    <xf numFmtId="0" fontId="1374" fillId="5" borderId="3" xfId="0" applyFont="1" applyFill="1" applyBorder="1" applyAlignment="1">
      <alignment horizontal="left" vertical="top" wrapText="1"/>
    </xf>
    <xf numFmtId="0" fontId="1375" fillId="5" borderId="3" xfId="0" applyFont="1" applyFill="1" applyBorder="1" applyAlignment="1">
      <alignment horizontal="left" vertical="top" wrapText="1"/>
    </xf>
    <xf numFmtId="0" fontId="1376" fillId="5" borderId="3" xfId="0" applyFont="1" applyFill="1" applyBorder="1" applyAlignment="1">
      <alignment horizontal="left" vertical="top" wrapText="1"/>
    </xf>
    <xf numFmtId="0" fontId="1377" fillId="5" borderId="3" xfId="0" applyFont="1" applyFill="1" applyBorder="1" applyAlignment="1">
      <alignment horizontal="left" vertical="top" wrapText="1"/>
    </xf>
    <xf numFmtId="0" fontId="1378" fillId="5" borderId="3" xfId="0" applyFont="1" applyFill="1" applyBorder="1" applyAlignment="1">
      <alignment horizontal="left" vertical="top" wrapText="1"/>
    </xf>
    <xf numFmtId="0" fontId="1379" fillId="5" borderId="3" xfId="0" applyFont="1" applyFill="1" applyBorder="1" applyAlignment="1">
      <alignment horizontal="left" vertical="top" wrapText="1"/>
    </xf>
    <xf numFmtId="0" fontId="1380" fillId="5" borderId="3" xfId="0" applyFont="1" applyFill="1" applyBorder="1" applyAlignment="1">
      <alignment horizontal="left" vertical="top" wrapText="1"/>
    </xf>
    <xf numFmtId="0" fontId="1381" fillId="5" borderId="3" xfId="0" applyFont="1" applyFill="1" applyBorder="1" applyAlignment="1">
      <alignment horizontal="left" vertical="top" wrapText="1"/>
    </xf>
    <xf numFmtId="0" fontId="1382" fillId="5" borderId="3" xfId="0" applyFont="1" applyFill="1" applyBorder="1" applyAlignment="1">
      <alignment horizontal="left" vertical="top" wrapText="1"/>
    </xf>
    <xf numFmtId="0" fontId="1383" fillId="5" borderId="3" xfId="0" applyFont="1" applyFill="1" applyBorder="1" applyAlignment="1">
      <alignment horizontal="left" vertical="top" wrapText="1"/>
    </xf>
    <xf numFmtId="0" fontId="1384" fillId="5" borderId="3" xfId="0" applyFont="1" applyFill="1" applyBorder="1" applyAlignment="1">
      <alignment horizontal="left" vertical="top" wrapText="1"/>
    </xf>
    <xf numFmtId="0" fontId="1385" fillId="5" borderId="3" xfId="0" applyFont="1" applyFill="1" applyBorder="1" applyAlignment="1">
      <alignment horizontal="left" vertical="top" wrapText="1"/>
    </xf>
    <xf numFmtId="0" fontId="1386" fillId="5" borderId="3" xfId="0" applyFont="1" applyFill="1" applyBorder="1" applyAlignment="1">
      <alignment horizontal="left" vertical="top" wrapText="1"/>
    </xf>
    <xf numFmtId="0" fontId="1387" fillId="5" borderId="3" xfId="0" applyFont="1" applyFill="1" applyBorder="1" applyAlignment="1">
      <alignment horizontal="left" vertical="top" wrapText="1"/>
    </xf>
    <xf numFmtId="0" fontId="1388" fillId="5" borderId="3" xfId="0" applyFont="1" applyFill="1" applyBorder="1" applyAlignment="1">
      <alignment horizontal="left" vertical="top" wrapText="1"/>
    </xf>
    <xf numFmtId="0" fontId="1389" fillId="5" borderId="3" xfId="0" applyFont="1" applyFill="1" applyBorder="1" applyAlignment="1">
      <alignment horizontal="left" vertical="top" wrapText="1"/>
    </xf>
    <xf numFmtId="0" fontId="1390" fillId="5" borderId="3" xfId="0" applyFont="1" applyFill="1" applyBorder="1" applyAlignment="1">
      <alignment horizontal="left" vertical="top" wrapText="1"/>
    </xf>
    <xf numFmtId="0" fontId="1391" fillId="5" borderId="3" xfId="0" applyFont="1" applyFill="1" applyBorder="1" applyAlignment="1">
      <alignment horizontal="left" vertical="top" wrapText="1"/>
    </xf>
    <xf numFmtId="0" fontId="1392" fillId="5" borderId="3" xfId="0" applyFont="1" applyFill="1" applyBorder="1" applyAlignment="1">
      <alignment horizontal="left" vertical="top" wrapText="1"/>
    </xf>
    <xf numFmtId="0" fontId="1393" fillId="5" borderId="3" xfId="0" applyFont="1" applyFill="1" applyBorder="1" applyAlignment="1">
      <alignment horizontal="left" vertical="top" wrapText="1"/>
    </xf>
    <xf numFmtId="0" fontId="1394" fillId="5" borderId="3" xfId="0" applyFont="1" applyFill="1" applyBorder="1" applyAlignment="1">
      <alignment horizontal="left" vertical="top" wrapText="1"/>
    </xf>
    <xf numFmtId="0" fontId="1395" fillId="5" borderId="3" xfId="0" applyFont="1" applyFill="1" applyBorder="1" applyAlignment="1">
      <alignment horizontal="left" vertical="top" wrapText="1"/>
    </xf>
    <xf numFmtId="0" fontId="1396" fillId="5" borderId="3" xfId="0" applyFont="1" applyFill="1" applyBorder="1" applyAlignment="1">
      <alignment horizontal="left" vertical="top" wrapText="1"/>
    </xf>
    <xf numFmtId="0" fontId="1397" fillId="5" borderId="3" xfId="0" applyFont="1" applyFill="1" applyBorder="1" applyAlignment="1">
      <alignment horizontal="left" vertical="top" wrapText="1"/>
    </xf>
    <xf numFmtId="0" fontId="1398" fillId="5" borderId="3" xfId="0" applyFont="1" applyFill="1" applyBorder="1" applyAlignment="1">
      <alignment horizontal="left" vertical="top" wrapText="1"/>
    </xf>
    <xf numFmtId="0" fontId="1399" fillId="5" borderId="3" xfId="0" applyFont="1" applyFill="1" applyBorder="1" applyAlignment="1">
      <alignment horizontal="left" vertical="top" wrapText="1"/>
    </xf>
    <xf numFmtId="0" fontId="1400" fillId="5" borderId="3" xfId="0" applyFont="1" applyFill="1" applyBorder="1" applyAlignment="1">
      <alignment horizontal="left" vertical="top" wrapText="1"/>
    </xf>
    <xf numFmtId="0" fontId="1401" fillId="5" borderId="3" xfId="0" applyFont="1" applyFill="1" applyBorder="1" applyAlignment="1">
      <alignment horizontal="left" vertical="top" wrapText="1"/>
    </xf>
    <xf numFmtId="0" fontId="1402" fillId="5" borderId="3" xfId="0" applyFont="1" applyFill="1" applyBorder="1" applyAlignment="1">
      <alignment horizontal="center" vertical="top"/>
    </xf>
    <xf numFmtId="0" fontId="1403" fillId="5" borderId="3" xfId="0" applyFont="1" applyFill="1" applyBorder="1" applyAlignment="1">
      <alignment horizontal="center" vertical="top"/>
    </xf>
    <xf numFmtId="0" fontId="1404" fillId="5" borderId="3" xfId="0" applyFont="1" applyFill="1" applyBorder="1" applyAlignment="1">
      <alignment horizontal="left" vertical="top" wrapText="1"/>
    </xf>
    <xf numFmtId="0" fontId="1405" fillId="5" borderId="3" xfId="0" applyFont="1" applyFill="1" applyBorder="1" applyAlignment="1">
      <alignment horizontal="left" vertical="top" wrapText="1"/>
    </xf>
    <xf numFmtId="0" fontId="1406" fillId="5" borderId="3" xfId="0" applyFont="1" applyFill="1" applyBorder="1" applyAlignment="1">
      <alignment horizontal="left" vertical="top" wrapText="1"/>
    </xf>
    <xf numFmtId="0" fontId="1407" fillId="5" borderId="3" xfId="0" applyFont="1" applyFill="1" applyBorder="1" applyAlignment="1">
      <alignment horizontal="left" vertical="top" wrapText="1"/>
    </xf>
    <xf numFmtId="0" fontId="1408" fillId="5" borderId="3" xfId="0" applyFont="1" applyFill="1" applyBorder="1" applyAlignment="1">
      <alignment horizontal="center" vertical="top"/>
    </xf>
    <xf numFmtId="0" fontId="1409" fillId="5" borderId="3" xfId="0" applyFont="1" applyFill="1" applyBorder="1" applyAlignment="1">
      <alignment horizontal="center" vertical="top"/>
    </xf>
    <xf numFmtId="0" fontId="1410" fillId="5" borderId="3" xfId="0" applyFont="1" applyFill="1" applyBorder="1" applyAlignment="1">
      <alignment horizontal="left" vertical="top" wrapText="1"/>
    </xf>
    <xf numFmtId="0" fontId="1411" fillId="5" borderId="3" xfId="0" applyFont="1" applyFill="1" applyBorder="1" applyAlignment="1">
      <alignment horizontal="left" vertical="top" wrapText="1"/>
    </xf>
    <xf numFmtId="0" fontId="1412" fillId="5" borderId="3" xfId="0" applyFont="1" applyFill="1" applyBorder="1" applyAlignment="1">
      <alignment horizontal="left" vertical="top" wrapText="1"/>
    </xf>
    <xf numFmtId="0" fontId="1413" fillId="5" borderId="3" xfId="0" applyFont="1" applyFill="1" applyBorder="1" applyAlignment="1">
      <alignment horizontal="left" vertical="top" wrapText="1"/>
    </xf>
    <xf numFmtId="0" fontId="1414" fillId="5" borderId="3" xfId="0" applyFont="1" applyFill="1" applyBorder="1" applyAlignment="1">
      <alignment horizontal="left" vertical="top" wrapText="1"/>
    </xf>
    <xf numFmtId="0" fontId="1415" fillId="5" borderId="3" xfId="0" applyFont="1" applyFill="1" applyBorder="1" applyAlignment="1">
      <alignment horizontal="left" vertical="top" wrapText="1"/>
    </xf>
    <xf numFmtId="0" fontId="1416" fillId="5" borderId="3" xfId="0" applyFont="1" applyFill="1" applyBorder="1" applyAlignment="1">
      <alignment horizontal="left" vertical="top" wrapText="1"/>
    </xf>
    <xf numFmtId="0" fontId="1417" fillId="5" borderId="3" xfId="0" applyFont="1" applyFill="1" applyBorder="1" applyAlignment="1">
      <alignment horizontal="left" vertical="top" wrapText="1"/>
    </xf>
    <xf numFmtId="0" fontId="1418" fillId="5" borderId="3" xfId="0" applyFont="1" applyFill="1" applyBorder="1" applyAlignment="1">
      <alignment horizontal="left" vertical="top" wrapText="1"/>
    </xf>
    <xf numFmtId="0" fontId="1419" fillId="5" borderId="3" xfId="0" applyFont="1" applyFill="1" applyBorder="1" applyAlignment="1">
      <alignment horizontal="left" vertical="top" wrapText="1"/>
    </xf>
    <xf numFmtId="0" fontId="1420" fillId="5" borderId="3" xfId="0" applyFont="1" applyFill="1" applyBorder="1" applyAlignment="1">
      <alignment horizontal="left" vertical="top" wrapText="1"/>
    </xf>
    <xf numFmtId="0" fontId="1421" fillId="5" borderId="3" xfId="0" applyFont="1" applyFill="1" applyBorder="1" applyAlignment="1">
      <alignment horizontal="left" vertical="top" wrapText="1"/>
    </xf>
    <xf numFmtId="0" fontId="1422" fillId="5" borderId="3" xfId="0" applyFont="1" applyFill="1" applyBorder="1" applyAlignment="1">
      <alignment horizontal="left" vertical="top" wrapText="1"/>
    </xf>
    <xf numFmtId="0" fontId="1423" fillId="5" borderId="3" xfId="0" applyFont="1" applyFill="1" applyBorder="1" applyAlignment="1">
      <alignment horizontal="left" vertical="top" wrapText="1"/>
    </xf>
    <xf numFmtId="0" fontId="1424" fillId="5" borderId="3" xfId="0" applyFont="1" applyFill="1" applyBorder="1" applyAlignment="1">
      <alignment horizontal="left" vertical="top" wrapText="1"/>
    </xf>
    <xf numFmtId="0" fontId="1425" fillId="5" borderId="3" xfId="0" applyFont="1" applyFill="1" applyBorder="1" applyAlignment="1">
      <alignment horizontal="left" vertical="top" wrapText="1"/>
    </xf>
    <xf numFmtId="0" fontId="1426" fillId="5" borderId="3" xfId="0" applyFont="1" applyFill="1" applyBorder="1" applyAlignment="1">
      <alignment horizontal="left" vertical="top" wrapText="1"/>
    </xf>
    <xf numFmtId="0" fontId="1427" fillId="5" borderId="3" xfId="0" applyFont="1" applyFill="1" applyBorder="1" applyAlignment="1">
      <alignment horizontal="left" vertical="top" wrapText="1"/>
    </xf>
    <xf numFmtId="0" fontId="1428" fillId="5" borderId="3" xfId="0" applyFont="1" applyFill="1" applyBorder="1" applyAlignment="1">
      <alignment horizontal="left" vertical="top" wrapText="1"/>
    </xf>
    <xf numFmtId="0" fontId="1429" fillId="5" borderId="3" xfId="0" applyFont="1" applyFill="1" applyBorder="1" applyAlignment="1">
      <alignment horizontal="left" vertical="top" wrapText="1"/>
    </xf>
    <xf numFmtId="0" fontId="1430" fillId="5" borderId="3" xfId="0" applyFont="1" applyFill="1" applyBorder="1" applyAlignment="1">
      <alignment horizontal="left" vertical="top" wrapText="1"/>
    </xf>
    <xf numFmtId="0" fontId="1431" fillId="5" borderId="3" xfId="0" applyFont="1" applyFill="1" applyBorder="1" applyAlignment="1">
      <alignment horizontal="center" vertical="top"/>
    </xf>
    <xf numFmtId="0" fontId="1432" fillId="5" borderId="3" xfId="0" applyFont="1" applyFill="1" applyBorder="1" applyAlignment="1">
      <alignment horizontal="center" vertical="top"/>
    </xf>
    <xf numFmtId="0" fontId="1433" fillId="5" borderId="3" xfId="0" applyFont="1" applyFill="1" applyBorder="1" applyAlignment="1">
      <alignment horizontal="center" vertical="top"/>
    </xf>
    <xf numFmtId="0" fontId="1434" fillId="5" borderId="3" xfId="0" applyFont="1" applyFill="1" applyBorder="1" applyAlignment="1">
      <alignment horizontal="center" vertical="top"/>
    </xf>
    <xf numFmtId="0" fontId="1435" fillId="5" borderId="3" xfId="0" applyFont="1" applyFill="1" applyBorder="1" applyAlignment="1">
      <alignment horizontal="center" vertical="top"/>
    </xf>
    <xf numFmtId="0" fontId="1436" fillId="5" borderId="3" xfId="0" applyFont="1" applyFill="1" applyBorder="1" applyAlignment="1">
      <alignment horizontal="center" vertical="top"/>
    </xf>
    <xf numFmtId="0" fontId="1437" fillId="5" borderId="3" xfId="0" applyFont="1" applyFill="1" applyBorder="1" applyAlignment="1">
      <alignment horizontal="left" vertical="top" wrapText="1"/>
    </xf>
    <xf numFmtId="0" fontId="1438" fillId="5" borderId="3" xfId="0" applyFont="1" applyFill="1" applyBorder="1" applyAlignment="1">
      <alignment horizontal="left" vertical="top" wrapText="1"/>
    </xf>
    <xf numFmtId="0" fontId="1439" fillId="5" borderId="3" xfId="0" applyFont="1" applyFill="1" applyBorder="1" applyAlignment="1">
      <alignment horizontal="left" vertical="top" wrapText="1"/>
    </xf>
    <xf numFmtId="0" fontId="1440" fillId="5" borderId="3" xfId="0" applyFont="1" applyFill="1" applyBorder="1" applyAlignment="1">
      <alignment horizontal="center" vertical="top"/>
    </xf>
    <xf numFmtId="0" fontId="1441" fillId="5" borderId="3" xfId="0" applyFont="1" applyFill="1" applyBorder="1" applyAlignment="1">
      <alignment horizontal="left" vertical="top" wrapText="1"/>
    </xf>
    <xf numFmtId="0" fontId="1442" fillId="5" borderId="3" xfId="0" applyFont="1" applyFill="1" applyBorder="1" applyAlignment="1">
      <alignment horizontal="left" vertical="top" wrapText="1"/>
    </xf>
    <xf numFmtId="0" fontId="1443" fillId="5" borderId="3" xfId="0" applyFont="1" applyFill="1" applyBorder="1" applyAlignment="1">
      <alignment horizontal="center" vertical="top"/>
    </xf>
    <xf numFmtId="0" fontId="1444" fillId="5" borderId="3" xfId="0" applyFont="1" applyFill="1" applyBorder="1" applyAlignment="1">
      <alignment horizontal="left" vertical="top" wrapText="1"/>
    </xf>
    <xf numFmtId="0" fontId="1445" fillId="5" borderId="3" xfId="0" applyFont="1" applyFill="1" applyBorder="1" applyAlignment="1">
      <alignment horizontal="left" vertical="top" wrapText="1"/>
    </xf>
    <xf numFmtId="0" fontId="1446" fillId="5" borderId="3" xfId="0" applyFont="1" applyFill="1" applyBorder="1" applyAlignment="1">
      <alignment horizontal="left" vertical="top" wrapText="1"/>
    </xf>
    <xf numFmtId="0" fontId="1447" fillId="5" borderId="3" xfId="0" applyFont="1" applyFill="1" applyBorder="1" applyAlignment="1">
      <alignment horizontal="left" vertical="top" wrapText="1"/>
    </xf>
    <xf numFmtId="0" fontId="1448" fillId="5" borderId="3" xfId="0" applyFont="1" applyFill="1" applyBorder="1" applyAlignment="1">
      <alignment horizontal="left" vertical="top" wrapText="1"/>
    </xf>
    <xf numFmtId="0" fontId="1449" fillId="5" borderId="3" xfId="0" applyFont="1" applyFill="1" applyBorder="1" applyAlignment="1">
      <alignment horizontal="left" vertical="top" wrapText="1"/>
    </xf>
    <xf numFmtId="0" fontId="1450" fillId="5" borderId="3" xfId="0" applyFont="1" applyFill="1" applyBorder="1" applyAlignment="1">
      <alignment horizontal="left" vertical="top" wrapText="1"/>
    </xf>
    <xf numFmtId="0" fontId="1451" fillId="5" borderId="3" xfId="0" applyFont="1" applyFill="1" applyBorder="1" applyAlignment="1">
      <alignment horizontal="left" vertical="top" wrapText="1"/>
    </xf>
    <xf numFmtId="0" fontId="1452" fillId="5" borderId="3" xfId="0" applyFont="1" applyFill="1" applyBorder="1" applyAlignment="1">
      <alignment horizontal="center" vertical="top"/>
    </xf>
    <xf numFmtId="0" fontId="1453" fillId="5" borderId="3" xfId="0" applyFont="1" applyFill="1" applyBorder="1" applyAlignment="1">
      <alignment horizontal="center" vertical="top"/>
    </xf>
    <xf numFmtId="0" fontId="1454" fillId="5" borderId="3" xfId="0" applyFont="1" applyFill="1" applyBorder="1" applyAlignment="1">
      <alignment horizontal="center" vertical="top"/>
    </xf>
    <xf numFmtId="0" fontId="1455" fillId="5" borderId="3" xfId="0" applyFont="1" applyFill="1" applyBorder="1" applyAlignment="1">
      <alignment horizontal="left" vertical="top" wrapText="1"/>
    </xf>
    <xf numFmtId="0" fontId="1456" fillId="5" borderId="3" xfId="0" applyFont="1" applyFill="1" applyBorder="1" applyAlignment="1">
      <alignment horizontal="left" vertical="top" wrapText="1"/>
    </xf>
    <xf numFmtId="0" fontId="1457" fillId="5" borderId="3" xfId="0" applyFont="1" applyFill="1" applyBorder="1" applyAlignment="1">
      <alignment horizontal="left" vertical="top" wrapText="1"/>
    </xf>
    <xf numFmtId="0" fontId="1458" fillId="5" borderId="3" xfId="0" applyFont="1" applyFill="1" applyBorder="1" applyAlignment="1">
      <alignment horizontal="left" vertical="top" wrapText="1"/>
    </xf>
    <xf numFmtId="0" fontId="1459" fillId="5" borderId="3" xfId="0" applyFont="1" applyFill="1" applyBorder="1" applyAlignment="1">
      <alignment horizontal="left" vertical="top" wrapText="1"/>
    </xf>
    <xf numFmtId="0" fontId="1460" fillId="5" borderId="3" xfId="0" applyFont="1" applyFill="1" applyBorder="1" applyAlignment="1">
      <alignment horizontal="left" vertical="top" wrapText="1"/>
    </xf>
    <xf numFmtId="0" fontId="1461" fillId="5" borderId="3" xfId="0" applyFont="1" applyFill="1" applyBorder="1" applyAlignment="1">
      <alignment horizontal="left" vertical="top" wrapText="1"/>
    </xf>
    <xf numFmtId="0" fontId="1462" fillId="5" borderId="3" xfId="0" applyFont="1" applyFill="1" applyBorder="1" applyAlignment="1">
      <alignment horizontal="center" vertical="top"/>
    </xf>
    <xf numFmtId="0" fontId="1463" fillId="5" borderId="3" xfId="0" applyFont="1" applyFill="1" applyBorder="1" applyAlignment="1">
      <alignment horizontal="left" vertical="top" wrapText="1"/>
    </xf>
    <xf numFmtId="0" fontId="1464" fillId="5" borderId="3" xfId="0" applyFont="1" applyFill="1" applyBorder="1" applyAlignment="1">
      <alignment horizontal="left" vertical="top" wrapText="1"/>
    </xf>
    <xf numFmtId="0" fontId="1465" fillId="5" borderId="3" xfId="0" applyFont="1" applyFill="1" applyBorder="1" applyAlignment="1">
      <alignment horizontal="left" vertical="top" wrapText="1"/>
    </xf>
    <xf numFmtId="0" fontId="1466" fillId="5" borderId="3" xfId="0" applyFont="1" applyFill="1" applyBorder="1" applyAlignment="1">
      <alignment horizontal="left" vertical="top" wrapText="1"/>
    </xf>
    <xf numFmtId="0" fontId="1467" fillId="5" borderId="3" xfId="0" applyFont="1" applyFill="1" applyBorder="1" applyAlignment="1">
      <alignment horizontal="left" vertical="top" wrapText="1"/>
    </xf>
    <xf numFmtId="0" fontId="1468" fillId="5" borderId="3" xfId="0" applyFont="1" applyFill="1" applyBorder="1" applyAlignment="1">
      <alignment horizontal="left" vertical="top" wrapText="1"/>
    </xf>
    <xf numFmtId="0" fontId="1469" fillId="5" borderId="3" xfId="0" applyFont="1" applyFill="1" applyBorder="1" applyAlignment="1">
      <alignment horizontal="left" vertical="top" wrapText="1"/>
    </xf>
    <xf numFmtId="0" fontId="1470" fillId="5" borderId="3" xfId="0" applyFont="1" applyFill="1" applyBorder="1" applyAlignment="1">
      <alignment horizontal="left" vertical="top" wrapText="1"/>
    </xf>
    <xf numFmtId="0" fontId="1471" fillId="5" borderId="3" xfId="0" applyFont="1" applyFill="1" applyBorder="1" applyAlignment="1">
      <alignment horizontal="left" vertical="top" wrapText="1"/>
    </xf>
    <xf numFmtId="0" fontId="1472" fillId="5" borderId="3" xfId="0" applyFont="1" applyFill="1" applyBorder="1" applyAlignment="1">
      <alignment horizontal="left" vertical="top" wrapText="1"/>
    </xf>
    <xf numFmtId="0" fontId="1473" fillId="5" borderId="3" xfId="0" applyFont="1" applyFill="1" applyBorder="1" applyAlignment="1">
      <alignment horizontal="left" vertical="top" wrapText="1"/>
    </xf>
    <xf numFmtId="0" fontId="1474" fillId="5" borderId="3" xfId="0" applyFont="1" applyFill="1" applyBorder="1" applyAlignment="1">
      <alignment horizontal="left" vertical="top" wrapText="1"/>
    </xf>
    <xf numFmtId="0" fontId="1475" fillId="5" borderId="3" xfId="0" applyFont="1" applyFill="1" applyBorder="1" applyAlignment="1">
      <alignment horizontal="left" vertical="top" wrapText="1"/>
    </xf>
    <xf numFmtId="0" fontId="1476" fillId="5" borderId="3" xfId="0" applyFont="1" applyFill="1" applyBorder="1" applyAlignment="1">
      <alignment horizontal="left" vertical="top" wrapText="1"/>
    </xf>
    <xf numFmtId="0" fontId="1477" fillId="5" borderId="3" xfId="0" applyFont="1" applyFill="1" applyBorder="1" applyAlignment="1">
      <alignment horizontal="left" vertical="top" wrapText="1"/>
    </xf>
    <xf numFmtId="0" fontId="1478" fillId="5" borderId="3" xfId="0" applyFont="1" applyFill="1" applyBorder="1" applyAlignment="1">
      <alignment horizontal="left" vertical="top" wrapText="1"/>
    </xf>
    <xf numFmtId="0" fontId="1479" fillId="5" borderId="3" xfId="0" applyFont="1" applyFill="1" applyBorder="1" applyAlignment="1">
      <alignment horizontal="left" vertical="top" wrapText="1"/>
    </xf>
    <xf numFmtId="0" fontId="1480" fillId="5" borderId="3" xfId="0" applyFont="1" applyFill="1" applyBorder="1" applyAlignment="1">
      <alignment horizontal="left" vertical="top" wrapText="1"/>
    </xf>
    <xf numFmtId="0" fontId="1481" fillId="5" borderId="3" xfId="0" applyFont="1" applyFill="1" applyBorder="1" applyAlignment="1">
      <alignment horizontal="left" vertical="top" wrapText="1"/>
    </xf>
    <xf numFmtId="0" fontId="1482" fillId="5" borderId="3" xfId="0" applyFont="1" applyFill="1" applyBorder="1" applyAlignment="1">
      <alignment horizontal="left" vertical="top" wrapText="1"/>
    </xf>
    <xf numFmtId="0" fontId="1483" fillId="5" borderId="3" xfId="0" applyFont="1" applyFill="1" applyBorder="1" applyAlignment="1">
      <alignment horizontal="left" vertical="top" wrapText="1"/>
    </xf>
    <xf numFmtId="0" fontId="1484" fillId="5" borderId="3" xfId="0" applyFont="1" applyFill="1" applyBorder="1" applyAlignment="1">
      <alignment horizontal="left" vertical="top" wrapText="1"/>
    </xf>
    <xf numFmtId="0" fontId="1485" fillId="5" borderId="3" xfId="0" applyFont="1" applyFill="1" applyBorder="1" applyAlignment="1">
      <alignment horizontal="left" vertical="top" wrapText="1"/>
    </xf>
    <xf numFmtId="0" fontId="1486" fillId="5" borderId="3" xfId="0" applyFont="1" applyFill="1" applyBorder="1" applyAlignment="1">
      <alignment horizontal="left" vertical="top" wrapText="1"/>
    </xf>
    <xf numFmtId="0" fontId="1487" fillId="5" borderId="3" xfId="0" applyFont="1" applyFill="1" applyBorder="1" applyAlignment="1">
      <alignment horizontal="left" vertical="top" wrapText="1"/>
    </xf>
    <xf numFmtId="0" fontId="1488" fillId="5" borderId="3" xfId="0" applyFont="1" applyFill="1" applyBorder="1" applyAlignment="1">
      <alignment horizontal="left" vertical="top" wrapText="1"/>
    </xf>
    <xf numFmtId="0" fontId="1489" fillId="5" borderId="3" xfId="0" applyFont="1" applyFill="1" applyBorder="1" applyAlignment="1">
      <alignment horizontal="left" vertical="top" wrapText="1"/>
    </xf>
    <xf numFmtId="0" fontId="1490" fillId="5" borderId="3" xfId="0" applyFont="1" applyFill="1" applyBorder="1" applyAlignment="1">
      <alignment horizontal="left" vertical="top" wrapText="1"/>
    </xf>
    <xf numFmtId="0" fontId="1491" fillId="3" borderId="3" xfId="0" applyFont="1" applyFill="1" applyBorder="1" applyAlignment="1">
      <alignment horizontal="left" vertical="top" wrapText="1"/>
    </xf>
    <xf numFmtId="0" fontId="1494" fillId="4" borderId="3" xfId="0" applyFont="1" applyFill="1" applyBorder="1" applyAlignment="1">
      <alignment horizontal="center" vertical="top" wrapText="1"/>
    </xf>
    <xf numFmtId="0" fontId="1495" fillId="5" borderId="3" xfId="0" applyFont="1" applyFill="1" applyBorder="1" applyAlignment="1">
      <alignment vertical="top"/>
    </xf>
    <xf numFmtId="0" fontId="1496" fillId="5" borderId="3" xfId="0" applyFont="1" applyFill="1" applyBorder="1" applyAlignment="1">
      <alignment horizontal="center" vertical="top"/>
    </xf>
    <xf numFmtId="0" fontId="1497" fillId="5" borderId="3" xfId="0" applyFont="1" applyFill="1" applyBorder="1" applyAlignment="1">
      <alignment vertical="top"/>
    </xf>
    <xf numFmtId="0" fontId="1498" fillId="5" borderId="3" xfId="0" applyFont="1" applyFill="1" applyBorder="1" applyAlignment="1">
      <alignment vertical="top"/>
    </xf>
    <xf numFmtId="0" fontId="1499" fillId="5" borderId="3" xfId="0" applyFont="1" applyFill="1" applyBorder="1" applyAlignment="1">
      <alignment vertical="top"/>
    </xf>
    <xf numFmtId="0" fontId="1500" fillId="5" borderId="3" xfId="0" applyFont="1" applyFill="1" applyBorder="1" applyAlignment="1">
      <alignment horizontal="left" vertical="top" wrapText="1"/>
    </xf>
    <xf numFmtId="0" fontId="1501" fillId="5" borderId="3" xfId="0" applyFont="1" applyFill="1" applyBorder="1" applyAlignment="1">
      <alignment horizontal="left" vertical="top" wrapText="1"/>
    </xf>
    <xf numFmtId="0" fontId="1502" fillId="5" borderId="3" xfId="0" applyFont="1" applyFill="1" applyBorder="1" applyAlignment="1">
      <alignment horizontal="left" vertical="top" wrapText="1"/>
    </xf>
    <xf numFmtId="0" fontId="1503" fillId="5" borderId="3" xfId="0" applyFont="1" applyFill="1" applyBorder="1" applyAlignment="1">
      <alignment horizontal="left" vertical="top" wrapText="1"/>
    </xf>
    <xf numFmtId="0" fontId="1504" fillId="5" borderId="3" xfId="0" applyFont="1" applyFill="1" applyBorder="1" applyAlignment="1">
      <alignment horizontal="left" vertical="top" wrapText="1"/>
    </xf>
    <xf numFmtId="0" fontId="1505" fillId="5" borderId="3" xfId="0" applyFont="1" applyFill="1" applyBorder="1" applyAlignment="1">
      <alignment horizontal="left" vertical="top" wrapText="1"/>
    </xf>
    <xf numFmtId="0" fontId="1506" fillId="5" borderId="3" xfId="0" applyFont="1" applyFill="1" applyBorder="1" applyAlignment="1">
      <alignment horizontal="left" vertical="top" wrapText="1"/>
    </xf>
    <xf numFmtId="0" fontId="1507" fillId="5" borderId="3" xfId="0" applyFont="1" applyFill="1" applyBorder="1" applyAlignment="1">
      <alignment horizontal="left" vertical="top" wrapText="1"/>
    </xf>
    <xf numFmtId="0" fontId="1508" fillId="5" borderId="3" xfId="0" applyFont="1" applyFill="1" applyBorder="1" applyAlignment="1">
      <alignment horizontal="left" vertical="top" wrapText="1"/>
    </xf>
    <xf numFmtId="0" fontId="1509" fillId="5" borderId="3" xfId="0" applyFont="1" applyFill="1" applyBorder="1" applyAlignment="1">
      <alignment horizontal="left" vertical="top" wrapText="1"/>
    </xf>
    <xf numFmtId="0" fontId="1510" fillId="5" borderId="3" xfId="0" applyFont="1" applyFill="1" applyBorder="1" applyAlignment="1">
      <alignment horizontal="left" vertical="top" wrapText="1"/>
    </xf>
    <xf numFmtId="0" fontId="1511" fillId="5" borderId="3" xfId="0" applyFont="1" applyFill="1" applyBorder="1" applyAlignment="1">
      <alignment horizontal="left" vertical="top" wrapText="1"/>
    </xf>
    <xf numFmtId="0" fontId="1512" fillId="5" borderId="3" xfId="0" applyFont="1" applyFill="1" applyBorder="1" applyAlignment="1">
      <alignment horizontal="left" vertical="top" wrapText="1"/>
    </xf>
    <xf numFmtId="0" fontId="1513" fillId="5" borderId="3" xfId="0" applyFont="1" applyFill="1" applyBorder="1" applyAlignment="1">
      <alignment horizontal="left" vertical="top" wrapText="1"/>
    </xf>
    <xf numFmtId="0" fontId="1514" fillId="5" borderId="3" xfId="0" applyFont="1" applyFill="1" applyBorder="1" applyAlignment="1">
      <alignment horizontal="left" vertical="top" wrapText="1"/>
    </xf>
    <xf numFmtId="0" fontId="1515" fillId="5" borderId="3" xfId="0" applyFont="1" applyFill="1" applyBorder="1" applyAlignment="1">
      <alignment horizontal="left" vertical="top" wrapText="1"/>
    </xf>
    <xf numFmtId="0" fontId="1516" fillId="5" borderId="3" xfId="0" applyFont="1" applyFill="1" applyBorder="1" applyAlignment="1">
      <alignment horizontal="left" vertical="top" wrapText="1"/>
    </xf>
    <xf numFmtId="0" fontId="1517" fillId="5" borderId="3" xfId="0" applyFont="1" applyFill="1" applyBorder="1" applyAlignment="1">
      <alignment horizontal="left" vertical="top" wrapText="1"/>
    </xf>
    <xf numFmtId="0" fontId="1518" fillId="5" borderId="3" xfId="0" applyFont="1" applyFill="1" applyBorder="1" applyAlignment="1">
      <alignment horizontal="center" vertical="top"/>
    </xf>
    <xf numFmtId="0" fontId="1519" fillId="5" borderId="3" xfId="0" applyFont="1" applyFill="1" applyBorder="1" applyAlignment="1">
      <alignment horizontal="left" vertical="top" wrapText="1"/>
    </xf>
    <xf numFmtId="0" fontId="1520" fillId="5" borderId="3" xfId="0" applyFont="1" applyFill="1" applyBorder="1" applyAlignment="1">
      <alignment horizontal="left" vertical="top" wrapText="1"/>
    </xf>
    <xf numFmtId="0" fontId="1521" fillId="5" borderId="3" xfId="0" applyFont="1" applyFill="1" applyBorder="1" applyAlignment="1">
      <alignment horizontal="center" vertical="top"/>
    </xf>
    <xf numFmtId="0" fontId="1522" fillId="5" borderId="3" xfId="0" applyFont="1" applyFill="1" applyBorder="1" applyAlignment="1">
      <alignment horizontal="left" vertical="top" wrapText="1"/>
    </xf>
    <xf numFmtId="0" fontId="1523" fillId="5" borderId="3" xfId="0" applyFont="1" applyFill="1" applyBorder="1" applyAlignment="1">
      <alignment horizontal="left" vertical="top" wrapText="1"/>
    </xf>
    <xf numFmtId="0" fontId="1524" fillId="5" borderId="3" xfId="0" applyFont="1" applyFill="1" applyBorder="1" applyAlignment="1">
      <alignment horizontal="left" vertical="top" wrapText="1"/>
    </xf>
    <xf numFmtId="0" fontId="1525" fillId="5" borderId="3" xfId="0" applyFont="1" applyFill="1" applyBorder="1" applyAlignment="1">
      <alignment horizontal="left" vertical="top" wrapText="1"/>
    </xf>
    <xf numFmtId="0" fontId="1526" fillId="5" borderId="3" xfId="0" applyFont="1" applyFill="1" applyBorder="1" applyAlignment="1">
      <alignment horizontal="left" vertical="top" wrapText="1"/>
    </xf>
    <xf numFmtId="0" fontId="1527" fillId="5" borderId="3" xfId="0" applyFont="1" applyFill="1" applyBorder="1" applyAlignment="1">
      <alignment horizontal="left" vertical="top" wrapText="1"/>
    </xf>
    <xf numFmtId="0" fontId="1528" fillId="5" borderId="3" xfId="0" applyFont="1" applyFill="1" applyBorder="1" applyAlignment="1">
      <alignment horizontal="left" vertical="top" wrapText="1"/>
    </xf>
    <xf numFmtId="0" fontId="1529" fillId="5" borderId="3" xfId="0" applyFont="1" applyFill="1" applyBorder="1" applyAlignment="1">
      <alignment horizontal="left" vertical="top" wrapText="1"/>
    </xf>
    <xf numFmtId="0" fontId="1530" fillId="5" borderId="3" xfId="0" applyFont="1" applyFill="1" applyBorder="1" applyAlignment="1">
      <alignment horizontal="center" vertical="top"/>
    </xf>
    <xf numFmtId="0" fontId="1531" fillId="5" borderId="3" xfId="0" applyFont="1" applyFill="1" applyBorder="1" applyAlignment="1">
      <alignment horizontal="center" vertical="top"/>
    </xf>
    <xf numFmtId="0" fontId="1532" fillId="5" borderId="3" xfId="0" applyFont="1" applyFill="1" applyBorder="1" applyAlignment="1">
      <alignment horizontal="center" vertical="top"/>
    </xf>
    <xf numFmtId="0" fontId="1533" fillId="5" borderId="3" xfId="0" applyFont="1" applyFill="1" applyBorder="1" applyAlignment="1">
      <alignment horizontal="center" vertical="top"/>
    </xf>
    <xf numFmtId="0" fontId="1534" fillId="5" borderId="3" xfId="0" applyFont="1" applyFill="1" applyBorder="1" applyAlignment="1">
      <alignment horizontal="center" vertical="top"/>
    </xf>
    <xf numFmtId="0" fontId="1535" fillId="5" borderId="3" xfId="0" applyFont="1" applyFill="1" applyBorder="1" applyAlignment="1">
      <alignment horizontal="left" vertical="top" wrapText="1"/>
    </xf>
    <xf numFmtId="0" fontId="1536" fillId="5" borderId="3" xfId="0" applyFont="1" applyFill="1" applyBorder="1" applyAlignment="1">
      <alignment horizontal="left" vertical="top" wrapText="1"/>
    </xf>
    <xf numFmtId="0" fontId="1537" fillId="5" borderId="3" xfId="0" applyFont="1" applyFill="1" applyBorder="1" applyAlignment="1">
      <alignment horizontal="left" vertical="top" wrapText="1"/>
    </xf>
    <xf numFmtId="0" fontId="1538" fillId="5" borderId="3" xfId="0" applyFont="1" applyFill="1" applyBorder="1" applyAlignment="1">
      <alignment horizontal="center" vertical="top"/>
    </xf>
    <xf numFmtId="0" fontId="1539" fillId="5" borderId="3" xfId="0" applyFont="1" applyFill="1" applyBorder="1" applyAlignment="1">
      <alignment horizontal="left" vertical="top" wrapText="1"/>
    </xf>
    <xf numFmtId="0" fontId="1540" fillId="5" borderId="3" xfId="0" applyFont="1" applyFill="1" applyBorder="1" applyAlignment="1">
      <alignment horizontal="left" vertical="top" wrapText="1"/>
    </xf>
    <xf numFmtId="0" fontId="1541" fillId="5" borderId="3" xfId="0" applyFont="1" applyFill="1" applyBorder="1" applyAlignment="1">
      <alignment horizontal="center" vertical="top"/>
    </xf>
    <xf numFmtId="0" fontId="1542" fillId="5" borderId="3" xfId="0" applyFont="1" applyFill="1" applyBorder="1" applyAlignment="1">
      <alignment horizontal="center" vertical="top"/>
    </xf>
    <xf numFmtId="0" fontId="1543" fillId="5" borderId="3" xfId="0" applyFont="1" applyFill="1" applyBorder="1" applyAlignment="1">
      <alignment horizontal="center" vertical="top"/>
    </xf>
    <xf numFmtId="0" fontId="1544" fillId="5" borderId="3" xfId="0" applyFont="1" applyFill="1" applyBorder="1" applyAlignment="1">
      <alignment horizontal="center" vertical="top"/>
    </xf>
    <xf numFmtId="0" fontId="1545" fillId="5" borderId="3" xfId="0" applyFont="1" applyFill="1" applyBorder="1" applyAlignment="1">
      <alignment horizontal="center" vertical="top"/>
    </xf>
    <xf numFmtId="0" fontId="1546" fillId="5" borderId="3" xfId="0" applyFont="1" applyFill="1" applyBorder="1" applyAlignment="1">
      <alignment horizontal="center" vertical="top"/>
    </xf>
    <xf numFmtId="0" fontId="1547" fillId="5" borderId="3" xfId="0" applyFont="1" applyFill="1" applyBorder="1" applyAlignment="1">
      <alignment horizontal="center" vertical="top"/>
    </xf>
    <xf numFmtId="0" fontId="1548" fillId="5" borderId="3" xfId="0" applyFont="1" applyFill="1" applyBorder="1" applyAlignment="1">
      <alignment horizontal="center" vertical="top"/>
    </xf>
    <xf numFmtId="0" fontId="1549" fillId="5" borderId="3" xfId="0" applyFont="1" applyFill="1" applyBorder="1" applyAlignment="1">
      <alignment horizontal="center" vertical="top"/>
    </xf>
    <xf numFmtId="0" fontId="1550" fillId="5" borderId="3" xfId="0" applyFont="1" applyFill="1" applyBorder="1" applyAlignment="1">
      <alignment horizontal="center" vertical="top"/>
    </xf>
    <xf numFmtId="0" fontId="1551" fillId="5" borderId="3" xfId="0" applyFont="1" applyFill="1" applyBorder="1" applyAlignment="1">
      <alignment horizontal="center" vertical="top"/>
    </xf>
    <xf numFmtId="0" fontId="1552" fillId="5" borderId="3" xfId="0" applyFont="1" applyFill="1" applyBorder="1" applyAlignment="1">
      <alignment horizontal="center" vertical="top"/>
    </xf>
    <xf numFmtId="0" fontId="1553" fillId="5" borderId="3" xfId="0" applyFont="1" applyFill="1" applyBorder="1" applyAlignment="1">
      <alignment horizontal="center" vertical="top"/>
    </xf>
    <xf numFmtId="0" fontId="1554" fillId="5" borderId="3" xfId="0" applyFont="1" applyFill="1" applyBorder="1" applyAlignment="1">
      <alignment horizontal="left" vertical="top" wrapText="1"/>
    </xf>
    <xf numFmtId="0" fontId="1555" fillId="5" borderId="3" xfId="0" applyFont="1" applyFill="1" applyBorder="1" applyAlignment="1">
      <alignment horizontal="left" vertical="top" wrapText="1"/>
    </xf>
    <xf numFmtId="0" fontId="1556" fillId="5" borderId="3" xfId="0" applyFont="1" applyFill="1" applyBorder="1" applyAlignment="1">
      <alignment horizontal="left" vertical="top" wrapText="1"/>
    </xf>
    <xf numFmtId="0" fontId="1557" fillId="5" borderId="3" xfId="0" applyFont="1" applyFill="1" applyBorder="1" applyAlignment="1">
      <alignment horizontal="left" vertical="top" wrapText="1"/>
    </xf>
    <xf numFmtId="0" fontId="1558" fillId="5" borderId="3" xfId="0" applyFont="1" applyFill="1" applyBorder="1" applyAlignment="1">
      <alignment horizontal="left" vertical="top" wrapText="1"/>
    </xf>
    <xf numFmtId="0" fontId="1559" fillId="5" borderId="3" xfId="0" applyFont="1" applyFill="1" applyBorder="1" applyAlignment="1">
      <alignment horizontal="left" vertical="top" wrapText="1"/>
    </xf>
    <xf numFmtId="0" fontId="1560" fillId="5" borderId="3" xfId="0" applyFont="1" applyFill="1" applyBorder="1" applyAlignment="1">
      <alignment horizontal="left" vertical="top" wrapText="1"/>
    </xf>
    <xf numFmtId="0" fontId="1561" fillId="5" borderId="3" xfId="0" applyFont="1" applyFill="1" applyBorder="1" applyAlignment="1">
      <alignment horizontal="left" vertical="top" wrapText="1"/>
    </xf>
    <xf numFmtId="0" fontId="1562" fillId="5" borderId="3" xfId="0" applyFont="1" applyFill="1" applyBorder="1" applyAlignment="1">
      <alignment horizontal="left" vertical="top" wrapText="1"/>
    </xf>
    <xf numFmtId="0" fontId="1563" fillId="5" borderId="3" xfId="0" applyFont="1" applyFill="1" applyBorder="1" applyAlignment="1">
      <alignment horizontal="left" vertical="top" wrapText="1"/>
    </xf>
    <xf numFmtId="0" fontId="1564" fillId="5" borderId="3" xfId="0" applyFont="1" applyFill="1" applyBorder="1" applyAlignment="1">
      <alignment horizontal="left" vertical="top" wrapText="1"/>
    </xf>
    <xf numFmtId="0" fontId="1565" fillId="5" borderId="3" xfId="0" applyFont="1" applyFill="1" applyBorder="1" applyAlignment="1">
      <alignment horizontal="left" vertical="top" wrapText="1"/>
    </xf>
    <xf numFmtId="0" fontId="1566" fillId="5" borderId="3" xfId="0" applyFont="1" applyFill="1" applyBorder="1" applyAlignment="1">
      <alignment horizontal="left" vertical="top" wrapText="1"/>
    </xf>
    <xf numFmtId="0" fontId="1567" fillId="5" borderId="3" xfId="0" applyFont="1" applyFill="1" applyBorder="1" applyAlignment="1">
      <alignment horizontal="left" vertical="top" wrapText="1"/>
    </xf>
    <xf numFmtId="0" fontId="1568" fillId="5" borderId="3" xfId="0" applyFont="1" applyFill="1" applyBorder="1" applyAlignment="1">
      <alignment horizontal="left" vertical="top" wrapText="1"/>
    </xf>
    <xf numFmtId="0" fontId="1569" fillId="5" borderId="3" xfId="0" applyFont="1" applyFill="1" applyBorder="1" applyAlignment="1">
      <alignment horizontal="left" vertical="top" wrapText="1"/>
    </xf>
    <xf numFmtId="0" fontId="1570" fillId="5" borderId="3" xfId="0" applyFont="1" applyFill="1" applyBorder="1" applyAlignment="1">
      <alignment horizontal="left" vertical="top" wrapText="1"/>
    </xf>
    <xf numFmtId="0" fontId="1571" fillId="5" borderId="3" xfId="0" applyFont="1" applyFill="1" applyBorder="1" applyAlignment="1">
      <alignment horizontal="left" vertical="top" wrapText="1"/>
    </xf>
    <xf numFmtId="0" fontId="1572" fillId="5" borderId="3" xfId="0" applyFont="1" applyFill="1" applyBorder="1" applyAlignment="1">
      <alignment horizontal="left" vertical="top" wrapText="1"/>
    </xf>
    <xf numFmtId="0" fontId="1573" fillId="5" borderId="3" xfId="0" applyFont="1" applyFill="1" applyBorder="1" applyAlignment="1">
      <alignment horizontal="left" vertical="top" wrapText="1"/>
    </xf>
    <xf numFmtId="0" fontId="1574" fillId="5" borderId="3" xfId="0" applyFont="1" applyFill="1" applyBorder="1" applyAlignment="1">
      <alignment horizontal="left" vertical="top" wrapText="1"/>
    </xf>
    <xf numFmtId="0" fontId="1575" fillId="5" borderId="3" xfId="0" applyFont="1" applyFill="1" applyBorder="1" applyAlignment="1">
      <alignment horizontal="left" vertical="top" wrapText="1"/>
    </xf>
    <xf numFmtId="0" fontId="1576" fillId="5" borderId="3" xfId="0" applyFont="1" applyFill="1" applyBorder="1" applyAlignment="1">
      <alignment horizontal="left" vertical="top" wrapText="1"/>
    </xf>
    <xf numFmtId="0" fontId="1577" fillId="5" borderId="3" xfId="0" applyFont="1" applyFill="1" applyBorder="1" applyAlignment="1">
      <alignment horizontal="left" vertical="top" wrapText="1"/>
    </xf>
    <xf numFmtId="0" fontId="1578" fillId="5" borderId="3" xfId="0" applyFont="1" applyFill="1" applyBorder="1" applyAlignment="1">
      <alignment horizontal="left" vertical="top" wrapText="1"/>
    </xf>
    <xf numFmtId="0" fontId="1579" fillId="5" borderId="3" xfId="0" applyFont="1" applyFill="1" applyBorder="1" applyAlignment="1">
      <alignment horizontal="left" vertical="top" wrapText="1"/>
    </xf>
    <xf numFmtId="0" fontId="1580" fillId="5" borderId="3" xfId="0" applyFont="1" applyFill="1" applyBorder="1" applyAlignment="1">
      <alignment horizontal="left" vertical="top" wrapText="1"/>
    </xf>
    <xf numFmtId="0" fontId="1581" fillId="5" borderId="3" xfId="0" applyFont="1" applyFill="1" applyBorder="1" applyAlignment="1">
      <alignment horizontal="left" vertical="top" wrapText="1"/>
    </xf>
    <xf numFmtId="0" fontId="1582" fillId="5" borderId="3" xfId="0" applyFont="1" applyFill="1" applyBorder="1" applyAlignment="1">
      <alignment horizontal="left" vertical="top" wrapText="1"/>
    </xf>
    <xf numFmtId="0" fontId="1583" fillId="5" borderId="3" xfId="0" applyFont="1" applyFill="1" applyBorder="1" applyAlignment="1">
      <alignment horizontal="left" vertical="top" wrapText="1"/>
    </xf>
    <xf numFmtId="0" fontId="1584" fillId="5" borderId="3" xfId="0" applyFont="1" applyFill="1" applyBorder="1" applyAlignment="1">
      <alignment horizontal="left" vertical="top" wrapText="1"/>
    </xf>
    <xf numFmtId="0" fontId="1585" fillId="5" borderId="3" xfId="0" applyFont="1" applyFill="1" applyBorder="1" applyAlignment="1">
      <alignment horizontal="left" vertical="top" wrapText="1"/>
    </xf>
    <xf numFmtId="0" fontId="1586" fillId="5" borderId="3" xfId="0" applyFont="1" applyFill="1" applyBorder="1" applyAlignment="1">
      <alignment horizontal="left" vertical="top" wrapText="1"/>
    </xf>
    <xf numFmtId="0" fontId="1587" fillId="5" borderId="3" xfId="0" applyFont="1" applyFill="1" applyBorder="1" applyAlignment="1">
      <alignment horizontal="left" vertical="top" wrapText="1"/>
    </xf>
    <xf numFmtId="0" fontId="1588" fillId="5" borderId="3" xfId="0" applyFont="1" applyFill="1" applyBorder="1" applyAlignment="1">
      <alignment horizontal="left" vertical="top" wrapText="1"/>
    </xf>
    <xf numFmtId="0" fontId="1589" fillId="5" borderId="3" xfId="0" applyFont="1" applyFill="1" applyBorder="1" applyAlignment="1">
      <alignment horizontal="left" vertical="top" wrapText="1"/>
    </xf>
    <xf numFmtId="0" fontId="1590" fillId="5" borderId="3" xfId="0" applyFont="1" applyFill="1" applyBorder="1" applyAlignment="1">
      <alignment horizontal="left" vertical="top" wrapText="1"/>
    </xf>
    <xf numFmtId="0" fontId="1591" fillId="5" borderId="3" xfId="0" applyFont="1" applyFill="1" applyBorder="1" applyAlignment="1">
      <alignment horizontal="left" vertical="top" wrapText="1"/>
    </xf>
    <xf numFmtId="0" fontId="1592" fillId="5" borderId="3" xfId="0" applyFont="1" applyFill="1" applyBorder="1" applyAlignment="1">
      <alignment horizontal="left" vertical="top" wrapText="1"/>
    </xf>
    <xf numFmtId="0" fontId="1593" fillId="5" borderId="3" xfId="0" applyFont="1" applyFill="1" applyBorder="1" applyAlignment="1">
      <alignment horizontal="left" vertical="top" wrapText="1"/>
    </xf>
    <xf numFmtId="0" fontId="1594" fillId="5" borderId="3" xfId="0" applyFont="1" applyFill="1" applyBorder="1" applyAlignment="1">
      <alignment horizontal="left" vertical="top" wrapText="1"/>
    </xf>
    <xf numFmtId="0" fontId="1595" fillId="5" borderId="3" xfId="0" applyFont="1" applyFill="1" applyBorder="1" applyAlignment="1">
      <alignment horizontal="left" vertical="top" wrapText="1"/>
    </xf>
    <xf numFmtId="0" fontId="1596" fillId="5" borderId="3" xfId="0" applyFont="1" applyFill="1" applyBorder="1" applyAlignment="1">
      <alignment horizontal="left" vertical="top" wrapText="1"/>
    </xf>
    <xf numFmtId="0" fontId="1597" fillId="5" borderId="3" xfId="0" applyFont="1" applyFill="1" applyBorder="1" applyAlignment="1">
      <alignment horizontal="left" vertical="top" wrapText="1"/>
    </xf>
    <xf numFmtId="0" fontId="1598" fillId="5" borderId="3" xfId="0" applyFont="1" applyFill="1" applyBorder="1" applyAlignment="1">
      <alignment horizontal="left" vertical="top" wrapText="1"/>
    </xf>
    <xf numFmtId="0" fontId="1599" fillId="5" borderId="3" xfId="0" applyFont="1" applyFill="1" applyBorder="1" applyAlignment="1">
      <alignment horizontal="left" vertical="top" wrapText="1"/>
    </xf>
    <xf numFmtId="0" fontId="1600" fillId="5" borderId="3" xfId="0" applyFont="1" applyFill="1" applyBorder="1" applyAlignment="1">
      <alignment horizontal="left" vertical="top" wrapText="1"/>
    </xf>
    <xf numFmtId="0" fontId="1601" fillId="5" borderId="3" xfId="0" applyFont="1" applyFill="1" applyBorder="1" applyAlignment="1">
      <alignment horizontal="left" vertical="top" wrapText="1"/>
    </xf>
    <xf numFmtId="0" fontId="1602" fillId="5" borderId="3" xfId="0" applyFont="1" applyFill="1" applyBorder="1" applyAlignment="1">
      <alignment horizontal="left" vertical="top" wrapText="1"/>
    </xf>
    <xf numFmtId="0" fontId="1603" fillId="5" borderId="3" xfId="0" applyFont="1" applyFill="1" applyBorder="1" applyAlignment="1">
      <alignment horizontal="left" vertical="top" wrapText="1"/>
    </xf>
    <xf numFmtId="0" fontId="1604" fillId="5" borderId="3" xfId="0" applyFont="1" applyFill="1" applyBorder="1" applyAlignment="1">
      <alignment horizontal="left" vertical="top" wrapText="1"/>
    </xf>
    <xf numFmtId="0" fontId="1605" fillId="5" borderId="3" xfId="0" applyFont="1" applyFill="1" applyBorder="1" applyAlignment="1">
      <alignment horizontal="left" vertical="top" wrapText="1"/>
    </xf>
    <xf numFmtId="0" fontId="1606" fillId="5" borderId="3" xfId="0" applyFont="1" applyFill="1" applyBorder="1" applyAlignment="1">
      <alignment horizontal="left" vertical="top" wrapText="1"/>
    </xf>
    <xf numFmtId="0" fontId="1607" fillId="5" borderId="3" xfId="0" applyFont="1" applyFill="1" applyBorder="1" applyAlignment="1">
      <alignment horizontal="left" vertical="top" wrapText="1"/>
    </xf>
    <xf numFmtId="0" fontId="1608" fillId="5" borderId="3" xfId="0" applyFont="1" applyFill="1" applyBorder="1" applyAlignment="1">
      <alignment horizontal="left" vertical="top" wrapText="1"/>
    </xf>
    <xf numFmtId="0" fontId="1609" fillId="5" borderId="3" xfId="0" applyFont="1" applyFill="1" applyBorder="1" applyAlignment="1">
      <alignment horizontal="left" vertical="top" wrapText="1"/>
    </xf>
    <xf numFmtId="0" fontId="1610" fillId="5" borderId="3" xfId="0" applyFont="1" applyFill="1" applyBorder="1" applyAlignment="1">
      <alignment horizontal="left" vertical="top" wrapText="1"/>
    </xf>
    <xf numFmtId="0" fontId="1611" fillId="5" borderId="3" xfId="0" applyFont="1" applyFill="1" applyBorder="1" applyAlignment="1">
      <alignment horizontal="left" vertical="top" wrapText="1"/>
    </xf>
    <xf numFmtId="0" fontId="1612" fillId="5" borderId="3" xfId="0" applyFont="1" applyFill="1" applyBorder="1" applyAlignment="1">
      <alignment horizontal="left" vertical="top" wrapText="1"/>
    </xf>
    <xf numFmtId="0" fontId="1613" fillId="5" borderId="3" xfId="0" applyFont="1" applyFill="1" applyBorder="1" applyAlignment="1">
      <alignment horizontal="left" vertical="top" wrapText="1"/>
    </xf>
    <xf numFmtId="0" fontId="1614" fillId="5" borderId="3" xfId="0" applyFont="1" applyFill="1" applyBorder="1" applyAlignment="1">
      <alignment horizontal="left" vertical="top" wrapText="1"/>
    </xf>
    <xf numFmtId="0" fontId="1615" fillId="5" borderId="3" xfId="0" applyFont="1" applyFill="1" applyBorder="1" applyAlignment="1">
      <alignment horizontal="left" vertical="top" wrapText="1"/>
    </xf>
    <xf numFmtId="0" fontId="1616" fillId="5" borderId="3" xfId="0" applyFont="1" applyFill="1" applyBorder="1" applyAlignment="1">
      <alignment horizontal="left" vertical="top" wrapText="1"/>
    </xf>
    <xf numFmtId="0" fontId="1617" fillId="5" borderId="3" xfId="0" applyFont="1" applyFill="1" applyBorder="1" applyAlignment="1">
      <alignment horizontal="left" vertical="top" wrapText="1"/>
    </xf>
    <xf numFmtId="0" fontId="1618" fillId="5" borderId="3" xfId="0" applyFont="1" applyFill="1" applyBorder="1" applyAlignment="1">
      <alignment horizontal="left" vertical="top" wrapText="1"/>
    </xf>
    <xf numFmtId="0" fontId="1619" fillId="5" borderId="3" xfId="0" applyFont="1" applyFill="1" applyBorder="1" applyAlignment="1">
      <alignment horizontal="left" vertical="top" wrapText="1"/>
    </xf>
    <xf numFmtId="0" fontId="1620" fillId="5" borderId="3" xfId="0" applyFont="1" applyFill="1" applyBorder="1" applyAlignment="1">
      <alignment horizontal="left" vertical="top" wrapText="1"/>
    </xf>
    <xf numFmtId="0" fontId="1621" fillId="5" borderId="3" xfId="0" applyFont="1" applyFill="1" applyBorder="1" applyAlignment="1">
      <alignment horizontal="left" vertical="top" wrapText="1"/>
    </xf>
    <xf numFmtId="0" fontId="1622" fillId="5" borderId="3" xfId="0" applyFont="1" applyFill="1" applyBorder="1" applyAlignment="1">
      <alignment horizontal="center" vertical="top"/>
    </xf>
    <xf numFmtId="0" fontId="1623" fillId="5" borderId="3" xfId="0" applyFont="1" applyFill="1" applyBorder="1" applyAlignment="1">
      <alignment horizontal="center" vertical="top"/>
    </xf>
    <xf numFmtId="0" fontId="1624" fillId="5" borderId="3" xfId="0" applyFont="1" applyFill="1" applyBorder="1" applyAlignment="1">
      <alignment horizontal="left" vertical="top" wrapText="1"/>
    </xf>
    <xf numFmtId="0" fontId="1625" fillId="5" borderId="3" xfId="0" applyFont="1" applyFill="1" applyBorder="1" applyAlignment="1">
      <alignment horizontal="left" vertical="top" wrapText="1"/>
    </xf>
    <xf numFmtId="0" fontId="1626" fillId="5" borderId="3" xfId="0" applyFont="1" applyFill="1" applyBorder="1" applyAlignment="1">
      <alignment horizontal="left" vertical="top" wrapText="1"/>
    </xf>
    <xf numFmtId="0" fontId="1627" fillId="5" borderId="3" xfId="0" applyFont="1" applyFill="1" applyBorder="1" applyAlignment="1">
      <alignment horizontal="left" vertical="top" wrapText="1"/>
    </xf>
    <xf numFmtId="0" fontId="1628" fillId="5" borderId="3" xfId="0" applyFont="1" applyFill="1" applyBorder="1" applyAlignment="1">
      <alignment horizontal="left" vertical="top" wrapText="1"/>
    </xf>
    <xf numFmtId="0" fontId="1629" fillId="5" borderId="3" xfId="0" applyFont="1" applyFill="1" applyBorder="1" applyAlignment="1">
      <alignment horizontal="center" vertical="top"/>
    </xf>
    <xf numFmtId="0" fontId="1630" fillId="5" borderId="3" xfId="0" applyFont="1" applyFill="1" applyBorder="1" applyAlignment="1">
      <alignment horizontal="left" vertical="top" wrapText="1"/>
    </xf>
    <xf numFmtId="0" fontId="1631" fillId="5" borderId="3" xfId="0" applyFont="1" applyFill="1" applyBorder="1" applyAlignment="1">
      <alignment horizontal="left" vertical="top" wrapText="1"/>
    </xf>
    <xf numFmtId="0" fontId="1632" fillId="5" borderId="3" xfId="0" applyFont="1" applyFill="1" applyBorder="1" applyAlignment="1">
      <alignment horizontal="left" vertical="top" wrapText="1"/>
    </xf>
    <xf numFmtId="0" fontId="1633" fillId="5" borderId="3" xfId="0" applyFont="1" applyFill="1" applyBorder="1" applyAlignment="1">
      <alignment horizontal="left" vertical="top" wrapText="1"/>
    </xf>
    <xf numFmtId="0" fontId="1634" fillId="5" borderId="3" xfId="0" applyFont="1" applyFill="1" applyBorder="1" applyAlignment="1">
      <alignment horizontal="left" vertical="top" wrapText="1"/>
    </xf>
    <xf numFmtId="0" fontId="1635" fillId="5" borderId="3" xfId="0" applyFont="1" applyFill="1" applyBorder="1" applyAlignment="1">
      <alignment horizontal="left" vertical="top" wrapText="1"/>
    </xf>
    <xf numFmtId="0" fontId="1636" fillId="5" borderId="3" xfId="0" applyFont="1" applyFill="1" applyBorder="1" applyAlignment="1">
      <alignment horizontal="left" vertical="top" wrapText="1"/>
    </xf>
    <xf numFmtId="0" fontId="1637" fillId="5" borderId="3" xfId="0" applyFont="1" applyFill="1" applyBorder="1" applyAlignment="1">
      <alignment horizontal="left" vertical="top" wrapText="1"/>
    </xf>
    <xf numFmtId="0" fontId="1638" fillId="5" borderId="3" xfId="0" applyFont="1" applyFill="1" applyBorder="1" applyAlignment="1">
      <alignment horizontal="left" vertical="top" wrapText="1"/>
    </xf>
    <xf numFmtId="0" fontId="1639" fillId="5" borderId="3" xfId="0" applyFont="1" applyFill="1" applyBorder="1" applyAlignment="1">
      <alignment horizontal="center" vertical="top"/>
    </xf>
    <xf numFmtId="0" fontId="1640" fillId="5" borderId="3" xfId="0" applyFont="1" applyFill="1" applyBorder="1" applyAlignment="1">
      <alignment horizontal="center" vertical="top"/>
    </xf>
    <xf numFmtId="0" fontId="1641" fillId="5" borderId="3" xfId="0" applyFont="1" applyFill="1" applyBorder="1" applyAlignment="1">
      <alignment horizontal="center" vertical="top"/>
    </xf>
    <xf numFmtId="0" fontId="1642" fillId="5" borderId="3" xfId="0" applyFont="1" applyFill="1" applyBorder="1" applyAlignment="1">
      <alignment horizontal="center" vertical="top"/>
    </xf>
    <xf numFmtId="0" fontId="1643" fillId="5" borderId="3" xfId="0" applyFont="1" applyFill="1" applyBorder="1" applyAlignment="1">
      <alignment horizontal="center" vertical="top"/>
    </xf>
    <xf numFmtId="0" fontId="1644" fillId="5" borderId="3" xfId="0" applyFont="1" applyFill="1" applyBorder="1" applyAlignment="1">
      <alignment horizontal="center" vertical="top"/>
    </xf>
    <xf numFmtId="0" fontId="1645" fillId="5" borderId="3" xfId="0" applyFont="1" applyFill="1" applyBorder="1" applyAlignment="1">
      <alignment horizontal="center" vertical="top"/>
    </xf>
    <xf numFmtId="0" fontId="1646" fillId="5" borderId="3" xfId="0" applyFont="1" applyFill="1" applyBorder="1" applyAlignment="1">
      <alignment horizontal="left" vertical="top" wrapText="1"/>
    </xf>
    <xf numFmtId="0" fontId="1647" fillId="5" borderId="3" xfId="0" applyFont="1" applyFill="1" applyBorder="1" applyAlignment="1">
      <alignment horizontal="left" vertical="top" wrapText="1"/>
    </xf>
    <xf numFmtId="0" fontId="1648" fillId="5" borderId="3" xfId="0" applyFont="1" applyFill="1" applyBorder="1" applyAlignment="1">
      <alignment horizontal="left" vertical="top" wrapText="1"/>
    </xf>
    <xf numFmtId="0" fontId="1649" fillId="5" borderId="3" xfId="0" applyFont="1" applyFill="1" applyBorder="1" applyAlignment="1">
      <alignment horizontal="left" vertical="top" wrapText="1"/>
    </xf>
    <xf numFmtId="0" fontId="1650" fillId="5" borderId="3" xfId="0" applyFont="1" applyFill="1" applyBorder="1" applyAlignment="1">
      <alignment horizontal="left" vertical="top" wrapText="1"/>
    </xf>
    <xf numFmtId="0" fontId="1651" fillId="5" borderId="3" xfId="0" applyFont="1" applyFill="1" applyBorder="1" applyAlignment="1">
      <alignment horizontal="left" vertical="top" wrapText="1"/>
    </xf>
    <xf numFmtId="0" fontId="1652" fillId="5" borderId="3" xfId="0" applyFont="1" applyFill="1" applyBorder="1" applyAlignment="1">
      <alignment horizontal="left" vertical="top" wrapText="1"/>
    </xf>
    <xf numFmtId="0" fontId="1653" fillId="5" borderId="3" xfId="0" applyFont="1" applyFill="1" applyBorder="1" applyAlignment="1">
      <alignment horizontal="left" vertical="top" wrapText="1"/>
    </xf>
    <xf numFmtId="0" fontId="1654" fillId="5" borderId="3" xfId="0" applyFont="1" applyFill="1" applyBorder="1" applyAlignment="1">
      <alignment horizontal="left" vertical="top" wrapText="1"/>
    </xf>
    <xf numFmtId="0" fontId="1655" fillId="5" borderId="3" xfId="0" applyFont="1" applyFill="1" applyBorder="1" applyAlignment="1">
      <alignment horizontal="left" vertical="top" wrapText="1"/>
    </xf>
    <xf numFmtId="0" fontId="1656" fillId="5" borderId="3" xfId="0" applyFont="1" applyFill="1" applyBorder="1" applyAlignment="1">
      <alignment horizontal="left" vertical="top" wrapText="1"/>
    </xf>
    <xf numFmtId="0" fontId="1657" fillId="5" borderId="3" xfId="0" applyFont="1" applyFill="1" applyBorder="1" applyAlignment="1">
      <alignment horizontal="left" vertical="top" wrapText="1"/>
    </xf>
    <xf numFmtId="0" fontId="1658" fillId="5" borderId="3" xfId="0" applyFont="1" applyFill="1" applyBorder="1" applyAlignment="1">
      <alignment horizontal="left" vertical="top" wrapText="1"/>
    </xf>
    <xf numFmtId="0" fontId="1659" fillId="5" borderId="3" xfId="0" applyFont="1" applyFill="1" applyBorder="1" applyAlignment="1">
      <alignment horizontal="left" vertical="top" wrapText="1"/>
    </xf>
    <xf numFmtId="0" fontId="1660" fillId="5" borderId="3" xfId="0" applyFont="1" applyFill="1" applyBorder="1" applyAlignment="1">
      <alignment horizontal="left" vertical="top" wrapText="1"/>
    </xf>
    <xf numFmtId="0" fontId="1661" fillId="5" borderId="3" xfId="0" applyFont="1" applyFill="1" applyBorder="1" applyAlignment="1">
      <alignment horizontal="left" vertical="top" wrapText="1"/>
    </xf>
    <xf numFmtId="0" fontId="1662" fillId="5" borderId="3" xfId="0" applyFont="1" applyFill="1" applyBorder="1" applyAlignment="1">
      <alignment horizontal="left" vertical="top" wrapText="1"/>
    </xf>
    <xf numFmtId="0" fontId="1663" fillId="5" borderId="3" xfId="0" applyFont="1" applyFill="1" applyBorder="1" applyAlignment="1">
      <alignment horizontal="left" vertical="top" wrapText="1"/>
    </xf>
    <xf numFmtId="0" fontId="1664" fillId="5" borderId="3" xfId="0" applyFont="1" applyFill="1" applyBorder="1" applyAlignment="1">
      <alignment horizontal="left" vertical="top" wrapText="1"/>
    </xf>
    <xf numFmtId="0" fontId="1665" fillId="5" borderId="3" xfId="0" applyFont="1" applyFill="1" applyBorder="1" applyAlignment="1">
      <alignment horizontal="left" vertical="top" wrapText="1"/>
    </xf>
    <xf numFmtId="0" fontId="1666" fillId="5" borderId="3" xfId="0" applyFont="1" applyFill="1" applyBorder="1" applyAlignment="1">
      <alignment horizontal="left" vertical="top" wrapText="1"/>
    </xf>
    <xf numFmtId="0" fontId="1667" fillId="5" borderId="3" xfId="0" applyFont="1" applyFill="1" applyBorder="1" applyAlignment="1">
      <alignment horizontal="left" vertical="top" wrapText="1"/>
    </xf>
    <xf numFmtId="0" fontId="1668" fillId="5" borderId="3" xfId="0" applyFont="1" applyFill="1" applyBorder="1" applyAlignment="1">
      <alignment horizontal="center" vertical="top"/>
    </xf>
    <xf numFmtId="0" fontId="1669" fillId="5" borderId="3" xfId="0" applyFont="1" applyFill="1" applyBorder="1" applyAlignment="1">
      <alignment horizontal="center" vertical="top"/>
    </xf>
    <xf numFmtId="0" fontId="1670" fillId="5" borderId="3" xfId="0" applyFont="1" applyFill="1" applyBorder="1" applyAlignment="1">
      <alignment horizontal="center" vertical="top"/>
    </xf>
    <xf numFmtId="0" fontId="1671" fillId="5" borderId="3" xfId="0" applyFont="1" applyFill="1" applyBorder="1" applyAlignment="1">
      <alignment horizontal="center" vertical="top"/>
    </xf>
    <xf numFmtId="0" fontId="1672" fillId="5" borderId="3" xfId="0" applyFont="1" applyFill="1" applyBorder="1" applyAlignment="1">
      <alignment horizontal="center" vertical="top"/>
    </xf>
    <xf numFmtId="0" fontId="1673" fillId="5" borderId="3" xfId="0" applyFont="1" applyFill="1" applyBorder="1" applyAlignment="1">
      <alignment horizontal="center" vertical="top"/>
    </xf>
    <xf numFmtId="0" fontId="1674" fillId="3" borderId="3" xfId="0" applyFont="1" applyFill="1" applyBorder="1" applyAlignment="1">
      <alignment horizontal="left" vertical="top" wrapText="1"/>
    </xf>
    <xf numFmtId="0" fontId="1677" fillId="4" borderId="3" xfId="0" applyFont="1" applyFill="1" applyBorder="1" applyAlignment="1">
      <alignment horizontal="center" vertical="top" wrapText="1"/>
    </xf>
    <xf numFmtId="0" fontId="1678" fillId="5" borderId="3" xfId="0" applyFont="1" applyFill="1" applyBorder="1" applyAlignment="1">
      <alignment horizontal="left" vertical="top" wrapText="1"/>
    </xf>
    <xf numFmtId="0" fontId="1679" fillId="5" borderId="3" xfId="0" applyFont="1" applyFill="1" applyBorder="1" applyAlignment="1">
      <alignment horizontal="left" vertical="top" wrapText="1"/>
    </xf>
    <xf numFmtId="0" fontId="1680" fillId="5" borderId="3" xfId="0" applyFont="1" applyFill="1" applyBorder="1" applyAlignment="1">
      <alignment horizontal="left" vertical="top" wrapText="1"/>
    </xf>
    <xf numFmtId="0" fontId="1681" fillId="5" borderId="3" xfId="0" applyFont="1" applyFill="1" applyBorder="1" applyAlignment="1">
      <alignment horizontal="center" vertical="top"/>
    </xf>
    <xf numFmtId="0" fontId="1682" fillId="5" borderId="3" xfId="0" applyFont="1" applyFill="1" applyBorder="1" applyAlignment="1">
      <alignment horizontal="center" vertical="top"/>
    </xf>
    <xf numFmtId="0" fontId="1683" fillId="5" borderId="3" xfId="0" applyFont="1" applyFill="1" applyBorder="1" applyAlignment="1">
      <alignment horizontal="center" vertical="top"/>
    </xf>
    <xf numFmtId="0" fontId="1684" fillId="5" borderId="3" xfId="0" applyFont="1" applyFill="1" applyBorder="1" applyAlignment="1">
      <alignment horizontal="center" vertical="top"/>
    </xf>
    <xf numFmtId="0" fontId="1685" fillId="5" borderId="3" xfId="0" applyFont="1" applyFill="1" applyBorder="1" applyAlignment="1">
      <alignment horizontal="center" vertical="top"/>
    </xf>
    <xf numFmtId="0" fontId="1686" fillId="5" borderId="3" xfId="0" applyFont="1" applyFill="1" applyBorder="1" applyAlignment="1">
      <alignment horizontal="center" vertical="top"/>
    </xf>
    <xf numFmtId="0" fontId="1687" fillId="5" borderId="3" xfId="0" applyFont="1" applyFill="1" applyBorder="1" applyAlignment="1">
      <alignment horizontal="center" vertical="top"/>
    </xf>
    <xf numFmtId="0" fontId="1688" fillId="5" borderId="3" xfId="0" applyFont="1" applyFill="1" applyBorder="1" applyAlignment="1">
      <alignment horizontal="center" vertical="top"/>
    </xf>
    <xf numFmtId="0" fontId="1689" fillId="5" borderId="3" xfId="0" applyFont="1" applyFill="1" applyBorder="1" applyAlignment="1">
      <alignment horizontal="center" vertical="top"/>
    </xf>
    <xf numFmtId="0" fontId="1690" fillId="5" borderId="3" xfId="0" applyFont="1" applyFill="1" applyBorder="1" applyAlignment="1">
      <alignment horizontal="center" vertical="top"/>
    </xf>
    <xf numFmtId="0" fontId="1691" fillId="5" borderId="3" xfId="0" applyFont="1" applyFill="1" applyBorder="1" applyAlignment="1">
      <alignment horizontal="center" vertical="top"/>
    </xf>
    <xf numFmtId="0" fontId="1692" fillId="5" borderId="3" xfId="0" applyFont="1" applyFill="1" applyBorder="1" applyAlignment="1">
      <alignment horizontal="center" vertical="top"/>
    </xf>
    <xf numFmtId="0" fontId="1693" fillId="5" borderId="3" xfId="0" applyFont="1" applyFill="1" applyBorder="1" applyAlignment="1">
      <alignment horizontal="center" vertical="top"/>
    </xf>
    <xf numFmtId="0" fontId="1694" fillId="5" borderId="3" xfId="0" applyFont="1" applyFill="1" applyBorder="1" applyAlignment="1">
      <alignment horizontal="center" vertical="top"/>
    </xf>
    <xf numFmtId="0" fontId="1695" fillId="5" borderId="3" xfId="0" applyFont="1" applyFill="1" applyBorder="1" applyAlignment="1">
      <alignment horizontal="center" vertical="top"/>
    </xf>
    <xf numFmtId="0" fontId="1696" fillId="5" borderId="3" xfId="0" applyFont="1" applyFill="1" applyBorder="1" applyAlignment="1">
      <alignment horizontal="left" vertical="top" wrapText="1"/>
    </xf>
    <xf numFmtId="0" fontId="1697" fillId="5" borderId="3" xfId="0" applyFont="1" applyFill="1" applyBorder="1" applyAlignment="1">
      <alignment horizontal="left" vertical="top" wrapText="1"/>
    </xf>
    <xf numFmtId="0" fontId="1698" fillId="5" borderId="3" xfId="0" applyFont="1" applyFill="1" applyBorder="1" applyAlignment="1">
      <alignment horizontal="left" vertical="top" wrapText="1"/>
    </xf>
    <xf numFmtId="0" fontId="1699" fillId="5" borderId="3" xfId="0" applyFont="1" applyFill="1" applyBorder="1" applyAlignment="1">
      <alignment horizontal="left" vertical="top" wrapText="1"/>
    </xf>
    <xf numFmtId="0" fontId="1700" fillId="5" borderId="3" xfId="0" applyFont="1" applyFill="1" applyBorder="1" applyAlignment="1">
      <alignment horizontal="center" vertical="top"/>
    </xf>
    <xf numFmtId="0" fontId="1701" fillId="5" borderId="3" xfId="0" applyFont="1" applyFill="1" applyBorder="1" applyAlignment="1">
      <alignment horizontal="left" vertical="top" wrapText="1"/>
    </xf>
    <xf numFmtId="0" fontId="1702" fillId="5" borderId="3" xfId="0" applyFont="1" applyFill="1" applyBorder="1" applyAlignment="1">
      <alignment horizontal="left" vertical="top" wrapText="1"/>
    </xf>
    <xf numFmtId="0" fontId="1703" fillId="5" borderId="3" xfId="0" applyFont="1" applyFill="1" applyBorder="1" applyAlignment="1">
      <alignment horizontal="left" vertical="top" wrapText="1"/>
    </xf>
    <xf numFmtId="0" fontId="1704" fillId="5" borderId="3" xfId="0" applyFont="1" applyFill="1" applyBorder="1" applyAlignment="1">
      <alignment horizontal="left" vertical="top" wrapText="1"/>
    </xf>
    <xf numFmtId="0" fontId="1705" fillId="5" borderId="3" xfId="0" applyFont="1" applyFill="1" applyBorder="1" applyAlignment="1">
      <alignment horizontal="center" vertical="top"/>
    </xf>
    <xf numFmtId="0" fontId="1706" fillId="5" borderId="3" xfId="0" applyFont="1" applyFill="1" applyBorder="1" applyAlignment="1">
      <alignment horizontal="center" vertical="top"/>
    </xf>
    <xf numFmtId="0" fontId="1707" fillId="5" borderId="3" xfId="0" applyFont="1" applyFill="1" applyBorder="1" applyAlignment="1">
      <alignment horizontal="center" vertical="top"/>
    </xf>
    <xf numFmtId="0" fontId="1708" fillId="5" borderId="3" xfId="0" applyFont="1" applyFill="1" applyBorder="1" applyAlignment="1">
      <alignment horizontal="center" vertical="top"/>
    </xf>
    <xf numFmtId="0" fontId="1709" fillId="5" borderId="3" xfId="0" applyFont="1" applyFill="1" applyBorder="1" applyAlignment="1">
      <alignment horizontal="left" vertical="top" wrapText="1"/>
    </xf>
    <xf numFmtId="0" fontId="1712" fillId="5" borderId="3" xfId="0" applyFont="1" applyFill="1" applyBorder="1" applyAlignment="1">
      <alignment horizontal="center" vertical="top"/>
    </xf>
    <xf numFmtId="0" fontId="1779" fillId="5" borderId="3" xfId="0" applyFont="1" applyFill="1" applyBorder="1" applyAlignment="1">
      <alignment horizontal="left" vertical="top" wrapText="1"/>
    </xf>
    <xf numFmtId="0" fontId="1780" fillId="5" borderId="3" xfId="0" applyFont="1" applyFill="1" applyBorder="1" applyAlignment="1">
      <alignment horizontal="left" vertical="top" wrapText="1"/>
    </xf>
    <xf numFmtId="0" fontId="1781" fillId="5" borderId="3" xfId="0" applyFont="1" applyFill="1" applyBorder="1" applyAlignment="1">
      <alignment horizontal="left" vertical="top" wrapText="1"/>
    </xf>
    <xf numFmtId="0" fontId="1782" fillId="5" borderId="3" xfId="0" applyFont="1" applyFill="1" applyBorder="1" applyAlignment="1">
      <alignment horizontal="left" vertical="top" wrapText="1"/>
    </xf>
    <xf numFmtId="0" fontId="1783" fillId="5" borderId="3" xfId="0" applyFont="1" applyFill="1" applyBorder="1" applyAlignment="1">
      <alignment horizontal="left" vertical="top" wrapText="1"/>
    </xf>
    <xf numFmtId="0" fontId="1784" fillId="5" borderId="3" xfId="0" applyFont="1" applyFill="1" applyBorder="1" applyAlignment="1">
      <alignment horizontal="left" vertical="top" wrapText="1"/>
    </xf>
    <xf numFmtId="0" fontId="1785" fillId="5" borderId="3" xfId="0" applyFont="1" applyFill="1" applyBorder="1" applyAlignment="1">
      <alignment horizontal="left" vertical="top" wrapText="1"/>
    </xf>
    <xf numFmtId="0" fontId="1786" fillId="5" borderId="3" xfId="0" applyFont="1" applyFill="1" applyBorder="1" applyAlignment="1">
      <alignment horizontal="center" vertical="top"/>
    </xf>
    <xf numFmtId="0" fontId="1787" fillId="5" borderId="3" xfId="0" applyFont="1" applyFill="1" applyBorder="1" applyAlignment="1">
      <alignment horizontal="center" vertical="top"/>
    </xf>
    <xf numFmtId="0" fontId="1788" fillId="5" borderId="3" xfId="0" applyFont="1" applyFill="1" applyBorder="1" applyAlignment="1">
      <alignment horizontal="center" vertical="top"/>
    </xf>
    <xf numFmtId="0" fontId="1789" fillId="5" borderId="3" xfId="0" applyFont="1" applyFill="1" applyBorder="1" applyAlignment="1">
      <alignment horizontal="left" vertical="top" wrapText="1"/>
    </xf>
    <xf numFmtId="0" fontId="1790" fillId="5" borderId="3" xfId="0" applyFont="1" applyFill="1" applyBorder="1" applyAlignment="1">
      <alignment horizontal="left" vertical="top" wrapText="1"/>
    </xf>
    <xf numFmtId="0" fontId="1791" fillId="5" borderId="3" xfId="0" applyFont="1" applyFill="1" applyBorder="1" applyAlignment="1">
      <alignment horizontal="left" vertical="top" wrapText="1"/>
    </xf>
    <xf numFmtId="0" fontId="1792" fillId="5" borderId="3" xfId="0" applyFont="1" applyFill="1" applyBorder="1" applyAlignment="1">
      <alignment horizontal="left" vertical="top" wrapText="1"/>
    </xf>
    <xf numFmtId="0" fontId="1793" fillId="5" borderId="3" xfId="0" applyFont="1" applyFill="1" applyBorder="1" applyAlignment="1">
      <alignment horizontal="center" vertical="top"/>
    </xf>
    <xf numFmtId="0" fontId="1794" fillId="5" borderId="3" xfId="0" applyFont="1" applyFill="1" applyBorder="1" applyAlignment="1">
      <alignment horizontal="left" vertical="top" wrapText="1"/>
    </xf>
    <xf numFmtId="0" fontId="1795" fillId="5" borderId="3" xfId="0" applyFont="1" applyFill="1" applyBorder="1" applyAlignment="1">
      <alignment horizontal="left" vertical="top" wrapText="1"/>
    </xf>
    <xf numFmtId="0" fontId="1796" fillId="5" borderId="3" xfId="0" applyFont="1" applyFill="1" applyBorder="1" applyAlignment="1">
      <alignment horizontal="left" vertical="top" wrapText="1"/>
    </xf>
    <xf numFmtId="0" fontId="1797" fillId="5" borderId="3" xfId="0" applyFont="1" applyFill="1" applyBorder="1" applyAlignment="1">
      <alignment horizontal="left" vertical="top" wrapText="1"/>
    </xf>
    <xf numFmtId="0" fontId="1798" fillId="5" borderId="3" xfId="0" applyFont="1" applyFill="1" applyBorder="1" applyAlignment="1">
      <alignment horizontal="left" vertical="top" wrapText="1"/>
    </xf>
    <xf numFmtId="0" fontId="1799" fillId="5" borderId="3" xfId="0" applyFont="1" applyFill="1" applyBorder="1" applyAlignment="1">
      <alignment horizontal="left" vertical="top" wrapText="1"/>
    </xf>
    <xf numFmtId="0" fontId="1800" fillId="5" borderId="3" xfId="0" applyFont="1" applyFill="1" applyBorder="1" applyAlignment="1">
      <alignment horizontal="left" vertical="top" wrapText="1"/>
    </xf>
    <xf numFmtId="0" fontId="1801" fillId="5" borderId="3" xfId="0" applyFont="1" applyFill="1" applyBorder="1" applyAlignment="1">
      <alignment horizontal="left" vertical="top" wrapText="1"/>
    </xf>
    <xf numFmtId="0" fontId="1802" fillId="5" borderId="3" xfId="0" applyFont="1" applyFill="1" applyBorder="1" applyAlignment="1">
      <alignment horizontal="left" vertical="top" wrapText="1"/>
    </xf>
    <xf numFmtId="0" fontId="1803" fillId="5" borderId="3" xfId="0" applyFont="1" applyFill="1" applyBorder="1" applyAlignment="1">
      <alignment horizontal="center" vertical="top"/>
    </xf>
    <xf numFmtId="0" fontId="1804" fillId="5" borderId="3" xfId="0" applyFont="1" applyFill="1" applyBorder="1" applyAlignment="1">
      <alignment horizontal="center" vertical="top"/>
    </xf>
    <xf numFmtId="0" fontId="1805" fillId="5" borderId="3" xfId="0" applyFont="1" applyFill="1" applyBorder="1" applyAlignment="1">
      <alignment horizontal="center" vertical="top"/>
    </xf>
    <xf numFmtId="0" fontId="1806" fillId="5" borderId="3" xfId="0" applyFont="1" applyFill="1" applyBorder="1" applyAlignment="1">
      <alignment horizontal="center" vertical="top"/>
    </xf>
    <xf numFmtId="0" fontId="1807" fillId="5" borderId="3" xfId="0" applyFont="1" applyFill="1" applyBorder="1" applyAlignment="1">
      <alignment horizontal="center" vertical="top"/>
    </xf>
    <xf numFmtId="0" fontId="1808" fillId="5" borderId="3" xfId="0" applyFont="1" applyFill="1" applyBorder="1" applyAlignment="1">
      <alignment horizontal="center" vertical="top"/>
    </xf>
    <xf numFmtId="0" fontId="1809" fillId="5" borderId="3" xfId="0" applyFont="1" applyFill="1" applyBorder="1" applyAlignment="1">
      <alignment horizontal="center" vertical="top"/>
    </xf>
    <xf numFmtId="0" fontId="1810" fillId="5" borderId="3" xfId="0" applyFont="1" applyFill="1" applyBorder="1" applyAlignment="1">
      <alignment horizontal="center" vertical="top"/>
    </xf>
    <xf numFmtId="0" fontId="1811" fillId="5" borderId="3" xfId="0" applyFont="1" applyFill="1" applyBorder="1" applyAlignment="1">
      <alignment horizontal="center" vertical="top"/>
    </xf>
    <xf numFmtId="0" fontId="1812" fillId="5" borderId="3" xfId="0" applyFont="1" applyFill="1" applyBorder="1" applyAlignment="1">
      <alignment horizontal="center" vertical="top"/>
    </xf>
    <xf numFmtId="0" fontId="1813" fillId="5" borderId="3" xfId="0" applyFont="1" applyFill="1" applyBorder="1" applyAlignment="1">
      <alignment horizontal="center" vertical="top"/>
    </xf>
    <xf numFmtId="0" fontId="1814" fillId="5" borderId="3" xfId="0" applyFont="1" applyFill="1" applyBorder="1" applyAlignment="1">
      <alignment horizontal="center" vertical="top"/>
    </xf>
    <xf numFmtId="0" fontId="1815" fillId="5" borderId="3" xfId="0" applyFont="1" applyFill="1" applyBorder="1" applyAlignment="1">
      <alignment horizontal="center" vertical="top"/>
    </xf>
    <xf numFmtId="0" fontId="1816" fillId="5" borderId="3" xfId="0" applyFont="1" applyFill="1" applyBorder="1" applyAlignment="1">
      <alignment horizontal="center" vertical="top"/>
    </xf>
    <xf numFmtId="0" fontId="1817" fillId="5" borderId="3" xfId="0" applyFont="1" applyFill="1" applyBorder="1" applyAlignment="1">
      <alignment horizontal="left" vertical="top" wrapText="1"/>
    </xf>
    <xf numFmtId="0" fontId="1818" fillId="5" borderId="3" xfId="0" applyFont="1" applyFill="1" applyBorder="1" applyAlignment="1">
      <alignment horizontal="left" vertical="top" wrapText="1"/>
    </xf>
    <xf numFmtId="0" fontId="1819" fillId="5" borderId="3" xfId="0" applyFont="1" applyFill="1" applyBorder="1" applyAlignment="1">
      <alignment horizontal="left" vertical="top" wrapText="1"/>
    </xf>
    <xf numFmtId="0" fontId="1820" fillId="5" borderId="3" xfId="0" applyFont="1" applyFill="1" applyBorder="1" applyAlignment="1">
      <alignment horizontal="center" vertical="top"/>
    </xf>
    <xf numFmtId="0" fontId="1821" fillId="5" borderId="3" xfId="0" applyFont="1" applyFill="1" applyBorder="1" applyAlignment="1">
      <alignment horizontal="left" vertical="top" wrapText="1"/>
    </xf>
    <xf numFmtId="0" fontId="1822" fillId="5" borderId="3" xfId="0" applyFont="1" applyFill="1" applyBorder="1" applyAlignment="1">
      <alignment horizontal="left" vertical="top" wrapText="1"/>
    </xf>
    <xf numFmtId="0" fontId="1823" fillId="5" borderId="3" xfId="0" applyFont="1" applyFill="1" applyBorder="1" applyAlignment="1">
      <alignment horizontal="left" vertical="top" wrapText="1"/>
    </xf>
    <xf numFmtId="0" fontId="1824" fillId="5" borderId="3" xfId="0" applyFont="1" applyFill="1" applyBorder="1" applyAlignment="1">
      <alignment horizontal="center" vertical="top"/>
    </xf>
    <xf numFmtId="0" fontId="1825" fillId="5" borderId="3" xfId="0" applyFont="1" applyFill="1" applyBorder="1" applyAlignment="1">
      <alignment horizontal="left" vertical="top" wrapText="1"/>
    </xf>
    <xf numFmtId="0" fontId="1826" fillId="5" borderId="3" xfId="0" applyFont="1" applyFill="1" applyBorder="1" applyAlignment="1">
      <alignment horizontal="left" vertical="top" wrapText="1"/>
    </xf>
    <xf numFmtId="0" fontId="1827" fillId="5" borderId="3" xfId="0" applyFont="1" applyFill="1" applyBorder="1" applyAlignment="1">
      <alignment horizontal="left" vertical="top" wrapText="1"/>
    </xf>
    <xf numFmtId="0" fontId="1828" fillId="5" borderId="3" xfId="0" applyFont="1" applyFill="1" applyBorder="1" applyAlignment="1">
      <alignment horizontal="left" vertical="top" wrapText="1"/>
    </xf>
    <xf numFmtId="0" fontId="1829" fillId="5" borderId="3" xfId="0" applyFont="1" applyFill="1" applyBorder="1" applyAlignment="1">
      <alignment horizontal="left" vertical="top" wrapText="1"/>
    </xf>
    <xf numFmtId="0" fontId="1830" fillId="5" borderId="3" xfId="0" applyFont="1" applyFill="1" applyBorder="1" applyAlignment="1">
      <alignment horizontal="left" vertical="top" wrapText="1"/>
    </xf>
    <xf numFmtId="0" fontId="1831" fillId="5" borderId="3" xfId="0" applyFont="1" applyFill="1" applyBorder="1" applyAlignment="1">
      <alignment horizontal="left" vertical="top" wrapText="1"/>
    </xf>
    <xf numFmtId="0" fontId="1832" fillId="5" borderId="3" xfId="0" applyFont="1" applyFill="1" applyBorder="1" applyAlignment="1">
      <alignment horizontal="left" vertical="top" wrapText="1"/>
    </xf>
    <xf numFmtId="0" fontId="1833" fillId="5" borderId="3" xfId="0" applyFont="1" applyFill="1" applyBorder="1" applyAlignment="1">
      <alignment horizontal="left" vertical="top" wrapText="1"/>
    </xf>
    <xf numFmtId="0" fontId="1834" fillId="5" borderId="3" xfId="0" applyFont="1" applyFill="1" applyBorder="1" applyAlignment="1">
      <alignment horizontal="left" vertical="top" wrapText="1"/>
    </xf>
    <xf numFmtId="0" fontId="1835" fillId="5" borderId="3" xfId="0" applyFont="1" applyFill="1" applyBorder="1" applyAlignment="1">
      <alignment horizontal="left" vertical="top" wrapText="1"/>
    </xf>
    <xf numFmtId="0" fontId="1836" fillId="5" borderId="3" xfId="0" applyFont="1" applyFill="1" applyBorder="1" applyAlignment="1">
      <alignment horizontal="left" vertical="top" wrapText="1"/>
    </xf>
    <xf numFmtId="0" fontId="1837" fillId="5" borderId="3" xfId="0" applyFont="1" applyFill="1" applyBorder="1" applyAlignment="1">
      <alignment horizontal="left" vertical="top" wrapText="1"/>
    </xf>
    <xf numFmtId="0" fontId="1838" fillId="5" borderId="3" xfId="0" applyFont="1" applyFill="1" applyBorder="1" applyAlignment="1">
      <alignment horizontal="left" vertical="top" wrapText="1"/>
    </xf>
    <xf numFmtId="0" fontId="1839" fillId="5" borderId="3" xfId="0" applyFont="1" applyFill="1" applyBorder="1" applyAlignment="1">
      <alignment horizontal="left" vertical="top" wrapText="1"/>
    </xf>
    <xf numFmtId="0" fontId="1840" fillId="5" borderId="3" xfId="0" applyFont="1" applyFill="1" applyBorder="1" applyAlignment="1">
      <alignment horizontal="left" vertical="top" wrapText="1"/>
    </xf>
    <xf numFmtId="0" fontId="1857" fillId="5" borderId="3" xfId="0" applyFont="1" applyFill="1" applyBorder="1" applyAlignment="1">
      <alignment horizontal="center" vertical="top"/>
    </xf>
    <xf numFmtId="0" fontId="1858" fillId="5" borderId="3" xfId="0" applyFont="1" applyFill="1" applyBorder="1" applyAlignment="1">
      <alignment horizontal="center" vertical="top"/>
    </xf>
    <xf numFmtId="0" fontId="1859" fillId="5" borderId="3" xfId="0" applyFont="1" applyFill="1" applyBorder="1" applyAlignment="1">
      <alignment horizontal="center" vertical="top"/>
    </xf>
    <xf numFmtId="0" fontId="1860" fillId="5" borderId="3" xfId="0" applyFont="1" applyFill="1" applyBorder="1" applyAlignment="1">
      <alignment horizontal="left" vertical="top" wrapText="1"/>
    </xf>
    <xf numFmtId="0" fontId="1861" fillId="5" borderId="3" xfId="0" applyFont="1" applyFill="1" applyBorder="1" applyAlignment="1">
      <alignment horizontal="left" vertical="top" wrapText="1"/>
    </xf>
    <xf numFmtId="0" fontId="1862" fillId="5" borderId="3" xfId="0" applyFont="1" applyFill="1" applyBorder="1" applyAlignment="1">
      <alignment horizontal="left" vertical="top" wrapText="1"/>
    </xf>
    <xf numFmtId="0" fontId="1863" fillId="5" borderId="3" xfId="0" applyFont="1" applyFill="1" applyBorder="1" applyAlignment="1">
      <alignment horizontal="left" vertical="top" wrapText="1"/>
    </xf>
    <xf numFmtId="0" fontId="1864" fillId="5" borderId="3" xfId="0" applyFont="1" applyFill="1" applyBorder="1" applyAlignment="1">
      <alignment horizontal="center" vertical="top"/>
    </xf>
    <xf numFmtId="0" fontId="1865" fillId="5" borderId="3" xfId="0" applyFont="1" applyFill="1" applyBorder="1" applyAlignment="1">
      <alignment horizontal="center" vertical="top"/>
    </xf>
    <xf numFmtId="0" fontId="1866" fillId="5" borderId="3" xfId="0" applyFont="1" applyFill="1" applyBorder="1" applyAlignment="1">
      <alignment horizontal="center" vertical="top"/>
    </xf>
    <xf numFmtId="0" fontId="1867" fillId="5" borderId="3" xfId="0" applyFont="1" applyFill="1" applyBorder="1" applyAlignment="1">
      <alignment horizontal="center" vertical="top"/>
    </xf>
    <xf numFmtId="0" fontId="1868" fillId="5" borderId="3" xfId="0" applyFont="1" applyFill="1" applyBorder="1" applyAlignment="1">
      <alignment horizontal="center" vertical="top"/>
    </xf>
    <xf numFmtId="0" fontId="1869" fillId="5" borderId="3" xfId="0" applyFont="1" applyFill="1" applyBorder="1" applyAlignment="1">
      <alignment horizontal="center" vertical="top"/>
    </xf>
    <xf numFmtId="0" fontId="1870" fillId="5" borderId="3" xfId="0" applyFont="1" applyFill="1" applyBorder="1" applyAlignment="1">
      <alignment horizontal="center" vertical="top"/>
    </xf>
    <xf numFmtId="0" fontId="1871" fillId="5" borderId="3" xfId="0" applyFont="1" applyFill="1" applyBorder="1" applyAlignment="1">
      <alignment horizontal="center" vertical="top"/>
    </xf>
    <xf numFmtId="0" fontId="1872" fillId="5" borderId="3" xfId="0" applyFont="1" applyFill="1" applyBorder="1" applyAlignment="1">
      <alignment horizontal="center" vertical="top"/>
    </xf>
    <xf numFmtId="0" fontId="1873" fillId="5" borderId="3" xfId="0" applyFont="1" applyFill="1" applyBorder="1" applyAlignment="1">
      <alignment horizontal="center" vertical="top"/>
    </xf>
    <xf numFmtId="0" fontId="1874" fillId="5" borderId="3" xfId="0" applyFont="1" applyFill="1" applyBorder="1" applyAlignment="1">
      <alignment horizontal="center" vertical="top"/>
    </xf>
    <xf numFmtId="0" fontId="1875" fillId="5" borderId="3" xfId="0" applyFont="1" applyFill="1" applyBorder="1" applyAlignment="1">
      <alignment horizontal="center" vertical="top"/>
    </xf>
    <xf numFmtId="0" fontId="1876" fillId="5" borderId="3" xfId="0" applyFont="1" applyFill="1" applyBorder="1" applyAlignment="1">
      <alignment horizontal="center" vertical="top"/>
    </xf>
    <xf numFmtId="0" fontId="1877" fillId="5" borderId="3" xfId="0" applyFont="1" applyFill="1" applyBorder="1" applyAlignment="1">
      <alignment horizontal="center" vertical="top"/>
    </xf>
    <xf numFmtId="0" fontId="1878" fillId="5" borderId="3" xfId="0" applyFont="1" applyFill="1" applyBorder="1" applyAlignment="1">
      <alignment horizontal="left" vertical="top" wrapText="1"/>
    </xf>
    <xf numFmtId="0" fontId="1879" fillId="5" borderId="3" xfId="0" applyFont="1" applyFill="1" applyBorder="1" applyAlignment="1">
      <alignment horizontal="left" vertical="top" wrapText="1"/>
    </xf>
    <xf numFmtId="0" fontId="1880" fillId="5" borderId="3" xfId="0" applyFont="1" applyFill="1" applyBorder="1" applyAlignment="1">
      <alignment horizontal="left" vertical="top" wrapText="1"/>
    </xf>
    <xf numFmtId="0" fontId="1881" fillId="5" borderId="3" xfId="0" applyFont="1" applyFill="1" applyBorder="1" applyAlignment="1">
      <alignment horizontal="left" vertical="top" wrapText="1"/>
    </xf>
    <xf numFmtId="0" fontId="1882" fillId="5" borderId="3" xfId="0" applyFont="1" applyFill="1" applyBorder="1" applyAlignment="1">
      <alignment horizontal="left" vertical="top" wrapText="1"/>
    </xf>
    <xf numFmtId="0" fontId="1883" fillId="5" borderId="3" xfId="0" applyFont="1" applyFill="1" applyBorder="1" applyAlignment="1">
      <alignment horizontal="left" vertical="top" wrapText="1"/>
    </xf>
    <xf numFmtId="0" fontId="1884" fillId="5" borderId="3" xfId="0" applyFont="1" applyFill="1" applyBorder="1" applyAlignment="1">
      <alignment horizontal="left" vertical="top" wrapText="1"/>
    </xf>
    <xf numFmtId="0" fontId="1885" fillId="5" borderId="3" xfId="0" applyFont="1" applyFill="1" applyBorder="1" applyAlignment="1">
      <alignment horizontal="left" vertical="top" wrapText="1"/>
    </xf>
    <xf numFmtId="0" fontId="1886" fillId="5" borderId="3" xfId="0" applyFont="1" applyFill="1" applyBorder="1" applyAlignment="1">
      <alignment horizontal="left" vertical="top" wrapText="1"/>
    </xf>
    <xf numFmtId="0" fontId="1887" fillId="5" borderId="3" xfId="0" applyFont="1" applyFill="1" applyBorder="1" applyAlignment="1">
      <alignment horizontal="left" vertical="top" wrapText="1"/>
    </xf>
    <xf numFmtId="0" fontId="1888" fillId="5" borderId="3" xfId="0" applyFont="1" applyFill="1" applyBorder="1" applyAlignment="1">
      <alignment horizontal="left" vertical="top" wrapText="1"/>
    </xf>
    <xf numFmtId="0" fontId="1889" fillId="5" borderId="3" xfId="0" applyFont="1" applyFill="1" applyBorder="1" applyAlignment="1">
      <alignment horizontal="left" vertical="top" wrapText="1"/>
    </xf>
    <xf numFmtId="0" fontId="1890" fillId="5" borderId="3" xfId="0" applyFont="1" applyFill="1" applyBorder="1" applyAlignment="1">
      <alignment horizontal="left" vertical="top" wrapText="1"/>
    </xf>
    <xf numFmtId="0" fontId="1891" fillId="5" borderId="3" xfId="0" applyFont="1" applyFill="1" applyBorder="1" applyAlignment="1">
      <alignment horizontal="left" vertical="top" wrapText="1"/>
    </xf>
    <xf numFmtId="0" fontId="1892" fillId="5" borderId="3" xfId="0" applyFont="1" applyFill="1" applyBorder="1" applyAlignment="1">
      <alignment horizontal="left" vertical="top" wrapText="1"/>
    </xf>
    <xf numFmtId="0" fontId="1893" fillId="5" borderId="3" xfId="0" applyFont="1" applyFill="1" applyBorder="1" applyAlignment="1">
      <alignment horizontal="left" vertical="top" wrapText="1"/>
    </xf>
    <xf numFmtId="0" fontId="1894" fillId="5" borderId="3" xfId="0" applyFont="1" applyFill="1" applyBorder="1" applyAlignment="1">
      <alignment horizontal="left" vertical="top" wrapText="1"/>
    </xf>
    <xf numFmtId="0" fontId="1895" fillId="5" borderId="3" xfId="0" applyFont="1" applyFill="1" applyBorder="1" applyAlignment="1">
      <alignment horizontal="left" vertical="top" wrapText="1"/>
    </xf>
    <xf numFmtId="0" fontId="1896" fillId="5" borderId="3" xfId="0" applyFont="1" applyFill="1" applyBorder="1" applyAlignment="1">
      <alignment horizontal="left" vertical="top" wrapText="1"/>
    </xf>
    <xf numFmtId="0" fontId="1897" fillId="5" borderId="3" xfId="0" applyFont="1" applyFill="1" applyBorder="1" applyAlignment="1">
      <alignment horizontal="left" vertical="top" wrapText="1"/>
    </xf>
    <xf numFmtId="0" fontId="1898" fillId="5" borderId="3" xfId="0" applyFont="1" applyFill="1" applyBorder="1" applyAlignment="1">
      <alignment horizontal="left" vertical="top" wrapText="1"/>
    </xf>
    <xf numFmtId="0" fontId="1899" fillId="5" borderId="3" xfId="0" applyFont="1" applyFill="1" applyBorder="1" applyAlignment="1">
      <alignment horizontal="left" vertical="top" wrapText="1"/>
    </xf>
    <xf numFmtId="0" fontId="1900" fillId="5" borderId="3" xfId="0" applyFont="1" applyFill="1" applyBorder="1" applyAlignment="1">
      <alignment horizontal="left" vertical="top" wrapText="1"/>
    </xf>
    <xf numFmtId="0" fontId="1901" fillId="5" borderId="3" xfId="0" applyFont="1" applyFill="1" applyBorder="1" applyAlignment="1">
      <alignment horizontal="left" vertical="top" wrapText="1"/>
    </xf>
    <xf numFmtId="0" fontId="1902" fillId="5" borderId="3" xfId="0" applyFont="1" applyFill="1" applyBorder="1" applyAlignment="1">
      <alignment horizontal="left" vertical="top" wrapText="1"/>
    </xf>
    <xf numFmtId="0" fontId="1946" fillId="5" borderId="3" xfId="0" applyFont="1" applyFill="1" applyBorder="1" applyAlignment="1">
      <alignment horizontal="center" vertical="top"/>
    </xf>
    <xf numFmtId="0" fontId="1965" fillId="5" borderId="3" xfId="0" applyFont="1" applyFill="1" applyBorder="1" applyAlignment="1">
      <alignment horizontal="left" vertical="top" wrapText="1"/>
    </xf>
    <xf numFmtId="0" fontId="1966" fillId="5" borderId="3" xfId="0" applyFont="1" applyFill="1" applyBorder="1" applyAlignment="1">
      <alignment horizontal="center" vertical="top"/>
    </xf>
    <xf numFmtId="0" fontId="1967" fillId="5" borderId="3" xfId="0" applyFont="1" applyFill="1" applyBorder="1" applyAlignment="1">
      <alignment horizontal="left" vertical="top" wrapText="1"/>
    </xf>
    <xf numFmtId="0" fontId="1968" fillId="5" borderId="3" xfId="0" applyFont="1" applyFill="1" applyBorder="1" applyAlignment="1">
      <alignment horizontal="left" vertical="top" wrapText="1"/>
    </xf>
    <xf numFmtId="0" fontId="1969" fillId="5" borderId="3" xfId="0" applyFont="1" applyFill="1" applyBorder="1" applyAlignment="1">
      <alignment horizontal="left" vertical="top" wrapText="1"/>
    </xf>
    <xf numFmtId="0" fontId="1970" fillId="5" borderId="3" xfId="0" applyFont="1" applyFill="1" applyBorder="1" applyAlignment="1">
      <alignment horizontal="left" vertical="top" wrapText="1"/>
    </xf>
    <xf numFmtId="0" fontId="1971" fillId="5" borderId="3" xfId="0" applyFont="1" applyFill="1" applyBorder="1" applyAlignment="1">
      <alignment horizontal="left" vertical="top" wrapText="1"/>
    </xf>
    <xf numFmtId="0" fontId="1972" fillId="5" borderId="3" xfId="0" applyFont="1" applyFill="1" applyBorder="1" applyAlignment="1">
      <alignment horizontal="left" vertical="top" wrapText="1"/>
    </xf>
    <xf numFmtId="0" fontId="1973" fillId="5" borderId="3" xfId="0" applyFont="1" applyFill="1" applyBorder="1" applyAlignment="1">
      <alignment horizontal="left" vertical="top" wrapText="1"/>
    </xf>
    <xf numFmtId="0" fontId="1974" fillId="5" borderId="3" xfId="0" applyFont="1" applyFill="1" applyBorder="1" applyAlignment="1">
      <alignment horizontal="left" vertical="top" wrapText="1"/>
    </xf>
    <xf numFmtId="0" fontId="1975" fillId="5" borderId="3" xfId="0" applyFont="1" applyFill="1" applyBorder="1" applyAlignment="1">
      <alignment horizontal="left" vertical="top" wrapText="1"/>
    </xf>
    <xf numFmtId="0" fontId="1976" fillId="5" borderId="3" xfId="0" applyFont="1" applyFill="1" applyBorder="1" applyAlignment="1">
      <alignment horizontal="left" vertical="top" wrapText="1"/>
    </xf>
    <xf numFmtId="0" fontId="1977" fillId="5" borderId="3" xfId="0" applyFont="1" applyFill="1" applyBorder="1" applyAlignment="1">
      <alignment horizontal="left" vertical="top" wrapText="1"/>
    </xf>
    <xf numFmtId="0" fontId="1978" fillId="5" borderId="3" xfId="0" applyFont="1" applyFill="1" applyBorder="1" applyAlignment="1">
      <alignment horizontal="left" vertical="top" wrapText="1"/>
    </xf>
    <xf numFmtId="0" fontId="1979" fillId="5" borderId="3" xfId="0" applyFont="1" applyFill="1" applyBorder="1" applyAlignment="1">
      <alignment horizontal="left" vertical="top" wrapText="1"/>
    </xf>
    <xf numFmtId="0" fontId="1980" fillId="5" borderId="3" xfId="0" applyFont="1" applyFill="1" applyBorder="1" applyAlignment="1">
      <alignment horizontal="left" vertical="top" wrapText="1"/>
    </xf>
    <xf numFmtId="0" fontId="1981" fillId="5" borderId="3" xfId="0" applyFont="1" applyFill="1" applyBorder="1" applyAlignment="1">
      <alignment horizontal="left" vertical="top" wrapText="1"/>
    </xf>
    <xf numFmtId="0" fontId="1982" fillId="5" borderId="3" xfId="0" applyFont="1" applyFill="1" applyBorder="1" applyAlignment="1">
      <alignment horizontal="left" vertical="top" wrapText="1"/>
    </xf>
    <xf numFmtId="0" fontId="1983" fillId="5" borderId="3" xfId="0" applyFont="1" applyFill="1" applyBorder="1" applyAlignment="1">
      <alignment horizontal="left" vertical="top" wrapText="1"/>
    </xf>
    <xf numFmtId="0" fontId="1984" fillId="5" borderId="3" xfId="0" applyFont="1" applyFill="1" applyBorder="1" applyAlignment="1">
      <alignment horizontal="left" vertical="top" wrapText="1"/>
    </xf>
    <xf numFmtId="0" fontId="1985" fillId="5" borderId="3" xfId="0" applyFont="1" applyFill="1" applyBorder="1" applyAlignment="1">
      <alignment horizontal="left" vertical="top" wrapText="1"/>
    </xf>
    <xf numFmtId="0" fontId="1986" fillId="5" borderId="3" xfId="0" applyFont="1" applyFill="1" applyBorder="1" applyAlignment="1">
      <alignment horizontal="left" vertical="top" wrapText="1"/>
    </xf>
    <xf numFmtId="0" fontId="1987" fillId="5" borderId="3" xfId="0" applyFont="1" applyFill="1" applyBorder="1" applyAlignment="1">
      <alignment horizontal="left" vertical="top" wrapText="1"/>
    </xf>
    <xf numFmtId="0" fontId="1988" fillId="5" borderId="3" xfId="0" applyFont="1" applyFill="1" applyBorder="1" applyAlignment="1">
      <alignment horizontal="left" vertical="top" wrapText="1"/>
    </xf>
    <xf numFmtId="0" fontId="1989" fillId="5" borderId="3" xfId="0" applyFont="1" applyFill="1" applyBorder="1" applyAlignment="1">
      <alignment horizontal="left" vertical="top" wrapText="1"/>
    </xf>
    <xf numFmtId="0" fontId="1990" fillId="5" borderId="3" xfId="0" applyFont="1" applyFill="1" applyBorder="1" applyAlignment="1">
      <alignment horizontal="left" vertical="top" wrapText="1"/>
    </xf>
    <xf numFmtId="0" fontId="1991" fillId="5" borderId="3" xfId="0" applyFont="1" applyFill="1" applyBorder="1" applyAlignment="1">
      <alignment horizontal="left" vertical="top" wrapText="1"/>
    </xf>
    <xf numFmtId="0" fontId="1992" fillId="5" borderId="3" xfId="0" applyFont="1" applyFill="1" applyBorder="1" applyAlignment="1">
      <alignment horizontal="left" vertical="top" wrapText="1"/>
    </xf>
    <xf numFmtId="0" fontId="1993" fillId="5" borderId="3" xfId="0" applyFont="1" applyFill="1" applyBorder="1" applyAlignment="1">
      <alignment horizontal="left" vertical="top" wrapText="1"/>
    </xf>
    <xf numFmtId="0" fontId="1994" fillId="5" borderId="3" xfId="0" applyFont="1" applyFill="1" applyBorder="1" applyAlignment="1">
      <alignment horizontal="center" vertical="top"/>
    </xf>
    <xf numFmtId="0" fontId="1995" fillId="5" borderId="3" xfId="0" applyFont="1" applyFill="1" applyBorder="1" applyAlignment="1">
      <alignment horizontal="center" vertical="top"/>
    </xf>
    <xf numFmtId="0" fontId="1996" fillId="5" borderId="3" xfId="0" applyFont="1" applyFill="1" applyBorder="1" applyAlignment="1">
      <alignment horizontal="center" vertical="top"/>
    </xf>
    <xf numFmtId="0" fontId="1997" fillId="5" borderId="3" xfId="0" applyFont="1" applyFill="1" applyBorder="1" applyAlignment="1">
      <alignment horizontal="center" vertical="top"/>
    </xf>
    <xf numFmtId="0" fontId="1998" fillId="5" borderId="3" xfId="0" applyFont="1" applyFill="1" applyBorder="1" applyAlignment="1">
      <alignment horizontal="center" vertical="top"/>
    </xf>
    <xf numFmtId="0" fontId="1999" fillId="5" borderId="3" xfId="0" applyFont="1" applyFill="1" applyBorder="1" applyAlignment="1">
      <alignment horizontal="center" vertical="top"/>
    </xf>
    <xf numFmtId="0" fontId="2000" fillId="5" borderId="3" xfId="0" applyFont="1" applyFill="1" applyBorder="1" applyAlignment="1">
      <alignment horizontal="center" vertical="top"/>
    </xf>
    <xf numFmtId="0" fontId="2001" fillId="5" borderId="3" xfId="0" applyFont="1" applyFill="1" applyBorder="1" applyAlignment="1">
      <alignment horizontal="center" vertical="top"/>
    </xf>
    <xf numFmtId="0" fontId="2002" fillId="5" borderId="3" xfId="0" applyFont="1" applyFill="1" applyBorder="1" applyAlignment="1">
      <alignment horizontal="center" vertical="top"/>
    </xf>
    <xf numFmtId="0" fontId="2003" fillId="5" borderId="3" xfId="0" applyFont="1" applyFill="1" applyBorder="1" applyAlignment="1">
      <alignment horizontal="center" vertical="top"/>
    </xf>
    <xf numFmtId="0" fontId="2004" fillId="5" borderId="3" xfId="0" applyFont="1" applyFill="1" applyBorder="1" applyAlignment="1">
      <alignment horizontal="left" vertical="top" wrapText="1"/>
    </xf>
    <xf numFmtId="0" fontId="2005" fillId="5" borderId="3" xfId="0" applyFont="1" applyFill="1" applyBorder="1" applyAlignment="1">
      <alignment horizontal="left" vertical="top" wrapText="1"/>
    </xf>
    <xf numFmtId="0" fontId="2006" fillId="5" borderId="3" xfId="0" applyFont="1" applyFill="1" applyBorder="1" applyAlignment="1">
      <alignment horizontal="left" vertical="top" wrapText="1"/>
    </xf>
    <xf numFmtId="0" fontId="2007" fillId="5" borderId="3" xfId="0" applyFont="1" applyFill="1" applyBorder="1" applyAlignment="1">
      <alignment horizontal="left" vertical="top" wrapText="1"/>
    </xf>
    <xf numFmtId="0" fontId="2008" fillId="5" borderId="3" xfId="0" applyFont="1" applyFill="1" applyBorder="1" applyAlignment="1">
      <alignment horizontal="left" vertical="top" wrapText="1"/>
    </xf>
    <xf numFmtId="0" fontId="2009" fillId="5" borderId="3" xfId="0" applyFont="1" applyFill="1" applyBorder="1" applyAlignment="1">
      <alignment horizontal="left" vertical="top" wrapText="1"/>
    </xf>
    <xf numFmtId="0" fontId="2010" fillId="5" borderId="3" xfId="0" applyFont="1" applyFill="1" applyBorder="1" applyAlignment="1">
      <alignment horizontal="left" vertical="top" wrapText="1"/>
    </xf>
    <xf numFmtId="0" fontId="2011" fillId="5" borderId="3" xfId="0" applyFont="1" applyFill="1" applyBorder="1" applyAlignment="1">
      <alignment horizontal="left" vertical="top" wrapText="1"/>
    </xf>
    <xf numFmtId="0" fontId="2012" fillId="5" borderId="3" xfId="0" applyFont="1" applyFill="1" applyBorder="1" applyAlignment="1">
      <alignment horizontal="left" vertical="top" wrapText="1"/>
    </xf>
    <xf numFmtId="0" fontId="2013" fillId="5" borderId="3" xfId="0" applyFont="1" applyFill="1" applyBorder="1" applyAlignment="1">
      <alignment horizontal="left" vertical="top" wrapText="1"/>
    </xf>
    <xf numFmtId="0" fontId="2014" fillId="5" borderId="3" xfId="0" applyFont="1" applyFill="1" applyBorder="1" applyAlignment="1">
      <alignment horizontal="left" vertical="top" wrapText="1"/>
    </xf>
    <xf numFmtId="0" fontId="2015" fillId="5" borderId="3" xfId="0" applyFont="1" applyFill="1" applyBorder="1" applyAlignment="1">
      <alignment horizontal="left" vertical="top" wrapText="1"/>
    </xf>
    <xf numFmtId="0" fontId="2016" fillId="5" borderId="3" xfId="0" applyFont="1" applyFill="1" applyBorder="1" applyAlignment="1">
      <alignment horizontal="left" vertical="top" wrapText="1"/>
    </xf>
    <xf numFmtId="0" fontId="2017" fillId="5" borderId="3" xfId="0" applyFont="1" applyFill="1" applyBorder="1" applyAlignment="1">
      <alignment horizontal="left" vertical="top" wrapText="1"/>
    </xf>
    <xf numFmtId="0" fontId="2018" fillId="5" borderId="3" xfId="0" applyFont="1" applyFill="1" applyBorder="1" applyAlignment="1">
      <alignment horizontal="left" vertical="top" wrapText="1"/>
    </xf>
    <xf numFmtId="0" fontId="2019" fillId="5" borderId="3" xfId="0" applyFont="1" applyFill="1" applyBorder="1" applyAlignment="1">
      <alignment horizontal="left" vertical="top" wrapText="1"/>
    </xf>
    <xf numFmtId="0" fontId="2020" fillId="5" borderId="3" xfId="0" applyFont="1" applyFill="1" applyBorder="1" applyAlignment="1">
      <alignment horizontal="left" vertical="top" wrapText="1"/>
    </xf>
    <xf numFmtId="0" fontId="2021" fillId="5" borderId="3" xfId="0" applyFont="1" applyFill="1" applyBorder="1" applyAlignment="1">
      <alignment horizontal="left" vertical="top" wrapText="1"/>
    </xf>
    <xf numFmtId="0" fontId="2022" fillId="5" borderId="3" xfId="0" applyFont="1" applyFill="1" applyBorder="1" applyAlignment="1">
      <alignment horizontal="left" vertical="top" wrapText="1"/>
    </xf>
    <xf numFmtId="0" fontId="2023" fillId="5" borderId="3" xfId="0" applyFont="1" applyFill="1" applyBorder="1" applyAlignment="1">
      <alignment horizontal="left" vertical="top" wrapText="1"/>
    </xf>
    <xf numFmtId="0" fontId="2024" fillId="5" borderId="3" xfId="0" applyFont="1" applyFill="1" applyBorder="1" applyAlignment="1">
      <alignment horizontal="left" vertical="top" wrapText="1"/>
    </xf>
    <xf numFmtId="0" fontId="2025" fillId="5" borderId="3" xfId="0" applyFont="1" applyFill="1" applyBorder="1" applyAlignment="1">
      <alignment horizontal="left" vertical="top" wrapText="1"/>
    </xf>
    <xf numFmtId="0" fontId="2026" fillId="5" borderId="3" xfId="0" applyFont="1" applyFill="1" applyBorder="1" applyAlignment="1">
      <alignment horizontal="left" vertical="top" wrapText="1"/>
    </xf>
    <xf numFmtId="0" fontId="2027" fillId="5" borderId="3" xfId="0" applyFont="1" applyFill="1" applyBorder="1" applyAlignment="1">
      <alignment horizontal="left" vertical="top" wrapText="1"/>
    </xf>
    <xf numFmtId="0" fontId="2028" fillId="5" borderId="3" xfId="0" applyFont="1" applyFill="1" applyBorder="1" applyAlignment="1">
      <alignment horizontal="left" vertical="top" wrapText="1"/>
    </xf>
    <xf numFmtId="0" fontId="2034" fillId="5" borderId="3" xfId="0" applyFont="1" applyFill="1" applyBorder="1" applyAlignment="1">
      <alignment horizontal="left" vertical="top" wrapText="1"/>
    </xf>
    <xf numFmtId="0" fontId="2035" fillId="5" borderId="3" xfId="0" applyFont="1" applyFill="1" applyBorder="1" applyAlignment="1">
      <alignment horizontal="left" vertical="top" wrapText="1"/>
    </xf>
    <xf numFmtId="0" fontId="2036" fillId="5" borderId="3" xfId="0" applyFont="1" applyFill="1" applyBorder="1" applyAlignment="1">
      <alignment horizontal="left" vertical="top" wrapText="1"/>
    </xf>
    <xf numFmtId="0" fontId="2037" fillId="5" borderId="3" xfId="0" applyFont="1" applyFill="1" applyBorder="1" applyAlignment="1">
      <alignment horizontal="left" vertical="top" wrapText="1"/>
    </xf>
    <xf numFmtId="0" fontId="2038" fillId="5" borderId="3" xfId="0" applyFont="1" applyFill="1" applyBorder="1" applyAlignment="1">
      <alignment horizontal="left" vertical="top" wrapText="1"/>
    </xf>
    <xf numFmtId="0" fontId="2039" fillId="5" borderId="3" xfId="0" applyFont="1" applyFill="1" applyBorder="1" applyAlignment="1">
      <alignment horizontal="left" vertical="top" wrapText="1"/>
    </xf>
    <xf numFmtId="0" fontId="2040" fillId="5" borderId="3" xfId="0" applyFont="1" applyFill="1" applyBorder="1" applyAlignment="1">
      <alignment horizontal="left" vertical="top" wrapText="1"/>
    </xf>
    <xf numFmtId="0" fontId="2041" fillId="5" borderId="3" xfId="0" applyFont="1" applyFill="1" applyBorder="1" applyAlignment="1">
      <alignment horizontal="left" vertical="top" wrapText="1"/>
    </xf>
    <xf numFmtId="0" fontId="2042" fillId="5" borderId="3" xfId="0" applyFont="1" applyFill="1" applyBorder="1" applyAlignment="1">
      <alignment horizontal="left" vertical="top" wrapText="1"/>
    </xf>
    <xf numFmtId="0" fontId="2043" fillId="5" borderId="3" xfId="0" applyFont="1" applyFill="1" applyBorder="1" applyAlignment="1">
      <alignment horizontal="left" vertical="top" wrapText="1"/>
    </xf>
    <xf numFmtId="0" fontId="2044" fillId="5" borderId="3" xfId="0" applyFont="1" applyFill="1" applyBorder="1" applyAlignment="1">
      <alignment horizontal="center" vertical="top"/>
    </xf>
    <xf numFmtId="0" fontId="2045" fillId="5" borderId="3" xfId="0" applyFont="1" applyFill="1" applyBorder="1" applyAlignment="1">
      <alignment horizontal="center" vertical="top"/>
    </xf>
    <xf numFmtId="0" fontId="2046" fillId="5" borderId="3" xfId="0" applyFont="1" applyFill="1" applyBorder="1" applyAlignment="1">
      <alignment horizontal="center" vertical="top"/>
    </xf>
    <xf numFmtId="0" fontId="2047" fillId="5" borderId="3" xfId="0" applyFont="1" applyFill="1" applyBorder="1" applyAlignment="1">
      <alignment horizontal="center" vertical="top"/>
    </xf>
    <xf numFmtId="0" fontId="2048" fillId="5" borderId="3" xfId="0" applyFont="1" applyFill="1" applyBorder="1" applyAlignment="1">
      <alignment horizontal="center" vertical="top"/>
    </xf>
    <xf numFmtId="0" fontId="2049" fillId="5" borderId="3" xfId="0" applyFont="1" applyFill="1" applyBorder="1" applyAlignment="1">
      <alignment horizontal="center" vertical="top"/>
    </xf>
    <xf numFmtId="0" fontId="2050" fillId="5" borderId="3" xfId="0" applyFont="1" applyFill="1" applyBorder="1" applyAlignment="1">
      <alignment horizontal="center" vertical="top"/>
    </xf>
    <xf numFmtId="0" fontId="2051" fillId="5" borderId="3" xfId="0" applyFont="1" applyFill="1" applyBorder="1" applyAlignment="1">
      <alignment horizontal="left" vertical="top" wrapText="1"/>
    </xf>
    <xf numFmtId="0" fontId="2052" fillId="5" borderId="3" xfId="0" applyFont="1" applyFill="1" applyBorder="1" applyAlignment="1">
      <alignment horizontal="left" vertical="top" wrapText="1"/>
    </xf>
    <xf numFmtId="0" fontId="2053" fillId="5" borderId="3" xfId="0" applyFont="1" applyFill="1" applyBorder="1" applyAlignment="1">
      <alignment horizontal="left" vertical="top" wrapText="1"/>
    </xf>
    <xf numFmtId="0" fontId="2054" fillId="5" borderId="3" xfId="0" applyFont="1" applyFill="1" applyBorder="1" applyAlignment="1">
      <alignment horizontal="left" vertical="top" wrapText="1"/>
    </xf>
    <xf numFmtId="0" fontId="2055" fillId="3" borderId="3" xfId="0" applyFont="1" applyFill="1" applyBorder="1" applyAlignment="1">
      <alignment horizontal="left" vertical="top" wrapText="1"/>
    </xf>
    <xf numFmtId="0" fontId="2057" fillId="4" borderId="3" xfId="0" applyFont="1" applyFill="1" applyBorder="1" applyAlignment="1">
      <alignment horizontal="center" vertical="top" wrapText="1"/>
    </xf>
    <xf numFmtId="0" fontId="2067" fillId="5" borderId="3" xfId="0" applyFont="1" applyFill="1" applyBorder="1" applyAlignment="1">
      <alignment horizontal="left" vertical="top" wrapText="1"/>
    </xf>
    <xf numFmtId="0" fontId="2068" fillId="5" borderId="3" xfId="0" applyFont="1" applyFill="1" applyBorder="1" applyAlignment="1">
      <alignment horizontal="left" vertical="top" wrapText="1"/>
    </xf>
    <xf numFmtId="0" fontId="2069" fillId="5" borderId="3" xfId="0" applyFont="1" applyFill="1" applyBorder="1" applyAlignment="1">
      <alignment horizontal="left" vertical="top" wrapText="1"/>
    </xf>
    <xf numFmtId="0" fontId="2070" fillId="5" borderId="3" xfId="0" applyFont="1" applyFill="1" applyBorder="1" applyAlignment="1">
      <alignment horizontal="left" vertical="top" wrapText="1"/>
    </xf>
    <xf numFmtId="0" fontId="2071" fillId="5" borderId="3" xfId="0" applyFont="1" applyFill="1" applyBorder="1" applyAlignment="1">
      <alignment horizontal="left" vertical="top" wrapText="1"/>
    </xf>
    <xf numFmtId="0" fontId="2072" fillId="5" borderId="3" xfId="0" applyFont="1" applyFill="1" applyBorder="1" applyAlignment="1">
      <alignment horizontal="left" vertical="top" wrapText="1"/>
    </xf>
    <xf numFmtId="0" fontId="2073" fillId="5" borderId="3" xfId="0" applyFont="1" applyFill="1" applyBorder="1" applyAlignment="1">
      <alignment horizontal="left" vertical="top" wrapText="1"/>
    </xf>
    <xf numFmtId="0" fontId="2074" fillId="5" borderId="3" xfId="0" applyFont="1" applyFill="1" applyBorder="1" applyAlignment="1">
      <alignment horizontal="center" vertical="top"/>
    </xf>
    <xf numFmtId="0" fontId="2075" fillId="5" borderId="3" xfId="0" applyFont="1" applyFill="1" applyBorder="1" applyAlignment="1">
      <alignment horizontal="left" vertical="top" wrapText="1"/>
    </xf>
    <xf numFmtId="0" fontId="2076" fillId="5" borderId="3" xfId="0" applyFont="1" applyFill="1" applyBorder="1" applyAlignment="1">
      <alignment horizontal="left" vertical="top" wrapText="1"/>
    </xf>
    <xf numFmtId="0" fontId="2116" fillId="5" borderId="3" xfId="0" applyFont="1" applyFill="1" applyBorder="1" applyAlignment="1">
      <alignment horizontal="left" vertical="top" wrapText="1"/>
    </xf>
    <xf numFmtId="0" fontId="2117" fillId="5" borderId="3" xfId="0" applyFont="1" applyFill="1" applyBorder="1" applyAlignment="1">
      <alignment horizontal="left" vertical="top" wrapText="1"/>
    </xf>
    <xf numFmtId="0" fontId="2118" fillId="5" borderId="3" xfId="0" applyFont="1" applyFill="1" applyBorder="1" applyAlignment="1">
      <alignment horizontal="left" vertical="top" wrapText="1"/>
    </xf>
    <xf numFmtId="0" fontId="2119" fillId="5" borderId="3" xfId="0" applyFont="1" applyFill="1" applyBorder="1" applyAlignment="1">
      <alignment horizontal="center" vertical="top"/>
    </xf>
    <xf numFmtId="0" fontId="2120" fillId="5" borderId="3" xfId="0" applyFont="1" applyFill="1" applyBorder="1" applyAlignment="1">
      <alignment horizontal="center" vertical="top"/>
    </xf>
    <xf numFmtId="0" fontId="2121" fillId="5" borderId="3" xfId="0" applyFont="1" applyFill="1" applyBorder="1" applyAlignment="1">
      <alignment horizontal="center" vertical="top"/>
    </xf>
    <xf numFmtId="0" fontId="2122" fillId="5" borderId="3" xfId="0" applyFont="1" applyFill="1" applyBorder="1" applyAlignment="1">
      <alignment horizontal="center" vertical="top"/>
    </xf>
    <xf numFmtId="0" fontId="2123" fillId="5" borderId="3" xfId="0" applyFont="1" applyFill="1" applyBorder="1" applyAlignment="1">
      <alignment horizontal="left" vertical="top" wrapText="1"/>
    </xf>
    <xf numFmtId="0" fontId="2124" fillId="5" borderId="3" xfId="0" applyFont="1" applyFill="1" applyBorder="1" applyAlignment="1">
      <alignment horizontal="left" vertical="top" wrapText="1"/>
    </xf>
    <xf numFmtId="0" fontId="2125" fillId="5" borderId="3" xfId="0" applyFont="1" applyFill="1" applyBorder="1" applyAlignment="1">
      <alignment horizontal="left" vertical="top" wrapText="1"/>
    </xf>
    <xf numFmtId="0" fontId="2126" fillId="5" borderId="3" xfId="0" applyFont="1" applyFill="1" applyBorder="1" applyAlignment="1">
      <alignment horizontal="left" vertical="top" wrapText="1"/>
    </xf>
    <xf numFmtId="0" fontId="2127" fillId="5" borderId="3" xfId="0" applyFont="1" applyFill="1" applyBorder="1" applyAlignment="1">
      <alignment horizontal="left" vertical="top" wrapText="1"/>
    </xf>
    <xf numFmtId="0" fontId="2128" fillId="5" borderId="3" xfId="0" applyFont="1" applyFill="1" applyBorder="1" applyAlignment="1">
      <alignment horizontal="left" vertical="top" wrapText="1"/>
    </xf>
    <xf numFmtId="0" fontId="2129" fillId="5" borderId="3" xfId="0" applyFont="1" applyFill="1" applyBorder="1" applyAlignment="1">
      <alignment horizontal="left" vertical="top" wrapText="1"/>
    </xf>
    <xf numFmtId="0" fontId="2130" fillId="5" borderId="3" xfId="0" applyFont="1" applyFill="1" applyBorder="1" applyAlignment="1">
      <alignment horizontal="left" vertical="top" wrapText="1"/>
    </xf>
    <xf numFmtId="0" fontId="2131" fillId="5" borderId="3" xfId="0" applyFont="1" applyFill="1" applyBorder="1" applyAlignment="1">
      <alignment horizontal="left" vertical="top" wrapText="1"/>
    </xf>
    <xf numFmtId="0" fontId="2132" fillId="5" borderId="3" xfId="0" applyFont="1" applyFill="1" applyBorder="1" applyAlignment="1">
      <alignment horizontal="left" vertical="top" wrapText="1"/>
    </xf>
    <xf numFmtId="0" fontId="2133" fillId="5" borderId="3" xfId="0" applyFont="1" applyFill="1" applyBorder="1" applyAlignment="1">
      <alignment horizontal="left" vertical="top" wrapText="1"/>
    </xf>
    <xf numFmtId="0" fontId="2134" fillId="5" borderId="3" xfId="0" applyFont="1" applyFill="1" applyBorder="1" applyAlignment="1">
      <alignment horizontal="left" vertical="top" wrapText="1"/>
    </xf>
    <xf numFmtId="0" fontId="2135" fillId="5" borderId="3" xfId="0" applyFont="1" applyFill="1" applyBorder="1" applyAlignment="1">
      <alignment horizontal="left" vertical="top" wrapText="1"/>
    </xf>
    <xf numFmtId="0" fontId="2136" fillId="5" borderId="3" xfId="0" applyFont="1" applyFill="1" applyBorder="1" applyAlignment="1">
      <alignment horizontal="center" vertical="top"/>
    </xf>
    <xf numFmtId="0" fontId="2137" fillId="5" borderId="3" xfId="0" applyFont="1" applyFill="1" applyBorder="1" applyAlignment="1">
      <alignment horizontal="center" vertical="top"/>
    </xf>
    <xf numFmtId="0" fontId="2138" fillId="5" borderId="3" xfId="0" applyFont="1" applyFill="1" applyBorder="1" applyAlignment="1">
      <alignment horizontal="center" vertical="top"/>
    </xf>
    <xf numFmtId="0" fontId="2139" fillId="5" borderId="3" xfId="0" applyFont="1" applyFill="1" applyBorder="1" applyAlignment="1">
      <alignment horizontal="center" vertical="top"/>
    </xf>
    <xf numFmtId="0" fontId="2140" fillId="5" borderId="3" xfId="0" applyFont="1" applyFill="1" applyBorder="1" applyAlignment="1">
      <alignment horizontal="center" vertical="top"/>
    </xf>
    <xf numFmtId="0" fontId="2141" fillId="5" borderId="3" xfId="0" applyFont="1" applyFill="1" applyBorder="1" applyAlignment="1">
      <alignment horizontal="center" vertical="top"/>
    </xf>
    <xf numFmtId="0" fontId="2142" fillId="5" borderId="3" xfId="0" applyFont="1" applyFill="1" applyBorder="1" applyAlignment="1">
      <alignment horizontal="center" vertical="top"/>
    </xf>
    <xf numFmtId="0" fontId="2143" fillId="5" borderId="3" xfId="0" applyFont="1" applyFill="1" applyBorder="1" applyAlignment="1">
      <alignment horizontal="center" vertical="top"/>
    </xf>
    <xf numFmtId="0" fontId="2144" fillId="5" borderId="3" xfId="0" applyFont="1" applyFill="1" applyBorder="1" applyAlignment="1">
      <alignment horizontal="center" vertical="top"/>
    </xf>
    <xf numFmtId="0" fontId="2145" fillId="5" borderId="3" xfId="0" applyFont="1" applyFill="1" applyBorder="1" applyAlignment="1">
      <alignment horizontal="center" vertical="top"/>
    </xf>
    <xf numFmtId="0" fontId="2146" fillId="5" borderId="3" xfId="0" applyFont="1" applyFill="1" applyBorder="1" applyAlignment="1">
      <alignment horizontal="center" vertical="top"/>
    </xf>
    <xf numFmtId="0" fontId="2147" fillId="5" borderId="3" xfId="0" applyFont="1" applyFill="1" applyBorder="1" applyAlignment="1">
      <alignment horizontal="center" vertical="top"/>
    </xf>
    <xf numFmtId="0" fontId="2148" fillId="5" borderId="3" xfId="0" applyFont="1" applyFill="1" applyBorder="1" applyAlignment="1">
      <alignment horizontal="center" vertical="top"/>
    </xf>
    <xf numFmtId="0" fontId="2149" fillId="5" borderId="3" xfId="0" applyFont="1" applyFill="1" applyBorder="1" applyAlignment="1">
      <alignment horizontal="center" vertical="top"/>
    </xf>
    <xf numFmtId="0" fontId="2150" fillId="5" borderId="3" xfId="0" applyFont="1" applyFill="1" applyBorder="1" applyAlignment="1">
      <alignment horizontal="center" vertical="top"/>
    </xf>
    <xf numFmtId="0" fontId="2151" fillId="5" borderId="3" xfId="0" applyFont="1" applyFill="1" applyBorder="1" applyAlignment="1">
      <alignment horizontal="center" vertical="top"/>
    </xf>
    <xf numFmtId="0" fontId="2152" fillId="5" borderId="3" xfId="0" applyFont="1" applyFill="1" applyBorder="1" applyAlignment="1">
      <alignment horizontal="center" vertical="top"/>
    </xf>
    <xf numFmtId="0" fontId="2153" fillId="5" borderId="3" xfId="0" applyFont="1" applyFill="1" applyBorder="1" applyAlignment="1">
      <alignment horizontal="left" vertical="top" wrapText="1"/>
    </xf>
    <xf numFmtId="0" fontId="2154" fillId="5" borderId="3" xfId="0" applyFont="1" applyFill="1" applyBorder="1" applyAlignment="1">
      <alignment horizontal="center" vertical="top"/>
    </xf>
    <xf numFmtId="0" fontId="2155" fillId="5" borderId="3" xfId="0" applyFont="1" applyFill="1" applyBorder="1" applyAlignment="1">
      <alignment horizontal="center" vertical="top"/>
    </xf>
    <xf numFmtId="0" fontId="2156" fillId="5" borderId="3" xfId="0" applyFont="1" applyFill="1" applyBorder="1" applyAlignment="1">
      <alignment horizontal="center" vertical="top"/>
    </xf>
    <xf numFmtId="0" fontId="2157" fillId="5" borderId="3" xfId="0" applyFont="1" applyFill="1" applyBorder="1" applyAlignment="1">
      <alignment horizontal="center" vertical="top"/>
    </xf>
    <xf numFmtId="0" fontId="2158" fillId="5" borderId="3" xfId="0" applyFont="1" applyFill="1" applyBorder="1" applyAlignment="1">
      <alignment horizontal="center" vertical="top"/>
    </xf>
    <xf numFmtId="0" fontId="2159" fillId="5" borderId="3" xfId="0" applyFont="1" applyFill="1" applyBorder="1" applyAlignment="1">
      <alignment horizontal="center" vertical="top"/>
    </xf>
    <xf numFmtId="0" fontId="2160" fillId="5" borderId="3" xfId="0" applyFont="1" applyFill="1" applyBorder="1" applyAlignment="1">
      <alignment horizontal="left" vertical="top" wrapText="1"/>
    </xf>
    <xf numFmtId="0" fontId="2161" fillId="5" borderId="3" xfId="0" applyFont="1" applyFill="1" applyBorder="1" applyAlignment="1">
      <alignment horizontal="center" vertical="top"/>
    </xf>
    <xf numFmtId="0" fontId="2162" fillId="5" borderId="3" xfId="0" applyFont="1" applyFill="1" applyBorder="1" applyAlignment="1">
      <alignment horizontal="center" vertical="top"/>
    </xf>
    <xf numFmtId="0" fontId="2163" fillId="5" borderId="3" xfId="0" applyFont="1" applyFill="1" applyBorder="1" applyAlignment="1">
      <alignment horizontal="left" vertical="top" wrapText="1"/>
    </xf>
    <xf numFmtId="0" fontId="2164" fillId="5" borderId="3" xfId="0" applyFont="1" applyFill="1" applyBorder="1" applyAlignment="1">
      <alignment horizontal="center" vertical="top"/>
    </xf>
    <xf numFmtId="0" fontId="2165" fillId="5" borderId="3" xfId="0" applyFont="1" applyFill="1" applyBorder="1" applyAlignment="1">
      <alignment horizontal="center" vertical="top"/>
    </xf>
    <xf numFmtId="0" fontId="2166" fillId="5" borderId="3" xfId="0" applyFont="1" applyFill="1" applyBorder="1" applyAlignment="1">
      <alignment horizontal="left" vertical="top" wrapText="1"/>
    </xf>
    <xf numFmtId="0" fontId="2167" fillId="5" borderId="3" xfId="0" applyFont="1" applyFill="1" applyBorder="1" applyAlignment="1">
      <alignment horizontal="center" vertical="top"/>
    </xf>
    <xf numFmtId="0" fontId="2168" fillId="5" borderId="3" xfId="0" applyFont="1" applyFill="1" applyBorder="1" applyAlignment="1">
      <alignment horizontal="left" vertical="top" wrapText="1"/>
    </xf>
    <xf numFmtId="0" fontId="2169" fillId="5" borderId="3" xfId="0" applyFont="1" applyFill="1" applyBorder="1" applyAlignment="1">
      <alignment horizontal="left" vertical="top" wrapText="1"/>
    </xf>
    <xf numFmtId="0" fontId="2170" fillId="5" borderId="3" xfId="0" applyFont="1" applyFill="1" applyBorder="1" applyAlignment="1">
      <alignment horizontal="center" vertical="top"/>
    </xf>
    <xf numFmtId="0" fontId="2171" fillId="5" borderId="3" xfId="0" applyFont="1" applyFill="1" applyBorder="1" applyAlignment="1">
      <alignment horizontal="center" vertical="top"/>
    </xf>
    <xf numFmtId="0" fontId="2172" fillId="5" borderId="3" xfId="0" applyFont="1" applyFill="1" applyBorder="1" applyAlignment="1">
      <alignment horizontal="left" vertical="top" wrapText="1"/>
    </xf>
    <xf numFmtId="0" fontId="2173" fillId="5" borderId="3" xfId="0" applyFont="1" applyFill="1" applyBorder="1" applyAlignment="1">
      <alignment horizontal="left" vertical="top" wrapText="1"/>
    </xf>
    <xf numFmtId="0" fontId="2174" fillId="5" borderId="3" xfId="0" applyFont="1" applyFill="1" applyBorder="1" applyAlignment="1">
      <alignment horizontal="left" vertical="top" wrapText="1"/>
    </xf>
    <xf numFmtId="0" fontId="2175" fillId="5" borderId="3" xfId="0" applyFont="1" applyFill="1" applyBorder="1" applyAlignment="1">
      <alignment horizontal="left" vertical="top" wrapText="1"/>
    </xf>
    <xf numFmtId="0" fontId="2176" fillId="5" borderId="3" xfId="0" applyFont="1" applyFill="1" applyBorder="1" applyAlignment="1">
      <alignment horizontal="left" vertical="top" wrapText="1"/>
    </xf>
    <xf numFmtId="0" fontId="2191" fillId="5" borderId="3" xfId="0" applyFont="1" applyFill="1" applyBorder="1" applyAlignment="1">
      <alignment horizontal="left" vertical="top" wrapText="1"/>
    </xf>
    <xf numFmtId="0" fontId="2192" fillId="5" borderId="3" xfId="0" applyFont="1" applyFill="1" applyBorder="1" applyAlignment="1">
      <alignment horizontal="left" vertical="top" wrapText="1"/>
    </xf>
    <xf numFmtId="0" fontId="2193" fillId="5" borderId="3" xfId="0" applyFont="1" applyFill="1" applyBorder="1" applyAlignment="1">
      <alignment horizontal="left" vertical="top" wrapText="1"/>
    </xf>
    <xf numFmtId="0" fontId="2194" fillId="5" borderId="3" xfId="0" applyFont="1" applyFill="1" applyBorder="1" applyAlignment="1">
      <alignment horizontal="left" vertical="top" wrapText="1"/>
    </xf>
    <xf numFmtId="0" fontId="2195" fillId="5" borderId="3" xfId="0" applyFont="1" applyFill="1" applyBorder="1" applyAlignment="1">
      <alignment horizontal="left" vertical="top" wrapText="1"/>
    </xf>
    <xf numFmtId="0" fontId="2196" fillId="5" borderId="3" xfId="0" applyFont="1" applyFill="1" applyBorder="1" applyAlignment="1">
      <alignment horizontal="center" vertical="top"/>
    </xf>
    <xf numFmtId="0" fontId="2197" fillId="5" borderId="3" xfId="0" applyFont="1" applyFill="1" applyBorder="1" applyAlignment="1">
      <alignment horizontal="center" vertical="top"/>
    </xf>
    <xf numFmtId="0" fontId="2198" fillId="5" borderId="3" xfId="0" applyFont="1" applyFill="1" applyBorder="1" applyAlignment="1">
      <alignment horizontal="center" vertical="top"/>
    </xf>
    <xf numFmtId="0" fontId="2199" fillId="5" borderId="3" xfId="0" applyFont="1" applyFill="1" applyBorder="1" applyAlignment="1">
      <alignment horizontal="center" vertical="top"/>
    </xf>
    <xf numFmtId="0" fontId="2200" fillId="5" borderId="3" xfId="0" applyFont="1" applyFill="1" applyBorder="1" applyAlignment="1">
      <alignment horizontal="left" vertical="top" wrapText="1"/>
    </xf>
    <xf numFmtId="0" fontId="2201" fillId="5" borderId="3" xfId="0" applyFont="1" applyFill="1" applyBorder="1" applyAlignment="1">
      <alignment horizontal="left" vertical="top" wrapText="1"/>
    </xf>
    <xf numFmtId="0" fontId="2202" fillId="5" borderId="3" xfId="0" applyFont="1" applyFill="1" applyBorder="1" applyAlignment="1">
      <alignment horizontal="left" vertical="top" wrapText="1"/>
    </xf>
    <xf numFmtId="0" fontId="2203" fillId="5" borderId="3" xfId="0" applyFont="1" applyFill="1" applyBorder="1" applyAlignment="1">
      <alignment horizontal="left" vertical="top" wrapText="1"/>
    </xf>
    <xf numFmtId="0" fontId="2204" fillId="5" borderId="3" xfId="0" applyFont="1" applyFill="1" applyBorder="1" applyAlignment="1">
      <alignment horizontal="left" vertical="top" wrapText="1"/>
    </xf>
    <xf numFmtId="0" fontId="2205" fillId="5" borderId="3" xfId="0" applyFont="1" applyFill="1" applyBorder="1" applyAlignment="1">
      <alignment horizontal="left" vertical="top" wrapText="1"/>
    </xf>
    <xf numFmtId="0" fontId="2206" fillId="5" borderId="3" xfId="0" applyFont="1" applyFill="1" applyBorder="1" applyAlignment="1">
      <alignment horizontal="left" vertical="top" wrapText="1"/>
    </xf>
    <xf numFmtId="0" fontId="2207" fillId="5" borderId="3" xfId="0" applyFont="1" applyFill="1" applyBorder="1" applyAlignment="1">
      <alignment horizontal="left" vertical="top" wrapText="1"/>
    </xf>
    <xf numFmtId="0" fontId="2208" fillId="5" borderId="3" xfId="0" applyFont="1" applyFill="1" applyBorder="1" applyAlignment="1">
      <alignment horizontal="left" vertical="top" wrapText="1"/>
    </xf>
    <xf numFmtId="0" fontId="2209" fillId="5" borderId="3" xfId="0" applyFont="1" applyFill="1" applyBorder="1" applyAlignment="1">
      <alignment horizontal="left" vertical="top" wrapText="1"/>
    </xf>
    <xf numFmtId="0" fontId="2210" fillId="5" borderId="3" xfId="0" applyFont="1" applyFill="1" applyBorder="1" applyAlignment="1">
      <alignment horizontal="left" vertical="top" wrapText="1"/>
    </xf>
    <xf numFmtId="0" fontId="2211" fillId="5" borderId="3" xfId="0" applyFont="1" applyFill="1" applyBorder="1" applyAlignment="1">
      <alignment horizontal="left" vertical="top" wrapText="1"/>
    </xf>
    <xf numFmtId="0" fontId="2212" fillId="5" borderId="3" xfId="0" applyFont="1" applyFill="1" applyBorder="1" applyAlignment="1">
      <alignment horizontal="left" vertical="top" wrapText="1"/>
    </xf>
    <xf numFmtId="0" fontId="2225" fillId="5" borderId="3" xfId="0" applyFont="1" applyFill="1" applyBorder="1" applyAlignment="1">
      <alignment horizontal="center" vertical="top"/>
    </xf>
    <xf numFmtId="0" fontId="2226" fillId="5" borderId="3" xfId="0" applyFont="1" applyFill="1" applyBorder="1" applyAlignment="1">
      <alignment horizontal="center" vertical="top"/>
    </xf>
    <xf numFmtId="0" fontId="2227" fillId="5" borderId="3" xfId="0" applyFont="1" applyFill="1" applyBorder="1" applyAlignment="1">
      <alignment horizontal="left" vertical="top" wrapText="1"/>
    </xf>
    <xf numFmtId="0" fontId="2228" fillId="5" borderId="3" xfId="0" applyFont="1" applyFill="1" applyBorder="1" applyAlignment="1">
      <alignment horizontal="left" vertical="top" wrapText="1"/>
    </xf>
    <xf numFmtId="0" fontId="2229" fillId="5" borderId="3" xfId="0" applyFont="1" applyFill="1" applyBorder="1" applyAlignment="1">
      <alignment horizontal="left" vertical="top" wrapText="1"/>
    </xf>
    <xf numFmtId="0" fontId="2230" fillId="5" borderId="3" xfId="0" applyFont="1" applyFill="1" applyBorder="1" applyAlignment="1">
      <alignment horizontal="left" vertical="top" wrapText="1"/>
    </xf>
    <xf numFmtId="0" fontId="2231" fillId="5" borderId="3" xfId="0" applyFont="1" applyFill="1" applyBorder="1" applyAlignment="1">
      <alignment horizontal="left" vertical="top" wrapText="1"/>
    </xf>
    <xf numFmtId="0" fontId="2232" fillId="5" borderId="3" xfId="0" applyFont="1" applyFill="1" applyBorder="1" applyAlignment="1">
      <alignment horizontal="left" vertical="top" wrapText="1"/>
    </xf>
    <xf numFmtId="0" fontId="2233" fillId="5" borderId="3" xfId="0" applyFont="1" applyFill="1" applyBorder="1" applyAlignment="1">
      <alignment horizontal="left" vertical="top" wrapText="1"/>
    </xf>
    <xf numFmtId="0" fontId="2234" fillId="5" borderId="3" xfId="0" applyFont="1" applyFill="1" applyBorder="1" applyAlignment="1">
      <alignment horizontal="left" vertical="top" wrapText="1"/>
    </xf>
    <xf numFmtId="0" fontId="2235" fillId="5" borderId="3" xfId="0" applyFont="1" applyFill="1" applyBorder="1" applyAlignment="1">
      <alignment horizontal="left" vertical="top" wrapText="1"/>
    </xf>
    <xf numFmtId="0" fontId="2236" fillId="5" borderId="3" xfId="0" applyFont="1" applyFill="1" applyBorder="1" applyAlignment="1">
      <alignment horizontal="left" vertical="top" wrapText="1"/>
    </xf>
    <xf numFmtId="0" fontId="2237" fillId="5" borderId="3" xfId="0" applyFont="1" applyFill="1" applyBorder="1" applyAlignment="1">
      <alignment horizontal="left" vertical="top" wrapText="1"/>
    </xf>
    <xf numFmtId="0" fontId="2238" fillId="5" borderId="3" xfId="0" applyFont="1" applyFill="1" applyBorder="1" applyAlignment="1">
      <alignment horizontal="left" vertical="top" wrapText="1"/>
    </xf>
    <xf numFmtId="0" fontId="2239" fillId="5" borderId="3" xfId="0" applyFont="1" applyFill="1" applyBorder="1" applyAlignment="1">
      <alignment horizontal="left" vertical="top" wrapText="1"/>
    </xf>
    <xf numFmtId="0" fontId="2240" fillId="5" borderId="3" xfId="0" applyFont="1" applyFill="1" applyBorder="1" applyAlignment="1">
      <alignment horizontal="left" vertical="top" wrapText="1"/>
    </xf>
    <xf numFmtId="0" fontId="2241" fillId="5" borderId="3" xfId="0" applyFont="1" applyFill="1" applyBorder="1" applyAlignment="1">
      <alignment horizontal="left" vertical="top" wrapText="1"/>
    </xf>
    <xf numFmtId="0" fontId="2242" fillId="5" borderId="3" xfId="0" applyFont="1" applyFill="1" applyBorder="1" applyAlignment="1">
      <alignment horizontal="left" vertical="top" wrapText="1"/>
    </xf>
    <xf numFmtId="0" fontId="2243" fillId="5" borderId="3" xfId="0" applyFont="1" applyFill="1" applyBorder="1" applyAlignment="1">
      <alignment horizontal="left" vertical="top" wrapText="1"/>
    </xf>
    <xf numFmtId="0" fontId="2244" fillId="5" borderId="3" xfId="0" applyFont="1" applyFill="1" applyBorder="1" applyAlignment="1">
      <alignment horizontal="left" vertical="top" wrapText="1"/>
    </xf>
    <xf numFmtId="0" fontId="2245" fillId="5" borderId="3" xfId="0" applyFont="1" applyFill="1" applyBorder="1" applyAlignment="1">
      <alignment horizontal="left" vertical="top" wrapText="1"/>
    </xf>
    <xf numFmtId="0" fontId="2246" fillId="5" borderId="3" xfId="0" applyFont="1" applyFill="1" applyBorder="1" applyAlignment="1">
      <alignment horizontal="left" vertical="top" wrapText="1"/>
    </xf>
    <xf numFmtId="0" fontId="2249" fillId="4" borderId="3" xfId="0" applyFont="1" applyFill="1" applyBorder="1" applyAlignment="1">
      <alignment horizontal="center" vertical="top" wrapText="1"/>
    </xf>
    <xf numFmtId="0" fontId="2253" fillId="5" borderId="3" xfId="0" applyFont="1" applyFill="1" applyBorder="1" applyAlignment="1">
      <alignment horizontal="left" vertical="top" wrapText="1"/>
    </xf>
    <xf numFmtId="0" fontId="2254" fillId="5" borderId="3" xfId="0" applyFont="1" applyFill="1" applyBorder="1" applyAlignment="1">
      <alignment horizontal="left" vertical="top" wrapText="1"/>
    </xf>
    <xf numFmtId="0" fontId="2255" fillId="5" borderId="3" xfId="0" applyFont="1" applyFill="1" applyBorder="1" applyAlignment="1">
      <alignment horizontal="left" vertical="top" wrapText="1"/>
    </xf>
    <xf numFmtId="0" fontId="2256" fillId="5" borderId="3" xfId="0" applyFont="1" applyFill="1" applyBorder="1" applyAlignment="1">
      <alignment horizontal="left" vertical="top" wrapText="1"/>
    </xf>
    <xf numFmtId="0" fontId="2263" fillId="5" borderId="3" xfId="0" applyFont="1" applyFill="1" applyBorder="1" applyAlignment="1">
      <alignment horizontal="left" vertical="top" wrapText="1"/>
    </xf>
    <xf numFmtId="0" fontId="2264" fillId="5" borderId="3" xfId="0" applyFont="1" applyFill="1" applyBorder="1" applyAlignment="1">
      <alignment horizontal="left" vertical="top" wrapText="1"/>
    </xf>
    <xf numFmtId="0" fontId="2265" fillId="5" borderId="3" xfId="0" applyFont="1" applyFill="1" applyBorder="1" applyAlignment="1">
      <alignment horizontal="left" vertical="top" wrapText="1"/>
    </xf>
    <xf numFmtId="0" fontId="2266" fillId="5" borderId="3" xfId="0" applyFont="1" applyFill="1" applyBorder="1" applyAlignment="1">
      <alignment horizontal="left" vertical="top" wrapText="1"/>
    </xf>
    <xf numFmtId="0" fontId="2267" fillId="5" borderId="3" xfId="0" applyFont="1" applyFill="1" applyBorder="1" applyAlignment="1">
      <alignment horizontal="left" vertical="top" wrapText="1"/>
    </xf>
    <xf numFmtId="0" fontId="2268" fillId="5" borderId="3" xfId="0" applyFont="1" applyFill="1" applyBorder="1" applyAlignment="1">
      <alignment horizontal="left" vertical="top" wrapText="1"/>
    </xf>
    <xf numFmtId="0" fontId="2269" fillId="5" borderId="3" xfId="0" applyFont="1" applyFill="1" applyBorder="1" applyAlignment="1">
      <alignment horizontal="left" vertical="top" wrapText="1"/>
    </xf>
    <xf numFmtId="0" fontId="2270" fillId="5" borderId="3" xfId="0" applyFont="1" applyFill="1" applyBorder="1" applyAlignment="1">
      <alignment horizontal="left" vertical="top" wrapText="1"/>
    </xf>
    <xf numFmtId="0" fontId="2271" fillId="5" borderId="3" xfId="0" applyFont="1" applyFill="1" applyBorder="1" applyAlignment="1">
      <alignment horizontal="left" vertical="top" wrapText="1"/>
    </xf>
    <xf numFmtId="0" fontId="2272" fillId="5" borderId="3" xfId="0" applyFont="1" applyFill="1" applyBorder="1" applyAlignment="1">
      <alignment horizontal="left" vertical="top" wrapText="1"/>
    </xf>
    <xf numFmtId="0" fontId="2275" fillId="5" borderId="3" xfId="0" applyFont="1" applyFill="1" applyBorder="1" applyAlignment="1">
      <alignment horizontal="left" vertical="top" wrapText="1"/>
    </xf>
    <xf numFmtId="0" fontId="2276" fillId="5" borderId="3" xfId="0" applyFont="1" applyFill="1" applyBorder="1" applyAlignment="1">
      <alignment horizontal="left" vertical="top" wrapText="1"/>
    </xf>
    <xf numFmtId="0" fontId="2277" fillId="5" borderId="3" xfId="0" applyFont="1" applyFill="1" applyBorder="1" applyAlignment="1">
      <alignment horizontal="left" vertical="top" wrapText="1"/>
    </xf>
    <xf numFmtId="0" fontId="2278" fillId="5" borderId="3" xfId="0" applyFont="1" applyFill="1" applyBorder="1" applyAlignment="1">
      <alignment horizontal="left" vertical="top" wrapText="1"/>
    </xf>
    <xf numFmtId="0" fontId="2290" fillId="5" borderId="3" xfId="0" applyFont="1" applyFill="1" applyBorder="1" applyAlignment="1">
      <alignment horizontal="left" vertical="top" wrapText="1"/>
    </xf>
    <xf numFmtId="0" fontId="2314" fillId="5" borderId="3" xfId="0" applyFont="1" applyFill="1" applyBorder="1" applyAlignment="1">
      <alignment horizontal="left" vertical="top" wrapText="1"/>
    </xf>
    <xf numFmtId="0" fontId="2315" fillId="5" borderId="3" xfId="0" applyFont="1" applyFill="1" applyBorder="1" applyAlignment="1">
      <alignment horizontal="left" vertical="top" wrapText="1"/>
    </xf>
    <xf numFmtId="0" fontId="2316" fillId="5" borderId="3" xfId="0" applyFont="1" applyFill="1" applyBorder="1" applyAlignment="1">
      <alignment horizontal="left" vertical="top" wrapText="1"/>
    </xf>
    <xf numFmtId="0" fontId="2317" fillId="5" borderId="3" xfId="0" applyFont="1" applyFill="1" applyBorder="1" applyAlignment="1">
      <alignment horizontal="left" vertical="top" wrapText="1"/>
    </xf>
    <xf numFmtId="0" fontId="2318" fillId="5" borderId="3" xfId="0" applyFont="1" applyFill="1" applyBorder="1" applyAlignment="1">
      <alignment horizontal="left" vertical="top" wrapText="1"/>
    </xf>
    <xf numFmtId="0" fontId="2319" fillId="5" borderId="3" xfId="0" applyFont="1" applyFill="1" applyBorder="1" applyAlignment="1">
      <alignment horizontal="left" vertical="top" wrapText="1"/>
    </xf>
    <xf numFmtId="0" fontId="2320" fillId="5" borderId="3" xfId="0" applyFont="1" applyFill="1" applyBorder="1" applyAlignment="1">
      <alignment horizontal="left" vertical="top" wrapText="1"/>
    </xf>
    <xf numFmtId="0" fontId="2321" fillId="5" borderId="3" xfId="0" applyFont="1" applyFill="1" applyBorder="1" applyAlignment="1">
      <alignment horizontal="left" vertical="top" wrapText="1"/>
    </xf>
    <xf numFmtId="0" fontId="2322" fillId="5" borderId="3" xfId="0" applyFont="1" applyFill="1" applyBorder="1" applyAlignment="1">
      <alignment horizontal="left" vertical="top" wrapText="1"/>
    </xf>
    <xf numFmtId="0" fontId="2323" fillId="5" borderId="3" xfId="0" applyFont="1" applyFill="1" applyBorder="1" applyAlignment="1">
      <alignment horizontal="left" vertical="top" wrapText="1"/>
    </xf>
    <xf numFmtId="0" fontId="2324" fillId="5" borderId="3" xfId="0" applyFont="1" applyFill="1" applyBorder="1" applyAlignment="1">
      <alignment horizontal="left" vertical="top" wrapText="1"/>
    </xf>
    <xf numFmtId="0" fontId="2325" fillId="5" borderId="3" xfId="0" applyFont="1" applyFill="1" applyBorder="1" applyAlignment="1">
      <alignment horizontal="center" vertical="top"/>
    </xf>
    <xf numFmtId="0" fontId="2326" fillId="5" borderId="3" xfId="0" applyFont="1" applyFill="1" applyBorder="1" applyAlignment="1">
      <alignment horizontal="left" vertical="top" wrapText="1"/>
    </xf>
    <xf numFmtId="0" fontId="2327" fillId="5" borderId="3" xfId="0" applyFont="1" applyFill="1" applyBorder="1" applyAlignment="1">
      <alignment horizontal="left" vertical="top" wrapText="1"/>
    </xf>
    <xf numFmtId="0" fontId="2328" fillId="5" borderId="3" xfId="0" applyFont="1" applyFill="1" applyBorder="1" applyAlignment="1">
      <alignment horizontal="left" vertical="top" wrapText="1"/>
    </xf>
    <xf numFmtId="0" fontId="2340" fillId="5" borderId="3" xfId="0" applyFont="1" applyFill="1" applyBorder="1" applyAlignment="1">
      <alignment horizontal="left" vertical="top" wrapText="1"/>
    </xf>
    <xf numFmtId="0" fontId="2347" fillId="5" borderId="3" xfId="0" applyFont="1" applyFill="1" applyBorder="1" applyAlignment="1">
      <alignment horizontal="left" vertical="top" wrapText="1"/>
    </xf>
    <xf numFmtId="0" fontId="2348" fillId="5" borderId="3" xfId="0" applyFont="1" applyFill="1" applyBorder="1" applyAlignment="1">
      <alignment horizontal="left" vertical="top" wrapText="1"/>
    </xf>
    <xf numFmtId="0" fontId="2349" fillId="5" borderId="3" xfId="0" applyFont="1" applyFill="1" applyBorder="1" applyAlignment="1">
      <alignment horizontal="left" vertical="top" wrapText="1"/>
    </xf>
    <xf numFmtId="0" fontId="2350" fillId="5" borderId="3" xfId="0" applyFont="1" applyFill="1" applyBorder="1" applyAlignment="1">
      <alignment horizontal="left" vertical="top" wrapText="1"/>
    </xf>
    <xf numFmtId="0" fontId="2351" fillId="5" borderId="3" xfId="0" applyFont="1" applyFill="1" applyBorder="1" applyAlignment="1">
      <alignment horizontal="left" vertical="top" wrapText="1"/>
    </xf>
    <xf numFmtId="0" fontId="2352" fillId="5" borderId="3" xfId="0" applyFont="1" applyFill="1" applyBorder="1" applyAlignment="1">
      <alignment horizontal="left" vertical="top" wrapText="1"/>
    </xf>
    <xf numFmtId="0" fontId="2353" fillId="5" borderId="3" xfId="0" applyFont="1" applyFill="1" applyBorder="1" applyAlignment="1">
      <alignment horizontal="left" vertical="top" wrapText="1"/>
    </xf>
    <xf numFmtId="0" fontId="2354" fillId="5" borderId="3" xfId="0" applyFont="1" applyFill="1" applyBorder="1" applyAlignment="1">
      <alignment horizontal="left" vertical="top" wrapText="1"/>
    </xf>
    <xf numFmtId="0" fontId="2369" fillId="5" borderId="3" xfId="0" applyFont="1" applyFill="1" applyBorder="1" applyAlignment="1">
      <alignment horizontal="left" vertical="top" wrapText="1"/>
    </xf>
    <xf numFmtId="0" fontId="2370" fillId="5" borderId="3" xfId="0" applyFont="1" applyFill="1" applyBorder="1" applyAlignment="1">
      <alignment horizontal="left" vertical="top" wrapText="1"/>
    </xf>
    <xf numFmtId="0" fontId="2371" fillId="5" borderId="3" xfId="0" applyFont="1" applyFill="1" applyBorder="1" applyAlignment="1">
      <alignment horizontal="left" vertical="top" wrapText="1"/>
    </xf>
    <xf numFmtId="0" fontId="2377" fillId="5" borderId="3" xfId="0" applyFont="1" applyFill="1" applyBorder="1" applyAlignment="1">
      <alignment horizontal="left" vertical="top" wrapText="1"/>
    </xf>
    <xf numFmtId="0" fontId="2378" fillId="5" borderId="3" xfId="0" applyFont="1" applyFill="1" applyBorder="1" applyAlignment="1">
      <alignment horizontal="left" vertical="top" wrapText="1"/>
    </xf>
    <xf numFmtId="0" fontId="2379" fillId="5" borderId="3" xfId="0" applyFont="1" applyFill="1" applyBorder="1" applyAlignment="1">
      <alignment horizontal="left" vertical="top" wrapText="1"/>
    </xf>
    <xf numFmtId="0" fontId="2380" fillId="5" borderId="3" xfId="0" applyFont="1" applyFill="1" applyBorder="1" applyAlignment="1">
      <alignment horizontal="left" vertical="top" wrapText="1"/>
    </xf>
    <xf numFmtId="0" fontId="2381" fillId="5" borderId="3" xfId="0" applyFont="1" applyFill="1" applyBorder="1" applyAlignment="1">
      <alignment horizontal="left" vertical="top" wrapText="1"/>
    </xf>
    <xf numFmtId="0" fontId="2382" fillId="5" borderId="3" xfId="0" applyFont="1" applyFill="1" applyBorder="1" applyAlignment="1">
      <alignment horizontal="left" vertical="top" wrapText="1"/>
    </xf>
    <xf numFmtId="0" fontId="2383" fillId="5" borderId="3" xfId="0" applyFont="1" applyFill="1" applyBorder="1" applyAlignment="1">
      <alignment horizontal="left" vertical="top" wrapText="1"/>
    </xf>
    <xf numFmtId="0" fontId="2384" fillId="5" borderId="3" xfId="0" applyFont="1" applyFill="1" applyBorder="1" applyAlignment="1">
      <alignment horizontal="left" vertical="top" wrapText="1"/>
    </xf>
    <xf numFmtId="0" fontId="2385" fillId="5" borderId="3" xfId="0" applyFont="1" applyFill="1" applyBorder="1" applyAlignment="1">
      <alignment horizontal="left" vertical="top" wrapText="1"/>
    </xf>
    <xf numFmtId="0" fontId="2386" fillId="5" borderId="3" xfId="0" applyFont="1" applyFill="1" applyBorder="1" applyAlignment="1">
      <alignment horizontal="left" vertical="top" wrapText="1"/>
    </xf>
    <xf numFmtId="0" fontId="2391" fillId="5" borderId="3" xfId="0" applyFont="1" applyFill="1" applyBorder="1" applyAlignment="1">
      <alignment horizontal="left" vertical="top" wrapText="1"/>
    </xf>
    <xf numFmtId="0" fontId="2424" fillId="5" borderId="3" xfId="0" applyFont="1" applyFill="1" applyBorder="1" applyAlignment="1">
      <alignment horizontal="left" vertical="top" wrapText="1"/>
    </xf>
    <xf numFmtId="0" fontId="2435" fillId="5" borderId="3" xfId="0" applyFont="1" applyFill="1" applyBorder="1" applyAlignment="1">
      <alignment horizontal="left" vertical="top" wrapText="1"/>
    </xf>
    <xf numFmtId="0" fontId="2436" fillId="5" borderId="3" xfId="0" applyFont="1" applyFill="1" applyBorder="1" applyAlignment="1">
      <alignment horizontal="left" vertical="top" wrapText="1"/>
    </xf>
    <xf numFmtId="0" fontId="2437" fillId="5" borderId="3" xfId="0" applyFont="1" applyFill="1" applyBorder="1" applyAlignment="1">
      <alignment horizontal="left" vertical="top" wrapText="1"/>
    </xf>
    <xf numFmtId="0" fontId="2438" fillId="5" borderId="3" xfId="0" applyFont="1" applyFill="1" applyBorder="1" applyAlignment="1">
      <alignment horizontal="center" vertical="top"/>
    </xf>
    <xf numFmtId="0" fontId="2439" fillId="5" borderId="3" xfId="0" applyFont="1" applyFill="1" applyBorder="1" applyAlignment="1">
      <alignment horizontal="left" vertical="top" wrapText="1"/>
    </xf>
    <xf numFmtId="0" fontId="2440" fillId="5" borderId="3" xfId="0" applyFont="1" applyFill="1" applyBorder="1" applyAlignment="1">
      <alignment horizontal="left" vertical="top" wrapText="1"/>
    </xf>
    <xf numFmtId="0" fontId="2441" fillId="5" borderId="3" xfId="0" applyFont="1" applyFill="1" applyBorder="1" applyAlignment="1">
      <alignment horizontal="left" vertical="top" wrapText="1"/>
    </xf>
    <xf numFmtId="0" fontId="2442" fillId="5" borderId="3" xfId="0" applyFont="1" applyFill="1" applyBorder="1" applyAlignment="1">
      <alignment horizontal="left" vertical="top" wrapText="1"/>
    </xf>
    <xf numFmtId="0" fontId="2443" fillId="5" borderId="3" xfId="0" applyFont="1" applyFill="1" applyBorder="1" applyAlignment="1">
      <alignment horizontal="left" vertical="top" wrapText="1"/>
    </xf>
    <xf numFmtId="0" fontId="2444" fillId="5" borderId="3" xfId="0" applyFont="1" applyFill="1" applyBorder="1" applyAlignment="1">
      <alignment horizontal="left" vertical="top" wrapText="1"/>
    </xf>
    <xf numFmtId="0" fontId="2452" fillId="5" borderId="3" xfId="0" applyFont="1" applyFill="1" applyBorder="1" applyAlignment="1">
      <alignment horizontal="left" vertical="top" wrapText="1"/>
    </xf>
    <xf numFmtId="0" fontId="2481" fillId="5" borderId="3" xfId="0" applyFont="1" applyFill="1" applyBorder="1" applyAlignment="1">
      <alignment horizontal="left" vertical="top" wrapText="1"/>
    </xf>
    <xf numFmtId="0" fontId="2494" fillId="5" borderId="3" xfId="0" applyFont="1" applyFill="1" applyBorder="1" applyAlignment="1">
      <alignment horizontal="left" vertical="top" wrapText="1"/>
    </xf>
    <xf numFmtId="0" fontId="2495" fillId="5" borderId="3" xfId="0" applyFont="1" applyFill="1" applyBorder="1" applyAlignment="1">
      <alignment horizontal="left" vertical="top" wrapText="1"/>
    </xf>
    <xf numFmtId="0" fontId="2496" fillId="5" borderId="3" xfId="0" applyFont="1" applyFill="1" applyBorder="1" applyAlignment="1">
      <alignment horizontal="left" vertical="top" wrapText="1"/>
    </xf>
    <xf numFmtId="0" fontId="2497" fillId="5" borderId="3" xfId="0" applyFont="1" applyFill="1" applyBorder="1" applyAlignment="1">
      <alignment horizontal="left" vertical="top" wrapText="1"/>
    </xf>
    <xf numFmtId="0" fontId="2498" fillId="5" borderId="3" xfId="0" applyFont="1" applyFill="1" applyBorder="1" applyAlignment="1">
      <alignment horizontal="left" vertical="top" wrapText="1"/>
    </xf>
    <xf numFmtId="0" fontId="2503" fillId="5" borderId="3" xfId="0" applyFont="1" applyFill="1" applyBorder="1" applyAlignment="1">
      <alignment horizontal="left" vertical="top" wrapText="1"/>
    </xf>
    <xf numFmtId="0" fontId="2504" fillId="5" borderId="3" xfId="0" applyFont="1" applyFill="1" applyBorder="1" applyAlignment="1">
      <alignment horizontal="left" vertical="top" wrapText="1"/>
    </xf>
    <xf numFmtId="0" fontId="3" fillId="0" borderId="0" xfId="0" applyFont="1" applyAlignment="1">
      <alignment horizontal="center"/>
    </xf>
    <xf numFmtId="0" fontId="9" fillId="0" borderId="2" xfId="0" applyFont="1" applyBorder="1" applyAlignment="1">
      <alignment horizontal="right" wrapText="1"/>
    </xf>
    <xf numFmtId="0" fontId="18" fillId="0" borderId="0" xfId="0" applyFont="1" applyAlignment="1">
      <alignment horizontal="center" vertical="top" wrapText="1"/>
    </xf>
    <xf numFmtId="0" fontId="6" fillId="0" borderId="0" xfId="1" applyFont="1"/>
    <xf numFmtId="0" fontId="6" fillId="0" borderId="0" xfId="0" applyFont="1"/>
    <xf numFmtId="0" fontId="37" fillId="6" borderId="0" xfId="0" applyFont="1" applyFill="1" applyAlignment="1">
      <alignment horizontal="center"/>
    </xf>
    <xf numFmtId="0" fontId="38" fillId="6" borderId="0" xfId="0" applyFont="1" applyFill="1" applyAlignment="1">
      <alignment horizontal="center"/>
    </xf>
    <xf numFmtId="0" fontId="692" fillId="6" borderId="0" xfId="0" applyFont="1" applyFill="1" applyAlignment="1">
      <alignment horizontal="center"/>
    </xf>
    <xf numFmtId="0" fontId="921" fillId="6" borderId="0" xfId="0" applyFont="1" applyFill="1" applyAlignment="1">
      <alignment horizontal="center"/>
    </xf>
    <xf numFmtId="0" fontId="922" fillId="6" borderId="0" xfId="0" applyFont="1" applyFill="1" applyAlignment="1">
      <alignment horizontal="center"/>
    </xf>
    <xf numFmtId="0" fontId="1271" fillId="6" borderId="0" xfId="0" applyFont="1" applyFill="1" applyAlignment="1">
      <alignment horizontal="center"/>
    </xf>
    <xf numFmtId="0" fontId="1272" fillId="6" borderId="0" xfId="0" applyFont="1" applyFill="1" applyAlignment="1">
      <alignment horizontal="center"/>
    </xf>
    <xf numFmtId="0" fontId="1492" fillId="6" borderId="0" xfId="0" applyFont="1" applyFill="1" applyAlignment="1">
      <alignment horizontal="center"/>
    </xf>
    <xf numFmtId="0" fontId="1493" fillId="6" borderId="0" xfId="0" applyFont="1" applyFill="1" applyAlignment="1">
      <alignment horizontal="center"/>
    </xf>
    <xf numFmtId="0" fontId="1675" fillId="6" borderId="0" xfId="0" applyFont="1" applyFill="1" applyAlignment="1">
      <alignment horizontal="center"/>
    </xf>
    <xf numFmtId="0" fontId="1676" fillId="6" borderId="0" xfId="0" applyFont="1" applyFill="1" applyAlignment="1">
      <alignment horizontal="center"/>
    </xf>
    <xf numFmtId="0" fontId="2056" fillId="6" borderId="0" xfId="0" applyFont="1" applyFill="1" applyAlignment="1">
      <alignment horizontal="center"/>
    </xf>
    <xf numFmtId="0" fontId="2249" fillId="4" borderId="3" xfId="0" applyFont="1" applyFill="1" applyBorder="1" applyAlignment="1">
      <alignment horizontal="center" vertical="top" wrapText="1"/>
    </xf>
    <xf numFmtId="0" fontId="2247" fillId="4" borderId="3" xfId="0" applyFont="1" applyFill="1" applyBorder="1" applyAlignment="1">
      <alignment horizontal="center" vertical="top" wrapText="1"/>
    </xf>
    <xf numFmtId="0" fontId="2250" fillId="6" borderId="0" xfId="0" applyFont="1" applyFill="1" applyAlignment="1">
      <alignment horizontal="center"/>
    </xf>
    <xf numFmtId="0" fontId="2251" fillId="6" borderId="0" xfId="0" applyFont="1" applyFill="1" applyAlignment="1">
      <alignment horizontal="center"/>
    </xf>
    <xf numFmtId="0" fontId="2248" fillId="6" borderId="0" xfId="0" applyFont="1" applyFill="1" applyAlignment="1">
      <alignment horizontal="center"/>
    </xf>
    <xf numFmtId="3" fontId="663" fillId="7" borderId="3" xfId="0" applyNumberFormat="1" applyFont="1" applyFill="1" applyBorder="1" applyAlignment="1">
      <alignment horizontal="left" vertical="top" wrapText="1"/>
    </xf>
    <xf numFmtId="3" fontId="336" fillId="7" borderId="3" xfId="0" applyNumberFormat="1" applyFont="1" applyFill="1" applyBorder="1" applyAlignment="1">
      <alignment horizontal="left" vertical="top" wrapText="1"/>
    </xf>
    <xf numFmtId="3" fontId="640" fillId="7" borderId="3" xfId="0" applyNumberFormat="1" applyFont="1" applyFill="1" applyBorder="1" applyAlignment="1">
      <alignment horizontal="left" vertical="top" wrapText="1"/>
    </xf>
    <xf numFmtId="3" fontId="121" fillId="7" borderId="3" xfId="0" applyNumberFormat="1" applyFont="1" applyFill="1" applyBorder="1" applyAlignment="1">
      <alignment horizontal="left" vertical="top" wrapText="1"/>
    </xf>
    <xf numFmtId="3" fontId="636" fillId="7" borderId="3" xfId="0" applyNumberFormat="1" applyFont="1" applyFill="1" applyBorder="1" applyAlignment="1">
      <alignment horizontal="left" vertical="top" wrapText="1"/>
    </xf>
    <xf numFmtId="3" fontId="345" fillId="7" borderId="3" xfId="0" applyNumberFormat="1" applyFont="1" applyFill="1" applyBorder="1" applyAlignment="1">
      <alignment horizontal="left" vertical="top" wrapText="1"/>
    </xf>
    <xf numFmtId="3" fontId="641" fillId="7" borderId="3" xfId="0" applyNumberFormat="1" applyFont="1" applyFill="1" applyBorder="1" applyAlignment="1">
      <alignment horizontal="left" vertical="top" wrapText="1"/>
    </xf>
    <xf numFmtId="3" fontId="111" fillId="7" borderId="3" xfId="0" applyNumberFormat="1" applyFont="1" applyFill="1" applyBorder="1" applyAlignment="1">
      <alignment horizontal="left" vertical="top" wrapText="1"/>
    </xf>
    <xf numFmtId="3" fontId="642" fillId="7" borderId="3" xfId="0" applyNumberFormat="1" applyFont="1" applyFill="1" applyBorder="1" applyAlignment="1">
      <alignment horizontal="left" vertical="top" wrapText="1"/>
    </xf>
    <xf numFmtId="3" fontId="112" fillId="7" borderId="3" xfId="0" applyNumberFormat="1" applyFont="1" applyFill="1" applyBorder="1" applyAlignment="1">
      <alignment horizontal="left" vertical="top" wrapText="1"/>
    </xf>
    <xf numFmtId="3" fontId="168" fillId="7" borderId="3" xfId="0" applyNumberFormat="1" applyFont="1" applyFill="1" applyBorder="1" applyAlignment="1">
      <alignment horizontal="left" vertical="top" wrapText="1"/>
    </xf>
    <xf numFmtId="3" fontId="349" fillId="7" borderId="3" xfId="0" applyNumberFormat="1" applyFont="1" applyFill="1" applyBorder="1" applyAlignment="1">
      <alignment horizontal="left" vertical="top" wrapText="1"/>
    </xf>
    <xf numFmtId="3" fontId="646" fillId="7" borderId="3" xfId="0" applyNumberFormat="1" applyFont="1" applyFill="1" applyBorder="1" applyAlignment="1">
      <alignment horizontal="left" vertical="top" wrapText="1"/>
    </xf>
    <xf numFmtId="3" fontId="117" fillId="7" borderId="3" xfId="0" applyNumberFormat="1" applyFont="1" applyFill="1" applyBorder="1" applyAlignment="1">
      <alignment horizontal="left" vertical="top" wrapText="1"/>
    </xf>
    <xf numFmtId="3" fontId="683" fillId="7" borderId="3" xfId="0" applyNumberFormat="1" applyFont="1" applyFill="1" applyBorder="1" applyAlignment="1">
      <alignment horizontal="left" vertical="top" wrapText="1"/>
    </xf>
    <xf numFmtId="3" fontId="564" fillId="7" borderId="3" xfId="0" applyNumberFormat="1" applyFont="1" applyFill="1" applyBorder="1" applyAlignment="1">
      <alignment horizontal="left" vertical="top" wrapText="1"/>
    </xf>
    <xf numFmtId="3" fontId="175" fillId="7" borderId="3" xfId="0" applyNumberFormat="1" applyFont="1" applyFill="1" applyBorder="1" applyAlignment="1">
      <alignment horizontal="left" vertical="top" wrapText="1"/>
    </xf>
    <xf numFmtId="3" fontId="356" fillId="7" borderId="3" xfId="0" applyNumberFormat="1" applyFont="1" applyFill="1" applyBorder="1" applyAlignment="1">
      <alignment horizontal="left" vertical="top" wrapText="1"/>
    </xf>
    <xf numFmtId="3" fontId="134" fillId="7" borderId="3" xfId="0" applyNumberFormat="1" applyFont="1" applyFill="1" applyBorder="1" applyAlignment="1">
      <alignment horizontal="left" vertical="top" wrapText="1"/>
    </xf>
    <xf numFmtId="3" fontId="119" fillId="7" borderId="3" xfId="0" applyNumberFormat="1" applyFont="1" applyFill="1" applyBorder="1" applyAlignment="1">
      <alignment horizontal="left" vertical="top" wrapText="1"/>
    </xf>
    <xf numFmtId="3" fontId="226" fillId="7" borderId="3" xfId="0" applyNumberFormat="1" applyFont="1" applyFill="1" applyBorder="1" applyAlignment="1">
      <alignment horizontal="left" vertical="top" wrapText="1"/>
    </xf>
    <xf numFmtId="3" fontId="437" fillId="7" borderId="3" xfId="0" applyNumberFormat="1" applyFont="1" applyFill="1" applyBorder="1" applyAlignment="1">
      <alignment horizontal="left" vertical="top" wrapText="1"/>
    </xf>
    <xf numFmtId="3" fontId="69" fillId="7" borderId="3" xfId="0" applyNumberFormat="1" applyFont="1" applyFill="1" applyBorder="1" applyAlignment="1">
      <alignment horizontal="left" vertical="top" wrapText="1"/>
    </xf>
    <xf numFmtId="3" fontId="475" fillId="7" borderId="3" xfId="0" applyNumberFormat="1" applyFont="1" applyFill="1" applyBorder="1" applyAlignment="1">
      <alignment horizontal="left" vertical="top" wrapText="1"/>
    </xf>
    <xf numFmtId="3" fontId="2505" fillId="7" borderId="3" xfId="0" applyNumberFormat="1" applyFont="1" applyFill="1" applyBorder="1" applyAlignment="1">
      <alignment horizontal="left" vertical="top" wrapText="1"/>
    </xf>
    <xf numFmtId="3" fontId="476" fillId="7" borderId="3" xfId="0" applyNumberFormat="1" applyFont="1" applyFill="1" applyBorder="1" applyAlignment="1">
      <alignment horizontal="left" vertical="top" wrapText="1"/>
    </xf>
    <xf numFmtId="3" fontId="44" fillId="7" borderId="3" xfId="0" applyNumberFormat="1" applyFont="1" applyFill="1" applyBorder="1" applyAlignment="1">
      <alignment horizontal="left" vertical="top" wrapText="1"/>
    </xf>
    <xf numFmtId="3" fontId="388" fillId="7" borderId="3" xfId="0" applyNumberFormat="1" applyFont="1" applyFill="1" applyBorder="1" applyAlignment="1">
      <alignment horizontal="left" vertical="top" wrapText="1"/>
    </xf>
    <xf numFmtId="3" fontId="446" fillId="7" borderId="3" xfId="0" applyNumberFormat="1" applyFont="1" applyFill="1" applyBorder="1" applyAlignment="1">
      <alignment horizontal="left" vertical="top" wrapText="1"/>
    </xf>
    <xf numFmtId="3" fontId="680" fillId="5" borderId="3" xfId="0" applyNumberFormat="1" applyFont="1" applyFill="1" applyBorder="1" applyAlignment="1">
      <alignment horizontal="left" vertical="top" wrapText="1"/>
    </xf>
    <xf numFmtId="3" fontId="470" fillId="5" borderId="3" xfId="0" applyNumberFormat="1" applyFont="1" applyFill="1" applyBorder="1" applyAlignment="1">
      <alignment horizontal="left" vertical="top" wrapText="1"/>
    </xf>
    <xf numFmtId="3" fontId="231" fillId="5" borderId="3" xfId="0" applyNumberFormat="1" applyFont="1" applyFill="1" applyBorder="1" applyAlignment="1">
      <alignment horizontal="left" vertical="top" wrapText="1"/>
    </xf>
    <xf numFmtId="3" fontId="412" fillId="5" borderId="3" xfId="0" applyNumberFormat="1" applyFont="1" applyFill="1" applyBorder="1" applyAlignment="1">
      <alignment horizontal="left" vertical="top" wrapText="1"/>
    </xf>
    <xf numFmtId="3" fontId="164" fillId="7" borderId="3" xfId="0" applyNumberFormat="1" applyFont="1" applyFill="1" applyBorder="1" applyAlignment="1">
      <alignment horizontal="left" vertical="top" wrapText="1"/>
    </xf>
    <xf numFmtId="3" fontId="413" fillId="7" borderId="3" xfId="0" applyNumberFormat="1" applyFont="1" applyFill="1" applyBorder="1" applyAlignment="1">
      <alignment horizontal="left" vertical="top" wrapText="1"/>
    </xf>
    <xf numFmtId="3" fontId="643" fillId="7" borderId="3" xfId="0" applyNumberFormat="1" applyFont="1" applyFill="1" applyBorder="1" applyAlignment="1">
      <alignment horizontal="left" vertical="top" wrapText="1"/>
    </xf>
    <xf numFmtId="3" fontId="113" fillId="7" borderId="3" xfId="0" applyNumberFormat="1" applyFont="1" applyFill="1" applyBorder="1" applyAlignment="1">
      <alignment horizontal="left" vertical="top" wrapText="1"/>
    </xf>
    <xf numFmtId="3" fontId="165" fillId="7" borderId="3" xfId="0" applyNumberFormat="1" applyFont="1" applyFill="1" applyBorder="1" applyAlignment="1">
      <alignment horizontal="left" vertical="top" wrapText="1"/>
    </xf>
    <xf numFmtId="3" fontId="346" fillId="7" borderId="3" xfId="0" applyNumberFormat="1" applyFont="1" applyFill="1" applyBorder="1" applyAlignment="1">
      <alignment horizontal="left" vertical="top" wrapText="1"/>
    </xf>
    <xf numFmtId="3" fontId="644" fillId="7" borderId="3" xfId="0" applyNumberFormat="1" applyFont="1" applyFill="1" applyBorder="1" applyAlignment="1">
      <alignment horizontal="left" vertical="top" wrapText="1"/>
    </xf>
    <xf numFmtId="3" fontId="115" fillId="7" borderId="3" xfId="0" applyNumberFormat="1" applyFont="1" applyFill="1" applyBorder="1" applyAlignment="1">
      <alignment horizontal="left" vertical="top" wrapText="1"/>
    </xf>
    <xf numFmtId="3" fontId="645" fillId="7" borderId="3" xfId="0" applyNumberFormat="1" applyFont="1" applyFill="1" applyBorder="1" applyAlignment="1">
      <alignment horizontal="left" vertical="top" wrapText="1"/>
    </xf>
    <xf numFmtId="3" fontId="116" fillId="7" borderId="3" xfId="0" applyNumberFormat="1" applyFont="1" applyFill="1" applyBorder="1" applyAlignment="1">
      <alignment horizontal="left" vertical="top" wrapText="1"/>
    </xf>
    <xf numFmtId="3" fontId="166" fillId="5" borderId="3" xfId="0" applyNumberFormat="1" applyFont="1" applyFill="1" applyBorder="1" applyAlignment="1">
      <alignment horizontal="left" vertical="top" wrapText="1"/>
    </xf>
    <xf numFmtId="3" fontId="347" fillId="5" borderId="3" xfId="0" applyNumberFormat="1" applyFont="1" applyFill="1" applyBorder="1" applyAlignment="1">
      <alignment horizontal="left" vertical="top" wrapText="1"/>
    </xf>
    <xf numFmtId="3" fontId="681" fillId="5" borderId="3" xfId="0" applyNumberFormat="1" applyFont="1" applyFill="1" applyBorder="1" applyAlignment="1">
      <alignment horizontal="left" vertical="top" wrapText="1"/>
    </xf>
    <xf numFmtId="3" fontId="562" fillId="5" borderId="3" xfId="0" applyNumberFormat="1" applyFont="1" applyFill="1" applyBorder="1" applyAlignment="1">
      <alignment horizontal="left" vertical="top" wrapText="1"/>
    </xf>
    <xf numFmtId="3" fontId="167" fillId="5" borderId="3" xfId="0" applyNumberFormat="1" applyFont="1" applyFill="1" applyBorder="1" applyAlignment="1">
      <alignment horizontal="left" vertical="top" wrapText="1"/>
    </xf>
    <xf numFmtId="3" fontId="348" fillId="5" borderId="3" xfId="0" applyNumberFormat="1" applyFont="1" applyFill="1" applyBorder="1" applyAlignment="1">
      <alignment horizontal="left" vertical="top" wrapText="1"/>
    </xf>
    <xf numFmtId="3" fontId="169" fillId="5" borderId="3" xfId="0" applyNumberFormat="1" applyFont="1" applyFill="1" applyBorder="1" applyAlignment="1">
      <alignment horizontal="left" vertical="top" wrapText="1"/>
    </xf>
    <xf numFmtId="3" fontId="350" fillId="5" borderId="3" xfId="0" applyNumberFormat="1" applyFont="1" applyFill="1" applyBorder="1" applyAlignment="1">
      <alignment horizontal="left" vertical="top" wrapText="1"/>
    </xf>
    <xf numFmtId="3" fontId="647" fillId="5" borderId="3" xfId="0" applyNumberFormat="1" applyFont="1" applyFill="1" applyBorder="1" applyAlignment="1">
      <alignment horizontal="left" vertical="top" wrapText="1"/>
    </xf>
    <xf numFmtId="3" fontId="118" fillId="5" borderId="3" xfId="0" applyNumberFormat="1" applyFont="1" applyFill="1" applyBorder="1" applyAlignment="1">
      <alignment horizontal="left" vertical="top" wrapText="1"/>
    </xf>
    <xf numFmtId="3" fontId="170" fillId="7" borderId="3" xfId="0" applyNumberFormat="1" applyFont="1" applyFill="1" applyBorder="1" applyAlignment="1">
      <alignment horizontal="left" vertical="top" wrapText="1"/>
    </xf>
    <xf numFmtId="3" fontId="351" fillId="7" borderId="3" xfId="0" applyNumberFormat="1" applyFont="1" applyFill="1" applyBorder="1" applyAlignment="1">
      <alignment horizontal="left" vertical="top" wrapText="1"/>
    </xf>
    <xf numFmtId="3" fontId="171" fillId="7" borderId="3" xfId="0" applyNumberFormat="1" applyFont="1" applyFill="1" applyBorder="1" applyAlignment="1">
      <alignment horizontal="left" vertical="top" wrapText="1"/>
    </xf>
    <xf numFmtId="3" fontId="352" fillId="7" borderId="3" xfId="0" applyNumberFormat="1" applyFont="1" applyFill="1" applyBorder="1" applyAlignment="1">
      <alignment horizontal="left" vertical="top" wrapText="1"/>
    </xf>
    <xf numFmtId="3" fontId="682" fillId="7" borderId="3" xfId="0" applyNumberFormat="1" applyFont="1" applyFill="1" applyBorder="1" applyAlignment="1">
      <alignment horizontal="left" vertical="top" wrapText="1"/>
    </xf>
    <xf numFmtId="3" fontId="563" fillId="7" borderId="3" xfId="0" applyNumberFormat="1" applyFont="1" applyFill="1" applyBorder="1" applyAlignment="1">
      <alignment horizontal="left" vertical="top" wrapText="1"/>
    </xf>
    <xf numFmtId="3" fontId="172" fillId="7" borderId="3" xfId="0" applyNumberFormat="1" applyFont="1" applyFill="1" applyBorder="1" applyAlignment="1">
      <alignment horizontal="left" vertical="top" wrapText="1"/>
    </xf>
    <xf numFmtId="3" fontId="353" fillId="7" borderId="3" xfId="0" applyNumberFormat="1" applyFont="1" applyFill="1" applyBorder="1" applyAlignment="1">
      <alignment horizontal="left" vertical="top" wrapText="1"/>
    </xf>
    <xf numFmtId="3" fontId="173" fillId="5" borderId="3" xfId="0" applyNumberFormat="1" applyFont="1" applyFill="1" applyBorder="1" applyAlignment="1">
      <alignment horizontal="left" vertical="top" wrapText="1"/>
    </xf>
    <xf numFmtId="3" fontId="354" fillId="5" borderId="3" xfId="0" applyNumberFormat="1" applyFont="1" applyFill="1" applyBorder="1" applyAlignment="1">
      <alignment horizontal="left" vertical="top" wrapText="1"/>
    </xf>
    <xf numFmtId="3" fontId="679" fillId="5" borderId="3" xfId="0" applyNumberFormat="1" applyFont="1" applyFill="1" applyBorder="1" applyAlignment="1">
      <alignment horizontal="left" vertical="top" wrapText="1"/>
    </xf>
    <xf numFmtId="3" fontId="469" fillId="5" borderId="3" xfId="0" applyNumberFormat="1" applyFont="1" applyFill="1" applyBorder="1" applyAlignment="1">
      <alignment horizontal="left" vertical="top" wrapText="1"/>
    </xf>
    <xf numFmtId="3" fontId="174" fillId="5" borderId="3" xfId="0" applyNumberFormat="1" applyFont="1" applyFill="1" applyBorder="1" applyAlignment="1">
      <alignment horizontal="left" vertical="top" wrapText="1"/>
    </xf>
    <xf numFmtId="3" fontId="355" fillId="5" borderId="3" xfId="0" applyNumberFormat="1" applyFont="1" applyFill="1" applyBorder="1" applyAlignment="1">
      <alignment horizontal="left" vertical="top" wrapText="1"/>
    </xf>
    <xf numFmtId="3" fontId="176" fillId="5" borderId="3" xfId="0" applyNumberFormat="1" applyFont="1" applyFill="1" applyBorder="1" applyAlignment="1">
      <alignment horizontal="left" vertical="top" wrapText="1"/>
    </xf>
    <xf numFmtId="3" fontId="357" fillId="5" borderId="3" xfId="0" applyNumberFormat="1" applyFont="1" applyFill="1" applyBorder="1" applyAlignment="1">
      <alignment horizontal="left" vertical="top" wrapText="1"/>
    </xf>
    <xf numFmtId="3" fontId="177" fillId="5" borderId="3" xfId="0" applyNumberFormat="1" applyFont="1" applyFill="1" applyBorder="1" applyAlignment="1">
      <alignment horizontal="left" vertical="top" wrapText="1"/>
    </xf>
    <xf numFmtId="3" fontId="358" fillId="5" borderId="3" xfId="0" applyNumberFormat="1" applyFont="1" applyFill="1" applyBorder="1" applyAlignment="1">
      <alignment horizontal="left" vertical="top" wrapText="1"/>
    </xf>
    <xf numFmtId="3" fontId="660" fillId="5" borderId="3" xfId="0" applyNumberFormat="1" applyFont="1" applyFill="1" applyBorder="1" applyAlignment="1">
      <alignment horizontal="left" vertical="top" wrapText="1"/>
    </xf>
    <xf numFmtId="3" fontId="565" fillId="5" borderId="3" xfId="0" applyNumberFormat="1" applyFont="1" applyFill="1" applyBorder="1" applyAlignment="1">
      <alignment horizontal="left" vertical="top" wrapText="1"/>
    </xf>
    <xf numFmtId="3" fontId="178" fillId="5" borderId="3" xfId="0" applyNumberFormat="1" applyFont="1" applyFill="1" applyBorder="1" applyAlignment="1">
      <alignment horizontal="left" vertical="top" wrapText="1"/>
    </xf>
    <xf numFmtId="3" fontId="359" fillId="5" borderId="3" xfId="0" applyNumberFormat="1" applyFont="1" applyFill="1" applyBorder="1" applyAlignment="1">
      <alignment horizontal="left" vertical="top" wrapText="1"/>
    </xf>
    <xf numFmtId="3" fontId="668" fillId="5" borderId="3" xfId="0" applyNumberFormat="1" applyFont="1" applyFill="1" applyBorder="1" applyAlignment="1">
      <alignment horizontal="left" vertical="top" wrapText="1"/>
    </xf>
    <xf numFmtId="3" fontId="566" fillId="5" borderId="3" xfId="0" applyNumberFormat="1" applyFont="1" applyFill="1" applyBorder="1" applyAlignment="1">
      <alignment horizontal="left" vertical="top" wrapText="1"/>
    </xf>
    <xf numFmtId="3" fontId="179" fillId="5" borderId="3" xfId="0" applyNumberFormat="1" applyFont="1" applyFill="1" applyBorder="1" applyAlignment="1">
      <alignment horizontal="left" vertical="top" wrapText="1"/>
    </xf>
    <xf numFmtId="3" fontId="360" fillId="5" borderId="3" xfId="0" applyNumberFormat="1" applyFont="1" applyFill="1" applyBorder="1" applyAlignment="1">
      <alignment horizontal="left" vertical="top" wrapText="1"/>
    </xf>
    <xf numFmtId="3" fontId="664" fillId="5" borderId="3" xfId="0" applyNumberFormat="1" applyFont="1" applyFill="1" applyBorder="1" applyAlignment="1">
      <alignment horizontal="left" vertical="top" wrapText="1"/>
    </xf>
    <xf numFmtId="3" fontId="337" fillId="5" borderId="3" xfId="0" applyNumberFormat="1" applyFont="1" applyFill="1" applyBorder="1" applyAlignment="1">
      <alignment horizontal="left" vertical="top" wrapText="1"/>
    </xf>
    <xf numFmtId="3" fontId="180" fillId="5" borderId="3" xfId="0" applyNumberFormat="1" applyFont="1" applyFill="1" applyBorder="1" applyAlignment="1">
      <alignment horizontal="left" vertical="top" wrapText="1"/>
    </xf>
    <xf numFmtId="3" fontId="361" fillId="5" borderId="3" xfId="0" applyNumberFormat="1" applyFont="1" applyFill="1" applyBorder="1" applyAlignment="1">
      <alignment horizontal="left" vertical="top" wrapText="1"/>
    </xf>
    <xf numFmtId="3" fontId="135" fillId="5" borderId="3" xfId="0" applyNumberFormat="1" applyFont="1" applyFill="1" applyBorder="1" applyAlignment="1">
      <alignment horizontal="left" vertical="top" wrapText="1"/>
    </xf>
    <xf numFmtId="3" fontId="120" fillId="5" borderId="3" xfId="0" applyNumberFormat="1" applyFont="1" applyFill="1" applyBorder="1" applyAlignment="1">
      <alignment horizontal="left" vertical="top" wrapText="1"/>
    </xf>
    <xf numFmtId="3" fontId="665" fillId="5" borderId="3" xfId="0" applyNumberFormat="1" applyFont="1" applyFill="1" applyBorder="1" applyAlignment="1">
      <alignment horizontal="left" vertical="top" wrapText="1"/>
    </xf>
    <xf numFmtId="3" fontId="338" fillId="5" borderId="3" xfId="0" applyNumberFormat="1" applyFont="1" applyFill="1" applyBorder="1" applyAlignment="1">
      <alignment horizontal="left" vertical="top" wrapText="1"/>
    </xf>
    <xf numFmtId="3" fontId="666" fillId="5" borderId="3" xfId="0" applyNumberFormat="1" applyFont="1" applyFill="1" applyBorder="1" applyAlignment="1">
      <alignment horizontal="left" vertical="top" wrapText="1"/>
    </xf>
    <xf numFmtId="3" fontId="339" fillId="5" borderId="3" xfId="0" applyNumberFormat="1" applyFont="1" applyFill="1" applyBorder="1" applyAlignment="1">
      <alignment horizontal="left" vertical="top" wrapText="1"/>
    </xf>
    <xf numFmtId="3" fontId="667" fillId="7" borderId="3" xfId="0" applyNumberFormat="1" applyFont="1" applyFill="1" applyBorder="1" applyAlignment="1">
      <alignment horizontal="left" vertical="top" wrapText="1"/>
    </xf>
    <xf numFmtId="3" fontId="340" fillId="7" borderId="3" xfId="0" applyNumberFormat="1" applyFont="1" applyFill="1" applyBorder="1" applyAlignment="1">
      <alignment horizontal="left" vertical="top" wrapText="1"/>
    </xf>
    <xf numFmtId="3" fontId="181" fillId="7" borderId="3" xfId="0" applyNumberFormat="1" applyFont="1" applyFill="1" applyBorder="1" applyAlignment="1">
      <alignment horizontal="left" vertical="top" wrapText="1"/>
    </xf>
    <xf numFmtId="3" fontId="362" fillId="7" borderId="3" xfId="0" applyNumberFormat="1" applyFont="1" applyFill="1" applyBorder="1" applyAlignment="1">
      <alignment horizontal="left" vertical="top" wrapText="1"/>
    </xf>
    <xf numFmtId="3" fontId="182" fillId="7" borderId="3" xfId="0" applyNumberFormat="1" applyFont="1" applyFill="1" applyBorder="1" applyAlignment="1">
      <alignment horizontal="left" vertical="top" wrapText="1"/>
    </xf>
    <xf numFmtId="3" fontId="363" fillId="7" borderId="3" xfId="0" applyNumberFormat="1" applyFont="1" applyFill="1" applyBorder="1" applyAlignment="1">
      <alignment horizontal="left" vertical="top" wrapText="1"/>
    </xf>
    <xf numFmtId="3" fontId="183" fillId="7" borderId="3" xfId="0" applyNumberFormat="1" applyFont="1" applyFill="1" applyBorder="1" applyAlignment="1">
      <alignment horizontal="left" vertical="top" wrapText="1"/>
    </xf>
    <xf numFmtId="3" fontId="364" fillId="7" borderId="3" xfId="0" applyNumberFormat="1" applyFont="1" applyFill="1" applyBorder="1" applyAlignment="1">
      <alignment horizontal="left" vertical="top" wrapText="1"/>
    </xf>
    <xf numFmtId="3" fontId="184" fillId="5" borderId="3" xfId="0" applyNumberFormat="1" applyFont="1" applyFill="1" applyBorder="1" applyAlignment="1">
      <alignment horizontal="left" vertical="top" wrapText="1"/>
    </xf>
    <xf numFmtId="3" fontId="365" fillId="5" borderId="3" xfId="0" applyNumberFormat="1" applyFont="1" applyFill="1" applyBorder="1" applyAlignment="1">
      <alignment horizontal="left" vertical="top" wrapText="1"/>
    </xf>
    <xf numFmtId="3" fontId="136" fillId="5" borderId="3" xfId="0" applyNumberFormat="1" applyFont="1" applyFill="1" applyBorder="1" applyAlignment="1">
      <alignment horizontal="left" vertical="top" wrapText="1"/>
    </xf>
    <xf numFmtId="3" fontId="57" fillId="5" borderId="3" xfId="0" applyNumberFormat="1" applyFont="1" applyFill="1" applyBorder="1" applyAlignment="1">
      <alignment horizontal="left" vertical="top" wrapText="1"/>
    </xf>
    <xf numFmtId="3" fontId="137" fillId="5" borderId="3" xfId="0" applyNumberFormat="1" applyFont="1" applyFill="1" applyBorder="1" applyAlignment="1">
      <alignment horizontal="left" vertical="top" wrapText="1"/>
    </xf>
    <xf numFmtId="3" fontId="58" fillId="5" borderId="3" xfId="0" applyNumberFormat="1" applyFont="1" applyFill="1" applyBorder="1" applyAlignment="1">
      <alignment horizontal="left" vertical="top" wrapText="1"/>
    </xf>
    <xf numFmtId="3" fontId="185" fillId="5" borderId="3" xfId="0" applyNumberFormat="1" applyFont="1" applyFill="1" applyBorder="1" applyAlignment="1">
      <alignment horizontal="left" vertical="top" wrapText="1"/>
    </xf>
    <xf numFmtId="3" fontId="366" fillId="5" borderId="3" xfId="0" applyNumberFormat="1" applyFont="1" applyFill="1" applyBorder="1" applyAlignment="1">
      <alignment horizontal="left" vertical="top" wrapText="1"/>
    </xf>
    <xf numFmtId="3" fontId="138" fillId="5" borderId="3" xfId="0" applyNumberFormat="1" applyFont="1" applyFill="1" applyBorder="1" applyAlignment="1">
      <alignment horizontal="left" vertical="top" wrapText="1"/>
    </xf>
    <xf numFmtId="3" fontId="648" fillId="5" borderId="3" xfId="0" applyNumberFormat="1" applyFont="1" applyFill="1" applyBorder="1" applyAlignment="1">
      <alignment horizontal="left" vertical="top" wrapText="1"/>
    </xf>
    <xf numFmtId="3" fontId="139" fillId="7" borderId="3" xfId="0" applyNumberFormat="1" applyFont="1" applyFill="1" applyBorder="1" applyAlignment="1">
      <alignment horizontal="left" vertical="top" wrapText="1"/>
    </xf>
    <xf numFmtId="3" fontId="649" fillId="7" borderId="3" xfId="0" applyNumberFormat="1" applyFont="1" applyFill="1" applyBorder="1" applyAlignment="1">
      <alignment horizontal="left" vertical="top" wrapText="1"/>
    </xf>
    <xf numFmtId="3" fontId="140" fillId="7" borderId="3" xfId="0" applyNumberFormat="1" applyFont="1" applyFill="1" applyBorder="1" applyAlignment="1">
      <alignment horizontal="left" vertical="top" wrapText="1"/>
    </xf>
    <xf numFmtId="3" fontId="650" fillId="7" borderId="3" xfId="0" applyNumberFormat="1" applyFont="1" applyFill="1" applyBorder="1" applyAlignment="1">
      <alignment horizontal="left" vertical="top" wrapText="1"/>
    </xf>
    <xf numFmtId="3" fontId="186" fillId="7" borderId="3" xfId="0" applyNumberFormat="1" applyFont="1" applyFill="1" applyBorder="1" applyAlignment="1">
      <alignment horizontal="left" vertical="top" wrapText="1"/>
    </xf>
    <xf numFmtId="3" fontId="367" fillId="7" borderId="3" xfId="0" applyNumberFormat="1" applyFont="1" applyFill="1" applyBorder="1" applyAlignment="1">
      <alignment horizontal="left" vertical="top" wrapText="1"/>
    </xf>
    <xf numFmtId="3" fontId="187" fillId="5" borderId="3" xfId="0" applyNumberFormat="1" applyFont="1" applyFill="1" applyBorder="1" applyAlignment="1">
      <alignment horizontal="left" vertical="top" wrapText="1"/>
    </xf>
    <xf numFmtId="3" fontId="368" fillId="5" borderId="3" xfId="0" applyNumberFormat="1" applyFont="1" applyFill="1" applyBorder="1" applyAlignment="1">
      <alignment horizontal="left" vertical="top" wrapText="1"/>
    </xf>
    <xf numFmtId="3" fontId="483" fillId="5" borderId="3" xfId="0" applyNumberFormat="1" applyFont="1" applyFill="1" applyBorder="1" applyAlignment="1">
      <alignment horizontal="left" vertical="top" wrapText="1"/>
    </xf>
    <xf numFmtId="3" fontId="341" fillId="5" borderId="3" xfId="0" applyNumberFormat="1" applyFont="1" applyFill="1" applyBorder="1" applyAlignment="1">
      <alignment horizontal="left" vertical="top" wrapText="1"/>
    </xf>
    <xf numFmtId="3" fontId="141" fillId="5" borderId="3" xfId="0" applyNumberFormat="1" applyFont="1" applyFill="1" applyBorder="1" applyAlignment="1">
      <alignment horizontal="left" vertical="top" wrapText="1"/>
    </xf>
    <xf numFmtId="3" fontId="651" fillId="5" borderId="3" xfId="0" applyNumberFormat="1" applyFont="1" applyFill="1" applyBorder="1" applyAlignment="1">
      <alignment horizontal="left" vertical="top" wrapText="1"/>
    </xf>
    <xf numFmtId="3" fontId="188" fillId="5" borderId="3" xfId="0" applyNumberFormat="1" applyFont="1" applyFill="1" applyBorder="1" applyAlignment="1">
      <alignment horizontal="left" vertical="top" wrapText="1"/>
    </xf>
    <xf numFmtId="3" fontId="369" fillId="5" borderId="3" xfId="0" applyNumberFormat="1" applyFont="1" applyFill="1" applyBorder="1" applyAlignment="1">
      <alignment horizontal="left" vertical="top" wrapText="1"/>
    </xf>
    <xf numFmtId="3" fontId="484" fillId="5" borderId="3" xfId="0" applyNumberFormat="1" applyFont="1" applyFill="1" applyBorder="1" applyAlignment="1">
      <alignment horizontal="left" vertical="top" wrapText="1"/>
    </xf>
    <xf numFmtId="3" fontId="342" fillId="5" borderId="3" xfId="0" applyNumberFormat="1" applyFont="1" applyFill="1" applyBorder="1" applyAlignment="1">
      <alignment horizontal="left" vertical="top" wrapText="1"/>
    </xf>
    <xf numFmtId="3" fontId="142" fillId="5" borderId="3" xfId="0" applyNumberFormat="1" applyFont="1" applyFill="1" applyBorder="1" applyAlignment="1">
      <alignment horizontal="left" vertical="top" wrapText="1"/>
    </xf>
    <xf numFmtId="3" fontId="652" fillId="5" borderId="3" xfId="0" applyNumberFormat="1" applyFont="1" applyFill="1" applyBorder="1" applyAlignment="1">
      <alignment horizontal="left" vertical="top" wrapText="1"/>
    </xf>
    <xf numFmtId="3" fontId="485" fillId="7" borderId="3" xfId="0" applyNumberFormat="1" applyFont="1" applyFill="1" applyBorder="1" applyAlignment="1">
      <alignment horizontal="left" vertical="top" wrapText="1"/>
    </xf>
    <xf numFmtId="3" fontId="343" fillId="7" borderId="3" xfId="0" applyNumberFormat="1" applyFont="1" applyFill="1" applyBorder="1" applyAlignment="1">
      <alignment horizontal="left" vertical="top" wrapText="1"/>
    </xf>
    <xf numFmtId="3" fontId="143" fillId="7" borderId="3" xfId="0" applyNumberFormat="1" applyFont="1" applyFill="1" applyBorder="1" applyAlignment="1">
      <alignment horizontal="left" vertical="top" wrapText="1"/>
    </xf>
    <xf numFmtId="3" fontId="653" fillId="7" borderId="3" xfId="0" applyNumberFormat="1" applyFont="1" applyFill="1" applyBorder="1" applyAlignment="1">
      <alignment horizontal="left" vertical="top" wrapText="1"/>
    </xf>
    <xf numFmtId="3" fontId="189" fillId="7" borderId="3" xfId="0" applyNumberFormat="1" applyFont="1" applyFill="1" applyBorder="1" applyAlignment="1">
      <alignment horizontal="left" vertical="top" wrapText="1"/>
    </xf>
    <xf numFmtId="3" fontId="370" fillId="7" borderId="3" xfId="0" applyNumberFormat="1" applyFont="1" applyFill="1" applyBorder="1" applyAlignment="1">
      <alignment horizontal="left" vertical="top" wrapText="1"/>
    </xf>
    <xf numFmtId="3" fontId="190" fillId="7" borderId="3" xfId="0" applyNumberFormat="1" applyFont="1" applyFill="1" applyBorder="1" applyAlignment="1">
      <alignment horizontal="left" vertical="top" wrapText="1"/>
    </xf>
    <xf numFmtId="3" fontId="371" fillId="7" borderId="3" xfId="0" applyNumberFormat="1" applyFont="1" applyFill="1" applyBorder="1" applyAlignment="1">
      <alignment horizontal="left" vertical="top" wrapText="1"/>
    </xf>
    <xf numFmtId="3" fontId="191" fillId="7" borderId="3" xfId="0" applyNumberFormat="1" applyFont="1" applyFill="1" applyBorder="1" applyAlignment="1">
      <alignment horizontal="left" vertical="top" wrapText="1"/>
    </xf>
    <xf numFmtId="3" fontId="372" fillId="7" borderId="3" xfId="0" applyNumberFormat="1" applyFont="1" applyFill="1" applyBorder="1" applyAlignment="1">
      <alignment horizontal="left" vertical="top" wrapText="1"/>
    </xf>
    <xf numFmtId="3" fontId="192" fillId="5" borderId="3" xfId="0" applyNumberFormat="1" applyFont="1" applyFill="1" applyBorder="1" applyAlignment="1">
      <alignment horizontal="left" vertical="top" wrapText="1"/>
    </xf>
    <xf numFmtId="3" fontId="373" fillId="5" borderId="3" xfId="0" applyNumberFormat="1" applyFont="1" applyFill="1" applyBorder="1" applyAlignment="1">
      <alignment horizontal="left" vertical="top" wrapText="1"/>
    </xf>
    <xf numFmtId="3" fontId="486" fillId="5" borderId="3" xfId="0" applyNumberFormat="1" applyFont="1" applyFill="1" applyBorder="1" applyAlignment="1">
      <alignment horizontal="left" vertical="top" wrapText="1"/>
    </xf>
    <xf numFmtId="3" fontId="344" fillId="5" borderId="3" xfId="0" applyNumberFormat="1" applyFont="1" applyFill="1" applyBorder="1" applyAlignment="1">
      <alignment horizontal="left" vertical="top" wrapText="1"/>
    </xf>
    <xf numFmtId="3" fontId="449" fillId="5" borderId="3" xfId="0" applyNumberFormat="1" applyFont="1" applyFill="1" applyBorder="1" applyAlignment="1">
      <alignment horizontal="left" vertical="top" wrapText="1"/>
    </xf>
    <xf numFmtId="3" fontId="450" fillId="5" borderId="3" xfId="0" applyNumberFormat="1" applyFont="1" applyFill="1" applyBorder="1" applyAlignment="1">
      <alignment horizontal="left" vertical="top" wrapText="1"/>
    </xf>
    <xf numFmtId="3" fontId="224" fillId="5" borderId="3" xfId="0" applyNumberFormat="1" applyFont="1" applyFill="1" applyBorder="1" applyAlignment="1">
      <alignment horizontal="left" vertical="top" wrapText="1"/>
    </xf>
    <xf numFmtId="3" fontId="131" fillId="5" borderId="3" xfId="0" applyNumberFormat="1" applyFont="1" applyFill="1" applyBorder="1" applyAlignment="1">
      <alignment horizontal="left" vertical="top" wrapText="1"/>
    </xf>
    <xf numFmtId="3" fontId="225" fillId="5" borderId="3" xfId="0" applyNumberFormat="1" applyFont="1" applyFill="1" applyBorder="1" applyAlignment="1">
      <alignment horizontal="left" vertical="top" wrapText="1"/>
    </xf>
    <xf numFmtId="3" fontId="132" fillId="5" borderId="3" xfId="0" applyNumberFormat="1" applyFont="1" applyFill="1" applyBorder="1" applyAlignment="1">
      <alignment horizontal="left" vertical="top" wrapText="1"/>
    </xf>
    <xf numFmtId="3" fontId="556" fillId="5" borderId="3" xfId="0" applyNumberFormat="1" applyFont="1" applyFill="1" applyBorder="1" applyAlignment="1">
      <alignment horizontal="left" vertical="top" wrapText="1"/>
    </xf>
    <xf numFmtId="3" fontId="333" fillId="5" borderId="3" xfId="0" applyNumberFormat="1" applyFont="1" applyFill="1" applyBorder="1" applyAlignment="1">
      <alignment horizontal="left" vertical="top" wrapText="1"/>
    </xf>
    <xf numFmtId="3" fontId="661" fillId="5" borderId="3" xfId="0" applyNumberFormat="1" applyFont="1" applyFill="1" applyBorder="1" applyAlignment="1">
      <alignment horizontal="left" vertical="top" wrapText="1"/>
    </xf>
    <xf numFmtId="3" fontId="334" fillId="5" borderId="3" xfId="0" applyNumberFormat="1" applyFont="1" applyFill="1" applyBorder="1" applyAlignment="1">
      <alignment horizontal="left" vertical="top" wrapText="1"/>
    </xf>
    <xf numFmtId="3" fontId="662" fillId="5" borderId="3" xfId="0" applyNumberFormat="1" applyFont="1" applyFill="1" applyBorder="1" applyAlignment="1">
      <alignment horizontal="left" vertical="top" wrapText="1"/>
    </xf>
    <xf numFmtId="3" fontId="335" fillId="5" borderId="3" xfId="0" applyNumberFormat="1" applyFont="1" applyFill="1" applyBorder="1" applyAlignment="1">
      <alignment horizontal="left" vertical="top" wrapText="1"/>
    </xf>
    <xf numFmtId="3" fontId="227" fillId="5" borderId="3" xfId="0" applyNumberFormat="1" applyFont="1" applyFill="1" applyBorder="1" applyAlignment="1">
      <alignment horizontal="left" vertical="top" wrapText="1"/>
    </xf>
    <xf numFmtId="3" fontId="438" fillId="5" borderId="3" xfId="0" applyNumberFormat="1" applyFont="1" applyFill="1" applyBorder="1" applyAlignment="1">
      <alignment horizontal="left" vertical="top" wrapText="1"/>
    </xf>
    <xf numFmtId="3" fontId="326" fillId="7" borderId="3" xfId="0" applyNumberFormat="1" applyFont="1" applyFill="1" applyBorder="1" applyAlignment="1">
      <alignment horizontal="left" vertical="top" wrapText="1"/>
    </xf>
    <xf numFmtId="3" fontId="439" fillId="7" borderId="3" xfId="0" applyNumberFormat="1" applyFont="1" applyFill="1" applyBorder="1" applyAlignment="1">
      <alignment horizontal="left" vertical="top" wrapText="1"/>
    </xf>
    <xf numFmtId="3" fontId="63" fillId="7" borderId="3" xfId="0" applyNumberFormat="1" applyFont="1" applyFill="1" applyBorder="1" applyAlignment="1">
      <alignment horizontal="left" vertical="top" wrapText="1"/>
    </xf>
    <xf numFmtId="3" fontId="440" fillId="7" borderId="3" xfId="0" applyNumberFormat="1" applyFont="1" applyFill="1" applyBorder="1" applyAlignment="1">
      <alignment horizontal="left" vertical="top" wrapText="1"/>
    </xf>
    <xf numFmtId="3" fontId="64" fillId="7" borderId="3" xfId="0" applyNumberFormat="1" applyFont="1" applyFill="1" applyBorder="1" applyAlignment="1">
      <alignment horizontal="left" vertical="top" wrapText="1"/>
    </xf>
    <xf numFmtId="3" fontId="441" fillId="7" borderId="3" xfId="0" applyNumberFormat="1" applyFont="1" applyFill="1" applyBorder="1" applyAlignment="1">
      <alignment horizontal="left" vertical="top" wrapText="1"/>
    </xf>
    <xf numFmtId="3" fontId="65" fillId="7" borderId="3" xfId="0" applyNumberFormat="1" applyFont="1" applyFill="1" applyBorder="1" applyAlignment="1">
      <alignment horizontal="left" vertical="top" wrapText="1"/>
    </xf>
    <xf numFmtId="3" fontId="442" fillId="7" borderId="3" xfId="0" applyNumberFormat="1" applyFont="1" applyFill="1" applyBorder="1" applyAlignment="1">
      <alignment horizontal="left" vertical="top" wrapText="1"/>
    </xf>
    <xf numFmtId="3" fontId="66" fillId="7" borderId="3" xfId="0" applyNumberFormat="1" applyFont="1" applyFill="1" applyBorder="1" applyAlignment="1">
      <alignment horizontal="left" vertical="top" wrapText="1"/>
    </xf>
    <xf numFmtId="3" fontId="443" fillId="7" borderId="3" xfId="0" applyNumberFormat="1" applyFont="1" applyFill="1" applyBorder="1" applyAlignment="1">
      <alignment horizontal="left" vertical="top" wrapText="1"/>
    </xf>
    <xf numFmtId="3" fontId="67" fillId="7" borderId="3" xfId="0" applyNumberFormat="1" applyFont="1" applyFill="1" applyBorder="1" applyAlignment="1">
      <alignment horizontal="left" vertical="top" wrapText="1"/>
    </xf>
    <xf numFmtId="3" fontId="473" fillId="7" borderId="3" xfId="0" applyNumberFormat="1" applyFont="1" applyFill="1" applyBorder="1" applyAlignment="1">
      <alignment horizontal="left" vertical="top" wrapText="1"/>
    </xf>
    <xf numFmtId="3" fontId="68" fillId="5" borderId="3" xfId="0" applyNumberFormat="1" applyFont="1" applyFill="1" applyBorder="1" applyAlignment="1">
      <alignment horizontal="left" vertical="top" wrapText="1"/>
    </xf>
    <xf numFmtId="3" fontId="474" fillId="5" borderId="3" xfId="0" applyNumberFormat="1" applyFont="1" applyFill="1" applyBorder="1" applyAlignment="1">
      <alignment horizontal="left" vertical="top" wrapText="1"/>
    </xf>
    <xf numFmtId="3" fontId="144" fillId="5" borderId="3" xfId="0" applyNumberFormat="1" applyFont="1" applyFill="1" applyBorder="1" applyAlignment="1">
      <alignment horizontal="left" vertical="top" wrapText="1"/>
    </xf>
    <xf numFmtId="3" fontId="654" fillId="5" borderId="3" xfId="0" applyNumberFormat="1" applyFont="1" applyFill="1" applyBorder="1" applyAlignment="1">
      <alignment horizontal="left" vertical="top" wrapText="1"/>
    </xf>
    <xf numFmtId="3" fontId="149" fillId="5" borderId="3" xfId="0" applyNumberFormat="1" applyFont="1" applyFill="1" applyBorder="1" applyAlignment="1">
      <alignment horizontal="left" vertical="top" wrapText="1"/>
    </xf>
    <xf numFmtId="3" fontId="655" fillId="5" borderId="3" xfId="0" applyNumberFormat="1" applyFont="1" applyFill="1" applyBorder="1" applyAlignment="1">
      <alignment horizontal="left" vertical="top" wrapText="1"/>
    </xf>
    <xf numFmtId="3" fontId="669" fillId="5" borderId="3" xfId="0" applyNumberFormat="1" applyFont="1" applyFill="1" applyBorder="1" applyAlignment="1">
      <alignment horizontal="left" vertical="top" wrapText="1"/>
    </xf>
    <xf numFmtId="3" fontId="567" fillId="5" borderId="3" xfId="0" applyNumberFormat="1" applyFont="1" applyFill="1" applyBorder="1" applyAlignment="1">
      <alignment horizontal="left" vertical="top" wrapText="1"/>
    </xf>
    <xf numFmtId="3" fontId="670" fillId="5" borderId="3" xfId="0" applyNumberFormat="1" applyFont="1" applyFill="1" applyBorder="1" applyAlignment="1">
      <alignment horizontal="left" vertical="top" wrapText="1"/>
    </xf>
    <xf numFmtId="3" fontId="568" fillId="5" borderId="3" xfId="0" applyNumberFormat="1" applyFont="1" applyFill="1" applyBorder="1" applyAlignment="1">
      <alignment horizontal="left" vertical="top" wrapText="1"/>
    </xf>
    <xf numFmtId="3" fontId="70" fillId="7" borderId="3" xfId="0" applyNumberFormat="1" applyFont="1" applyFill="1" applyBorder="1" applyAlignment="1">
      <alignment horizontal="left" vertical="top" wrapText="1"/>
    </xf>
    <xf numFmtId="3" fontId="71" fillId="5" borderId="3" xfId="0" applyNumberFormat="1" applyFont="1" applyFill="1" applyBorder="1" applyAlignment="1">
      <alignment horizontal="left" vertical="top" wrapText="1"/>
    </xf>
    <xf numFmtId="3" fontId="477" fillId="5" borderId="3" xfId="0" applyNumberFormat="1" applyFont="1" applyFill="1" applyBorder="1" applyAlignment="1">
      <alignment horizontal="left" vertical="top" wrapText="1"/>
    </xf>
    <xf numFmtId="3" fontId="72" fillId="5" borderId="3" xfId="0" applyNumberFormat="1" applyFont="1" applyFill="1" applyBorder="1" applyAlignment="1">
      <alignment horizontal="left" vertical="top" wrapText="1"/>
    </xf>
    <xf numFmtId="3" fontId="478" fillId="5" borderId="3" xfId="0" applyNumberFormat="1" applyFont="1" applyFill="1" applyBorder="1" applyAlignment="1">
      <alignment horizontal="left" vertical="top" wrapText="1"/>
    </xf>
    <xf numFmtId="3" fontId="229" fillId="5" borderId="3" xfId="0" applyNumberFormat="1" applyFont="1" applyFill="1" applyBorder="1" applyAlignment="1">
      <alignment horizontal="left" vertical="top" wrapText="1"/>
    </xf>
    <xf numFmtId="3" fontId="638" fillId="5" borderId="3" xfId="0" applyNumberFormat="1" applyFont="1" applyFill="1" applyBorder="1" applyAlignment="1">
      <alignment horizontal="left" vertical="top" wrapText="1"/>
    </xf>
    <xf numFmtId="3" fontId="283" fillId="5" borderId="3" xfId="0" applyNumberFormat="1" applyFont="1" applyFill="1" applyBorder="1" applyAlignment="1">
      <alignment horizontal="left" vertical="top" wrapText="1"/>
    </xf>
    <xf numFmtId="3" fontId="569" fillId="5" borderId="3" xfId="0" applyNumberFormat="1" applyFont="1" applyFill="1" applyBorder="1" applyAlignment="1">
      <alignment horizontal="left" vertical="top" wrapText="1"/>
    </xf>
    <xf numFmtId="3" fontId="150" fillId="5" borderId="3" xfId="0" applyNumberFormat="1" applyFont="1" applyFill="1" applyBorder="1" applyAlignment="1">
      <alignment horizontal="left" vertical="top" wrapText="1"/>
    </xf>
    <xf numFmtId="3" fontId="42" fillId="5" borderId="3" xfId="0" applyNumberFormat="1" applyFont="1" applyFill="1" applyBorder="1" applyAlignment="1">
      <alignment horizontal="left" vertical="top" wrapText="1"/>
    </xf>
    <xf numFmtId="3" fontId="73" fillId="5" borderId="3" xfId="0" applyNumberFormat="1" applyFont="1" applyFill="1" applyBorder="1" applyAlignment="1">
      <alignment horizontal="left" vertical="top" wrapText="1"/>
    </xf>
    <xf numFmtId="3" fontId="479" fillId="5" borderId="3" xfId="0" applyNumberFormat="1" applyFont="1" applyFill="1" applyBorder="1" applyAlignment="1">
      <alignment horizontal="left" vertical="top" wrapText="1"/>
    </xf>
    <xf numFmtId="3" fontId="74" fillId="5" borderId="3" xfId="0" applyNumberFormat="1" applyFont="1" applyFill="1" applyBorder="1" applyAlignment="1">
      <alignment horizontal="left" vertical="top" wrapText="1"/>
    </xf>
    <xf numFmtId="3" fontId="480" fillId="5" borderId="3" xfId="0" applyNumberFormat="1" applyFont="1" applyFill="1" applyBorder="1" applyAlignment="1">
      <alignment horizontal="left" vertical="top" wrapText="1"/>
    </xf>
    <xf numFmtId="3" fontId="228" fillId="5" borderId="3" xfId="0" applyNumberFormat="1" applyFont="1" applyFill="1" applyBorder="1" applyAlignment="1">
      <alignment horizontal="left" vertical="top" wrapText="1"/>
    </xf>
    <xf numFmtId="3" fontId="482" fillId="5" borderId="3" xfId="0" applyNumberFormat="1" applyFont="1" applyFill="1" applyBorder="1" applyAlignment="1">
      <alignment horizontal="left" vertical="top" wrapText="1"/>
    </xf>
    <xf numFmtId="3" fontId="133" fillId="5" borderId="3" xfId="0" applyNumberFormat="1" applyFont="1" applyFill="1" applyBorder="1" applyAlignment="1">
      <alignment horizontal="left" vertical="top" wrapText="1"/>
    </xf>
    <xf numFmtId="3" fontId="481" fillId="5" borderId="3" xfId="0" applyNumberFormat="1" applyFont="1" applyFill="1" applyBorder="1" applyAlignment="1">
      <alignment horizontal="left" vertical="top" wrapText="1"/>
    </xf>
    <xf numFmtId="3" fontId="151" fillId="5" borderId="3" xfId="0" applyNumberFormat="1" applyFont="1" applyFill="1" applyBorder="1" applyAlignment="1">
      <alignment horizontal="left" vertical="top" wrapText="1"/>
    </xf>
    <xf numFmtId="3" fontId="43" fillId="5" borderId="3" xfId="0" applyNumberFormat="1" applyFont="1" applyFill="1" applyBorder="1" applyAlignment="1">
      <alignment horizontal="left" vertical="top" wrapText="1"/>
    </xf>
    <xf numFmtId="3" fontId="286" fillId="5" borderId="3" xfId="0" applyNumberFormat="1" applyFont="1" applyFill="1" applyBorder="1" applyAlignment="1">
      <alignment horizontal="left" vertical="top" wrapText="1"/>
    </xf>
    <xf numFmtId="3" fontId="572" fillId="5" borderId="3" xfId="0" applyNumberFormat="1" applyFont="1" applyFill="1" applyBorder="1" applyAlignment="1">
      <alignment horizontal="left" vertical="top" wrapText="1"/>
    </xf>
    <xf numFmtId="3" fontId="287" fillId="5" borderId="3" xfId="0" applyNumberFormat="1" applyFont="1" applyFill="1" applyBorder="1" applyAlignment="1">
      <alignment horizontal="left" vertical="top" wrapText="1"/>
    </xf>
    <xf numFmtId="3" fontId="573" fillId="5" borderId="3" xfId="0" applyNumberFormat="1" applyFont="1" applyFill="1" applyBorder="1" applyAlignment="1">
      <alignment horizontal="left" vertical="top" wrapText="1"/>
    </xf>
    <xf numFmtId="3" fontId="288" fillId="5" borderId="3" xfId="0" applyNumberFormat="1" applyFont="1" applyFill="1" applyBorder="1" applyAlignment="1">
      <alignment horizontal="left" vertical="top" wrapText="1"/>
    </xf>
    <xf numFmtId="3" fontId="574" fillId="5" borderId="3" xfId="0" applyNumberFormat="1" applyFont="1" applyFill="1" applyBorder="1" applyAlignment="1">
      <alignment horizontal="left" vertical="top" wrapText="1"/>
    </xf>
    <xf numFmtId="3" fontId="289" fillId="5" borderId="3" xfId="0" applyNumberFormat="1" applyFont="1" applyFill="1" applyBorder="1" applyAlignment="1">
      <alignment horizontal="left" vertical="top" wrapText="1"/>
    </xf>
    <xf numFmtId="3" fontId="577" fillId="5" borderId="3" xfId="0" applyNumberFormat="1" applyFont="1" applyFill="1" applyBorder="1" applyAlignment="1">
      <alignment horizontal="left" vertical="top" wrapText="1"/>
    </xf>
    <xf numFmtId="3" fontId="290" fillId="5" borderId="3" xfId="0" applyNumberFormat="1" applyFont="1" applyFill="1" applyBorder="1" applyAlignment="1">
      <alignment horizontal="left" vertical="top" wrapText="1"/>
    </xf>
    <xf numFmtId="3" fontId="578" fillId="5" borderId="3" xfId="0" applyNumberFormat="1" applyFont="1" applyFill="1" applyBorder="1" applyAlignment="1">
      <alignment horizontal="left" vertical="top" wrapText="1"/>
    </xf>
    <xf numFmtId="3" fontId="152" fillId="7" borderId="3" xfId="0" applyNumberFormat="1" applyFont="1" applyFill="1" applyBorder="1" applyAlignment="1">
      <alignment horizontal="left" vertical="top" wrapText="1"/>
    </xf>
    <xf numFmtId="3" fontId="291" fillId="5" borderId="3" xfId="0" applyNumberFormat="1" applyFont="1" applyFill="1" applyBorder="1" applyAlignment="1">
      <alignment horizontal="left" vertical="top" wrapText="1"/>
    </xf>
    <xf numFmtId="3" fontId="579" fillId="5" borderId="3" xfId="0" applyNumberFormat="1" applyFont="1" applyFill="1" applyBorder="1" applyAlignment="1">
      <alignment horizontal="left" vertical="top" wrapText="1"/>
    </xf>
    <xf numFmtId="3" fontId="389" fillId="5" borderId="3" xfId="0" applyNumberFormat="1" applyFont="1" applyFill="1" applyBorder="1" applyAlignment="1">
      <alignment horizontal="left" vertical="top" wrapText="1"/>
    </xf>
    <xf numFmtId="3" fontId="444" fillId="5" borderId="3" xfId="0" applyNumberFormat="1" applyFont="1" applyFill="1" applyBorder="1" applyAlignment="1">
      <alignment horizontal="left" vertical="top" wrapText="1"/>
    </xf>
    <xf numFmtId="3" fontId="292" fillId="7" borderId="3" xfId="0" applyNumberFormat="1" applyFont="1" applyFill="1" applyBorder="1" applyAlignment="1">
      <alignment horizontal="left" vertical="top" wrapText="1"/>
    </xf>
    <xf numFmtId="3" fontId="451" fillId="7" borderId="3" xfId="0" applyNumberFormat="1" applyFont="1" applyFill="1" applyBorder="1" applyAlignment="1">
      <alignment horizontal="left" vertical="top" wrapText="1"/>
    </xf>
    <xf numFmtId="3" fontId="293" fillId="7" borderId="3" xfId="0" applyNumberFormat="1" applyFont="1" applyFill="1" applyBorder="1" applyAlignment="1">
      <alignment horizontal="left" vertical="top" wrapText="1"/>
    </xf>
    <xf numFmtId="3" fontId="122" fillId="7" borderId="3" xfId="0" applyNumberFormat="1" applyFont="1" applyFill="1" applyBorder="1" applyAlignment="1">
      <alignment horizontal="left" vertical="top" wrapText="1"/>
    </xf>
    <xf numFmtId="3" fontId="153" fillId="7" borderId="3" xfId="0" applyNumberFormat="1" applyFont="1" applyFill="1" applyBorder="1" applyAlignment="1">
      <alignment horizontal="left" vertical="top" wrapText="1"/>
    </xf>
    <xf numFmtId="3" fontId="45" fillId="7" borderId="3" xfId="0" applyNumberFormat="1" applyFont="1" applyFill="1" applyBorder="1" applyAlignment="1">
      <alignment horizontal="left" vertical="top" wrapText="1"/>
    </xf>
    <xf numFmtId="3" fontId="284" fillId="7" borderId="3" xfId="0" applyNumberFormat="1" applyFont="1" applyFill="1" applyBorder="1" applyAlignment="1">
      <alignment horizontal="left" vertical="top" wrapText="1"/>
    </xf>
    <xf numFmtId="3" fontId="570" fillId="7" borderId="3" xfId="0" applyNumberFormat="1" applyFont="1" applyFill="1" applyBorder="1" applyAlignment="1">
      <alignment horizontal="left" vertical="top" wrapText="1"/>
    </xf>
    <xf numFmtId="3" fontId="154" fillId="7" borderId="3" xfId="0" applyNumberFormat="1" applyFont="1" applyFill="1" applyBorder="1" applyAlignment="1">
      <alignment horizontal="left" vertical="top" wrapText="1"/>
    </xf>
    <xf numFmtId="3" fontId="466" fillId="7" borderId="3" xfId="0" applyNumberFormat="1" applyFont="1" applyFill="1" applyBorder="1" applyAlignment="1">
      <alignment horizontal="left" vertical="top" wrapText="1"/>
    </xf>
    <xf numFmtId="3" fontId="285" fillId="5" borderId="3" xfId="0" applyNumberFormat="1" applyFont="1" applyFill="1" applyBorder="1" applyAlignment="1">
      <alignment horizontal="left" vertical="top" wrapText="1"/>
    </xf>
    <xf numFmtId="3" fontId="571" fillId="5" borderId="3" xfId="0" applyNumberFormat="1" applyFont="1" applyFill="1" applyBorder="1" applyAlignment="1">
      <alignment horizontal="left" vertical="top" wrapText="1"/>
    </xf>
    <xf numFmtId="3" fontId="294" fillId="5" borderId="3" xfId="0" applyNumberFormat="1" applyFont="1" applyFill="1" applyBorder="1" applyAlignment="1">
      <alignment horizontal="left" vertical="top" wrapText="1"/>
    </xf>
    <xf numFmtId="3" fontId="123" fillId="5" borderId="3" xfId="0" applyNumberFormat="1" applyFont="1" applyFill="1" applyBorder="1" applyAlignment="1">
      <alignment horizontal="left" vertical="top" wrapText="1"/>
    </xf>
    <xf numFmtId="3" fontId="295" fillId="5" borderId="3" xfId="0" applyNumberFormat="1" applyFont="1" applyFill="1" applyBorder="1" applyAlignment="1">
      <alignment horizontal="left" vertical="top" wrapText="1"/>
    </xf>
    <xf numFmtId="3" fontId="124" fillId="5" borderId="3" xfId="0" applyNumberFormat="1" applyFont="1" applyFill="1" applyBorder="1" applyAlignment="1">
      <alignment horizontal="left" vertical="top" wrapText="1"/>
    </xf>
    <xf numFmtId="3" fontId="155" fillId="5" borderId="3" xfId="0" applyNumberFormat="1" applyFont="1" applyFill="1" applyBorder="1" applyAlignment="1">
      <alignment horizontal="left" vertical="top" wrapText="1"/>
    </xf>
    <xf numFmtId="3" fontId="467" fillId="5" borderId="3" xfId="0" applyNumberFormat="1" applyFont="1" applyFill="1" applyBorder="1" applyAlignment="1">
      <alignment horizontal="left" vertical="top" wrapText="1"/>
    </xf>
    <xf numFmtId="3" fontId="296" fillId="5" borderId="3" xfId="0" applyNumberFormat="1" applyFont="1" applyFill="1" applyBorder="1" applyAlignment="1">
      <alignment horizontal="left" vertical="top" wrapText="1"/>
    </xf>
    <xf numFmtId="3" fontId="125" fillId="5" borderId="3" xfId="0" applyNumberFormat="1" applyFont="1" applyFill="1" applyBorder="1" applyAlignment="1">
      <alignment horizontal="left" vertical="top" wrapText="1"/>
    </xf>
    <xf numFmtId="3" fontId="297" fillId="5" borderId="3" xfId="0" applyNumberFormat="1" applyFont="1" applyFill="1" applyBorder="1" applyAlignment="1">
      <alignment horizontal="left" vertical="top" wrapText="1"/>
    </xf>
    <xf numFmtId="3" fontId="126" fillId="5" borderId="3" xfId="0" applyNumberFormat="1" applyFont="1" applyFill="1" applyBorder="1" applyAlignment="1">
      <alignment horizontal="left" vertical="top" wrapText="1"/>
    </xf>
    <xf numFmtId="3" fontId="298" fillId="5" borderId="3" xfId="0" applyNumberFormat="1" applyFont="1" applyFill="1" applyBorder="1" applyAlignment="1">
      <alignment horizontal="left" vertical="top" wrapText="1"/>
    </xf>
    <xf numFmtId="3" fontId="127" fillId="5" borderId="3" xfId="0" applyNumberFormat="1" applyFont="1" applyFill="1" applyBorder="1" applyAlignment="1">
      <alignment horizontal="left" vertical="top" wrapText="1"/>
    </xf>
    <xf numFmtId="3" fontId="299" fillId="5" borderId="3" xfId="0" applyNumberFormat="1" applyFont="1" applyFill="1" applyBorder="1" applyAlignment="1">
      <alignment horizontal="left" vertical="top" wrapText="1"/>
    </xf>
    <xf numFmtId="3" fontId="128" fillId="5" borderId="3" xfId="0" applyNumberFormat="1" applyFont="1" applyFill="1" applyBorder="1" applyAlignment="1">
      <alignment horizontal="left" vertical="top" wrapText="1"/>
    </xf>
    <xf numFmtId="3" fontId="156" fillId="5" borderId="3" xfId="0" applyNumberFormat="1" applyFont="1" applyFill="1" applyBorder="1" applyAlignment="1">
      <alignment horizontal="left" vertical="top" wrapText="1"/>
    </xf>
    <xf numFmtId="3" fontId="468" fillId="5" borderId="3" xfId="0" applyNumberFormat="1" applyFont="1" applyFill="1" applyBorder="1" applyAlignment="1">
      <alignment horizontal="left" vertical="top" wrapText="1"/>
    </xf>
    <xf numFmtId="3" fontId="300" fillId="5" borderId="3" xfId="0" applyNumberFormat="1" applyFont="1" applyFill="1" applyBorder="1" applyAlignment="1">
      <alignment horizontal="left" vertical="top" wrapText="1"/>
    </xf>
    <xf numFmtId="3" fontId="129" fillId="5" borderId="3" xfId="0" applyNumberFormat="1" applyFont="1" applyFill="1" applyBorder="1" applyAlignment="1">
      <alignment horizontal="left" vertical="top" wrapText="1"/>
    </xf>
    <xf numFmtId="3" fontId="301" fillId="7" borderId="3" xfId="0" applyNumberFormat="1" applyFont="1" applyFill="1" applyBorder="1" applyAlignment="1">
      <alignment horizontal="left" vertical="top" wrapText="1"/>
    </xf>
    <xf numFmtId="3" fontId="637" fillId="7" borderId="3" xfId="0" applyNumberFormat="1" applyFont="1" applyFill="1" applyBorder="1" applyAlignment="1">
      <alignment horizontal="left" vertical="top" wrapText="1"/>
    </xf>
    <xf numFmtId="3" fontId="302" fillId="7" borderId="3" xfId="0" applyNumberFormat="1" applyFont="1" applyFill="1" applyBorder="1" applyAlignment="1">
      <alignment horizontal="left" vertical="top" wrapText="1"/>
    </xf>
    <xf numFmtId="3" fontId="329" fillId="7" borderId="3" xfId="0" applyNumberFormat="1" applyFont="1" applyFill="1" applyBorder="1" applyAlignment="1">
      <alignment horizontal="left" vertical="top" wrapText="1"/>
    </xf>
    <xf numFmtId="3" fontId="633" fillId="7" borderId="3" xfId="0" applyNumberFormat="1" applyFont="1" applyFill="1" applyBorder="1" applyAlignment="1">
      <alignment horizontal="left" vertical="top" wrapText="1"/>
    </xf>
    <xf numFmtId="3" fontId="330" fillId="7" borderId="3" xfId="0" applyNumberFormat="1" applyFont="1" applyFill="1" applyBorder="1" applyAlignment="1">
      <alignment horizontal="left" vertical="top" wrapText="1"/>
    </xf>
    <xf numFmtId="3" fontId="634" fillId="5" borderId="3" xfId="0" applyNumberFormat="1" applyFont="1" applyFill="1" applyBorder="1" applyAlignment="1">
      <alignment horizontal="left" vertical="top" wrapText="1"/>
    </xf>
    <xf numFmtId="3" fontId="331" fillId="5" borderId="3" xfId="0" applyNumberFormat="1" applyFont="1" applyFill="1" applyBorder="1" applyAlignment="1">
      <alignment horizontal="left" vertical="top" wrapText="1"/>
    </xf>
    <xf numFmtId="3" fontId="635" fillId="5" borderId="3" xfId="0" applyNumberFormat="1" applyFont="1" applyFill="1" applyBorder="1" applyAlignment="1">
      <alignment horizontal="left" vertical="top" wrapText="1"/>
    </xf>
    <xf numFmtId="3" fontId="332" fillId="5" borderId="3" xfId="0" applyNumberFormat="1" applyFont="1" applyFill="1" applyBorder="1" applyAlignment="1">
      <alignment horizontal="left" vertical="top" wrapText="1"/>
    </xf>
    <xf numFmtId="3" fontId="915" fillId="7" borderId="3" xfId="0" applyNumberFormat="1" applyFont="1" applyFill="1" applyBorder="1" applyAlignment="1">
      <alignment horizontal="left" vertical="top" wrapText="1"/>
    </xf>
    <xf numFmtId="3" fontId="841" fillId="7" borderId="3" xfId="0" applyNumberFormat="1" applyFont="1" applyFill="1" applyBorder="1" applyAlignment="1">
      <alignment horizontal="left" vertical="top" wrapText="1"/>
    </xf>
    <xf numFmtId="3" fontId="764" fillId="7" borderId="3" xfId="0" applyNumberFormat="1" applyFont="1" applyFill="1" applyBorder="1" applyAlignment="1">
      <alignment horizontal="left" vertical="top" wrapText="1"/>
    </xf>
    <xf numFmtId="3" fontId="848" fillId="7" borderId="3" xfId="0" applyNumberFormat="1" applyFont="1" applyFill="1" applyBorder="1" applyAlignment="1">
      <alignment horizontal="left" vertical="top" wrapText="1"/>
    </xf>
    <xf numFmtId="3" fontId="849" fillId="7" borderId="3" xfId="0" applyNumberFormat="1" applyFont="1" applyFill="1" applyBorder="1" applyAlignment="1">
      <alignment horizontal="left" vertical="top" wrapText="1"/>
    </xf>
    <xf numFmtId="3" fontId="768" fillId="7" borderId="3" xfId="0" applyNumberFormat="1" applyFont="1" applyFill="1" applyBorder="1" applyAlignment="1">
      <alignment horizontal="left" vertical="top" wrapText="1"/>
    </xf>
    <xf numFmtId="3" fontId="852" fillId="7" borderId="3" xfId="0" applyNumberFormat="1" applyFont="1" applyFill="1" applyBorder="1" applyAlignment="1">
      <alignment horizontal="left" vertical="top" wrapText="1"/>
    </xf>
    <xf numFmtId="3" fontId="769" fillId="7" borderId="3" xfId="0" applyNumberFormat="1" applyFont="1" applyFill="1" applyBorder="1" applyAlignment="1">
      <alignment horizontal="left" vertical="top" wrapText="1"/>
    </xf>
    <xf numFmtId="3" fontId="853" fillId="7" borderId="3" xfId="0" applyNumberFormat="1" applyFont="1" applyFill="1" applyBorder="1" applyAlignment="1">
      <alignment horizontal="left" vertical="top" wrapText="1"/>
    </xf>
    <xf numFmtId="3" fontId="771" fillId="7" borderId="3" xfId="0" applyNumberFormat="1" applyFont="1" applyFill="1" applyBorder="1" applyAlignment="1">
      <alignment horizontal="left" vertical="top" wrapText="1"/>
    </xf>
    <xf numFmtId="3" fontId="855" fillId="7" borderId="3" xfId="0" applyNumberFormat="1" applyFont="1" applyFill="1" applyBorder="1" applyAlignment="1">
      <alignment horizontal="left" vertical="top" wrapText="1"/>
    </xf>
    <xf numFmtId="3" fontId="898" fillId="7" borderId="3" xfId="0" applyNumberFormat="1" applyFont="1" applyFill="1" applyBorder="1" applyAlignment="1">
      <alignment horizontal="left" vertical="top" wrapText="1"/>
    </xf>
    <xf numFmtId="3" fontId="835" fillId="7" borderId="3" xfId="0" applyNumberFormat="1" applyFont="1" applyFill="1" applyBorder="1" applyAlignment="1">
      <alignment horizontal="left" vertical="top" wrapText="1"/>
    </xf>
    <xf numFmtId="3" fontId="900" fillId="7" borderId="3" xfId="0" applyNumberFormat="1" applyFont="1" applyFill="1" applyBorder="1" applyAlignment="1">
      <alignment horizontal="left" vertical="top" wrapText="1"/>
    </xf>
    <xf numFmtId="3" fontId="837" fillId="7" borderId="3" xfId="0" applyNumberFormat="1" applyFont="1" applyFill="1" applyBorder="1" applyAlignment="1">
      <alignment horizontal="left" vertical="top" wrapText="1"/>
    </xf>
    <xf numFmtId="3" fontId="774" fillId="7" borderId="3" xfId="0" applyNumberFormat="1" applyFont="1" applyFill="1" applyBorder="1" applyAlignment="1">
      <alignment horizontal="left" vertical="top" wrapText="1"/>
    </xf>
    <xf numFmtId="3" fontId="726" fillId="7" borderId="3" xfId="0" applyNumberFormat="1" applyFont="1" applyFill="1" applyBorder="1" applyAlignment="1">
      <alignment horizontal="left" vertical="top" wrapText="1"/>
    </xf>
    <xf numFmtId="3" fontId="813" fillId="7" borderId="3" xfId="0" applyNumberFormat="1" applyFont="1" applyFill="1" applyBorder="1" applyAlignment="1">
      <alignment horizontal="left" vertical="top" wrapText="1"/>
    </xf>
    <xf numFmtId="3" fontId="906" fillId="7" borderId="3" xfId="0" applyNumberFormat="1" applyFont="1" applyFill="1" applyBorder="1" applyAlignment="1">
      <alignment horizontal="left" vertical="top" wrapText="1"/>
    </xf>
    <xf numFmtId="3" fontId="776" fillId="7" borderId="3" xfId="0" applyNumberFormat="1" applyFont="1" applyFill="1" applyBorder="1" applyAlignment="1">
      <alignment horizontal="left" vertical="top" wrapText="1"/>
    </xf>
    <xf numFmtId="3" fontId="728" fillId="7" borderId="3" xfId="0" applyNumberFormat="1" applyFont="1" applyFill="1" applyBorder="1" applyAlignment="1">
      <alignment horizontal="left" vertical="top" wrapText="1"/>
    </xf>
    <xf numFmtId="3" fontId="903" fillId="5" borderId="3" xfId="0" applyNumberFormat="1" applyFont="1" applyFill="1" applyBorder="1" applyAlignment="1">
      <alignment horizontal="left" vertical="top" wrapText="1"/>
    </xf>
    <xf numFmtId="3" fontId="840" fillId="5" borderId="3" xfId="0" applyNumberFormat="1" applyFont="1" applyFill="1" applyBorder="1" applyAlignment="1">
      <alignment horizontal="left" vertical="top" wrapText="1"/>
    </xf>
    <xf numFmtId="3" fontId="819" fillId="5" borderId="3" xfId="0" applyNumberFormat="1" applyFont="1" applyFill="1" applyBorder="1" applyAlignment="1">
      <alignment horizontal="left" vertical="top" wrapText="1"/>
    </xf>
    <xf numFmtId="3" fontId="912" fillId="5" borderId="3" xfId="0" applyNumberFormat="1" applyFont="1" applyFill="1" applyBorder="1" applyAlignment="1">
      <alignment horizontal="left" vertical="top" wrapText="1"/>
    </xf>
    <xf numFmtId="3" fontId="918" fillId="5" borderId="3" xfId="0" applyNumberFormat="1" applyFont="1" applyFill="1" applyBorder="1" applyAlignment="1">
      <alignment horizontal="left" vertical="top" wrapText="1"/>
    </xf>
    <xf numFmtId="3" fontId="844" fillId="5" borderId="3" xfId="0" applyNumberFormat="1" applyFont="1" applyFill="1" applyBorder="1" applyAlignment="1">
      <alignment horizontal="left" vertical="top" wrapText="1"/>
    </xf>
    <xf numFmtId="3" fontId="820" fillId="5" borderId="3" xfId="0" applyNumberFormat="1" applyFont="1" applyFill="1" applyBorder="1" applyAlignment="1">
      <alignment horizontal="left" vertical="top" wrapText="1"/>
    </xf>
    <xf numFmtId="3" fontId="913" fillId="5" borderId="3" xfId="0" applyNumberFormat="1" applyFont="1" applyFill="1" applyBorder="1" applyAlignment="1">
      <alignment horizontal="left" vertical="top" wrapText="1"/>
    </xf>
    <xf numFmtId="3" fontId="821" fillId="5" borderId="3" xfId="0" applyNumberFormat="1" applyFont="1" applyFill="1" applyBorder="1" applyAlignment="1">
      <alignment horizontal="left" vertical="top" wrapText="1"/>
    </xf>
    <xf numFmtId="3" fontId="914" fillId="5" borderId="3" xfId="0" applyNumberFormat="1" applyFont="1" applyFill="1" applyBorder="1" applyAlignment="1">
      <alignment horizontal="left" vertical="top" wrapText="1"/>
    </xf>
    <xf numFmtId="3" fontId="919" fillId="5" borderId="3" xfId="0" applyNumberFormat="1" applyFont="1" applyFill="1" applyBorder="1" applyAlignment="1">
      <alignment horizontal="left" vertical="top" wrapText="1"/>
    </xf>
    <xf numFmtId="3" fontId="845" fillId="5" borderId="3" xfId="0" applyNumberFormat="1" applyFont="1" applyFill="1" applyBorder="1" applyAlignment="1">
      <alignment horizontal="left" vertical="top" wrapText="1"/>
    </xf>
    <xf numFmtId="3" fontId="761" fillId="5" borderId="3" xfId="0" applyNumberFormat="1" applyFont="1" applyFill="1" applyBorder="1" applyAlignment="1">
      <alignment horizontal="left" vertical="top" wrapText="1"/>
    </xf>
    <xf numFmtId="3" fontId="779" fillId="5" borderId="3" xfId="0" applyNumberFormat="1" applyFont="1" applyFill="1" applyBorder="1" applyAlignment="1">
      <alignment horizontal="left" vertical="top" wrapText="1"/>
    </xf>
    <xf numFmtId="3" fontId="762" fillId="7" borderId="3" xfId="0" applyNumberFormat="1" applyFont="1" applyFill="1" applyBorder="1" applyAlignment="1">
      <alignment horizontal="left" vertical="top" wrapText="1"/>
    </xf>
    <xf numFmtId="3" fontId="846" fillId="7" borderId="3" xfId="0" applyNumberFormat="1" applyFont="1" applyFill="1" applyBorder="1" applyAlignment="1">
      <alignment horizontal="left" vertical="top" wrapText="1"/>
    </xf>
    <xf numFmtId="3" fontId="763" fillId="7" borderId="3" xfId="0" applyNumberFormat="1" applyFont="1" applyFill="1" applyBorder="1" applyAlignment="1">
      <alignment horizontal="left" vertical="top" wrapText="1"/>
    </xf>
    <xf numFmtId="3" fontId="847" fillId="7" borderId="3" xfId="0" applyNumberFormat="1" applyFont="1" applyFill="1" applyBorder="1" applyAlignment="1">
      <alignment horizontal="left" vertical="top" wrapText="1"/>
    </xf>
    <xf numFmtId="3" fontId="822" fillId="7" borderId="3" xfId="0" applyNumberFormat="1" applyFont="1" applyFill="1" applyBorder="1" applyAlignment="1">
      <alignment horizontal="left" vertical="top" wrapText="1"/>
    </xf>
    <xf numFmtId="3" fontId="828" fillId="7" borderId="3" xfId="0" applyNumberFormat="1" applyFont="1" applyFill="1" applyBorder="1" applyAlignment="1">
      <alignment horizontal="left" vertical="top" wrapText="1"/>
    </xf>
    <xf numFmtId="3" fontId="916" fillId="5" borderId="3" xfId="0" applyNumberFormat="1" applyFont="1" applyFill="1" applyBorder="1" applyAlignment="1">
      <alignment horizontal="left" vertical="top" wrapText="1"/>
    </xf>
    <xf numFmtId="3" fontId="842" fillId="5" borderId="3" xfId="0" applyNumberFormat="1" applyFont="1" applyFill="1" applyBorder="1" applyAlignment="1">
      <alignment horizontal="left" vertical="top" wrapText="1"/>
    </xf>
    <xf numFmtId="3" fontId="765" fillId="7" borderId="3" xfId="0" applyNumberFormat="1" applyFont="1" applyFill="1" applyBorder="1" applyAlignment="1">
      <alignment horizontal="left" vertical="top" wrapText="1"/>
    </xf>
    <xf numFmtId="3" fontId="917" fillId="5" borderId="3" xfId="0" applyNumberFormat="1" applyFont="1" applyFill="1" applyBorder="1" applyAlignment="1">
      <alignment horizontal="left" vertical="top" wrapText="1"/>
    </xf>
    <xf numFmtId="3" fontId="843" fillId="5" borderId="3" xfId="0" applyNumberFormat="1" applyFont="1" applyFill="1" applyBorder="1" applyAlignment="1">
      <alignment horizontal="left" vertical="top" wrapText="1"/>
    </xf>
    <xf numFmtId="3" fontId="879" fillId="7" borderId="3" xfId="0" applyNumberFormat="1" applyFont="1" applyFill="1" applyBorder="1" applyAlignment="1">
      <alignment horizontal="left" vertical="top" wrapText="1"/>
    </xf>
    <xf numFmtId="3" fontId="829" fillId="7" borderId="3" xfId="0" applyNumberFormat="1" applyFont="1" applyFill="1" applyBorder="1" applyAlignment="1">
      <alignment horizontal="left" vertical="top" wrapText="1"/>
    </xf>
    <xf numFmtId="3" fontId="766" fillId="7" borderId="3" xfId="0" applyNumberFormat="1" applyFont="1" applyFill="1" applyBorder="1" applyAlignment="1">
      <alignment horizontal="left" vertical="top" wrapText="1"/>
    </xf>
    <xf numFmtId="3" fontId="850" fillId="7" borderId="3" xfId="0" applyNumberFormat="1" applyFont="1" applyFill="1" applyBorder="1" applyAlignment="1">
      <alignment horizontal="left" vertical="top" wrapText="1"/>
    </xf>
    <xf numFmtId="3" fontId="893" fillId="7" borderId="3" xfId="0" applyNumberFormat="1" applyFont="1" applyFill="1" applyBorder="1" applyAlignment="1">
      <alignment horizontal="left" vertical="top" wrapText="1"/>
    </xf>
    <xf numFmtId="3" fontId="830" fillId="7" borderId="3" xfId="0" applyNumberFormat="1" applyFont="1" applyFill="1" applyBorder="1" applyAlignment="1">
      <alignment horizontal="left" vertical="top" wrapText="1"/>
    </xf>
    <xf numFmtId="3" fontId="894" fillId="7" borderId="3" xfId="0" applyNumberFormat="1" applyFont="1" applyFill="1" applyBorder="1" applyAlignment="1">
      <alignment horizontal="left" vertical="top" wrapText="1"/>
    </xf>
    <xf numFmtId="3" fontId="831" fillId="7" borderId="3" xfId="0" applyNumberFormat="1" applyFont="1" applyFill="1" applyBorder="1" applyAlignment="1">
      <alignment horizontal="left" vertical="top" wrapText="1"/>
    </xf>
    <xf numFmtId="3" fontId="767" fillId="7" borderId="3" xfId="0" applyNumberFormat="1" applyFont="1" applyFill="1" applyBorder="1" applyAlignment="1">
      <alignment horizontal="left" vertical="top" wrapText="1"/>
    </xf>
    <xf numFmtId="3" fontId="851" fillId="7" borderId="3" xfId="0" applyNumberFormat="1" applyFont="1" applyFill="1" applyBorder="1" applyAlignment="1">
      <alignment horizontal="left" vertical="top" wrapText="1"/>
    </xf>
    <xf numFmtId="3" fontId="895" fillId="7" borderId="3" xfId="0" applyNumberFormat="1" applyFont="1" applyFill="1" applyBorder="1" applyAlignment="1">
      <alignment horizontal="left" vertical="top" wrapText="1"/>
    </xf>
    <xf numFmtId="3" fontId="832" fillId="7" borderId="3" xfId="0" applyNumberFormat="1" applyFont="1" applyFill="1" applyBorder="1" applyAlignment="1">
      <alignment horizontal="left" vertical="top" wrapText="1"/>
    </xf>
    <xf numFmtId="3" fontId="896" fillId="5" borderId="3" xfId="0" applyNumberFormat="1" applyFont="1" applyFill="1" applyBorder="1" applyAlignment="1">
      <alignment horizontal="left" vertical="top" wrapText="1"/>
    </xf>
    <xf numFmtId="3" fontId="833" fillId="5" borderId="3" xfId="0" applyNumberFormat="1" applyFont="1" applyFill="1" applyBorder="1" applyAlignment="1">
      <alignment horizontal="left" vertical="top" wrapText="1"/>
    </xf>
    <xf numFmtId="3" fontId="897" fillId="5" borderId="3" xfId="0" applyNumberFormat="1" applyFont="1" applyFill="1" applyBorder="1" applyAlignment="1">
      <alignment horizontal="left" vertical="top" wrapText="1"/>
    </xf>
    <xf numFmtId="3" fontId="834" fillId="5" borderId="3" xfId="0" applyNumberFormat="1" applyFont="1" applyFill="1" applyBorder="1" applyAlignment="1">
      <alignment horizontal="left" vertical="top" wrapText="1"/>
    </xf>
    <xf numFmtId="3" fontId="770" fillId="5" borderId="3" xfId="0" applyNumberFormat="1" applyFont="1" applyFill="1" applyBorder="1" applyAlignment="1">
      <alignment horizontal="left" vertical="top" wrapText="1"/>
    </xf>
    <xf numFmtId="3" fontId="854" fillId="5" borderId="3" xfId="0" applyNumberFormat="1" applyFont="1" applyFill="1" applyBorder="1" applyAlignment="1">
      <alignment horizontal="left" vertical="top" wrapText="1"/>
    </xf>
    <xf numFmtId="3" fontId="772" fillId="5" borderId="3" xfId="0" applyNumberFormat="1" applyFont="1" applyFill="1" applyBorder="1" applyAlignment="1">
      <alignment horizontal="left" vertical="top" wrapText="1"/>
    </xf>
    <xf numFmtId="3" fontId="724" fillId="5" borderId="3" xfId="0" applyNumberFormat="1" applyFont="1" applyFill="1" applyBorder="1" applyAlignment="1">
      <alignment horizontal="left" vertical="top" wrapText="1"/>
    </xf>
    <xf numFmtId="3" fontId="899" fillId="5" borderId="3" xfId="0" applyNumberFormat="1" applyFont="1" applyFill="1" applyBorder="1" applyAlignment="1">
      <alignment horizontal="left" vertical="top" wrapText="1"/>
    </xf>
    <xf numFmtId="3" fontId="836" fillId="5" borderId="3" xfId="0" applyNumberFormat="1" applyFont="1" applyFill="1" applyBorder="1" applyAlignment="1">
      <alignment horizontal="left" vertical="top" wrapText="1"/>
    </xf>
    <xf numFmtId="3" fontId="773" fillId="5" borderId="3" xfId="0" applyNumberFormat="1" applyFont="1" applyFill="1" applyBorder="1" applyAlignment="1">
      <alignment horizontal="left" vertical="top" wrapText="1"/>
    </xf>
    <xf numFmtId="3" fontId="725" fillId="5" borderId="3" xfId="0" applyNumberFormat="1" applyFont="1" applyFill="1" applyBorder="1" applyAlignment="1">
      <alignment horizontal="left" vertical="top" wrapText="1"/>
    </xf>
    <xf numFmtId="3" fontId="775" fillId="5" borderId="3" xfId="0" applyNumberFormat="1" applyFont="1" applyFill="1" applyBorder="1" applyAlignment="1">
      <alignment horizontal="left" vertical="top" wrapText="1"/>
    </xf>
    <xf numFmtId="3" fontId="727" fillId="5" borderId="3" xfId="0" applyNumberFormat="1" applyFont="1" applyFill="1" applyBorder="1" applyAlignment="1">
      <alignment horizontal="left" vertical="top" wrapText="1"/>
    </xf>
    <xf numFmtId="3" fontId="814" fillId="5" borderId="3" xfId="0" applyNumberFormat="1" applyFont="1" applyFill="1" applyBorder="1" applyAlignment="1">
      <alignment horizontal="left" vertical="top" wrapText="1"/>
    </xf>
    <xf numFmtId="3" fontId="907" fillId="5" borderId="3" xfId="0" applyNumberFormat="1" applyFont="1" applyFill="1" applyBorder="1" applyAlignment="1">
      <alignment horizontal="left" vertical="top" wrapText="1"/>
    </xf>
    <xf numFmtId="3" fontId="815" fillId="7" borderId="3" xfId="0" applyNumberFormat="1" applyFont="1" applyFill="1" applyBorder="1" applyAlignment="1">
      <alignment horizontal="left" vertical="top" wrapText="1"/>
    </xf>
    <xf numFmtId="3" fontId="908" fillId="7" borderId="3" xfId="0" applyNumberFormat="1" applyFont="1" applyFill="1" applyBorder="1" applyAlignment="1">
      <alignment horizontal="left" vertical="top" wrapText="1"/>
    </xf>
    <xf numFmtId="3" fontId="901" fillId="7" borderId="3" xfId="0" applyNumberFormat="1" applyFont="1" applyFill="1" applyBorder="1" applyAlignment="1">
      <alignment horizontal="left" vertical="top" wrapText="1"/>
    </xf>
    <xf numFmtId="3" fontId="838" fillId="7" borderId="3" xfId="0" applyNumberFormat="1" applyFont="1" applyFill="1" applyBorder="1" applyAlignment="1">
      <alignment horizontal="left" vertical="top" wrapText="1"/>
    </xf>
    <xf numFmtId="3" fontId="816" fillId="7" borderId="3" xfId="0" applyNumberFormat="1" applyFont="1" applyFill="1" applyBorder="1" applyAlignment="1">
      <alignment horizontal="left" vertical="top" wrapText="1"/>
    </xf>
    <xf numFmtId="3" fontId="909" fillId="7" borderId="3" xfId="0" applyNumberFormat="1" applyFont="1" applyFill="1" applyBorder="1" applyAlignment="1">
      <alignment horizontal="left" vertical="top" wrapText="1"/>
    </xf>
    <xf numFmtId="3" fontId="817" fillId="7" borderId="3" xfId="0" applyNumberFormat="1" applyFont="1" applyFill="1" applyBorder="1" applyAlignment="1">
      <alignment horizontal="left" vertical="top" wrapText="1"/>
    </xf>
    <xf numFmtId="3" fontId="910" fillId="7" borderId="3" xfId="0" applyNumberFormat="1" applyFont="1" applyFill="1" applyBorder="1" applyAlignment="1">
      <alignment horizontal="left" vertical="top" wrapText="1"/>
    </xf>
    <xf numFmtId="3" fontId="777" fillId="5" borderId="3" xfId="0" applyNumberFormat="1" applyFont="1" applyFill="1" applyBorder="1" applyAlignment="1">
      <alignment horizontal="left" vertical="top" wrapText="1"/>
    </xf>
    <xf numFmtId="3" fontId="729" fillId="5" borderId="3" xfId="0" applyNumberFormat="1" applyFont="1" applyFill="1" applyBorder="1" applyAlignment="1">
      <alignment horizontal="left" vertical="top" wrapText="1"/>
    </xf>
    <xf numFmtId="3" fontId="818" fillId="5" borderId="3" xfId="0" applyNumberFormat="1" applyFont="1" applyFill="1" applyBorder="1" applyAlignment="1">
      <alignment horizontal="left" vertical="top" wrapText="1"/>
    </xf>
    <xf numFmtId="3" fontId="911" fillId="5" borderId="3" xfId="0" applyNumberFormat="1" applyFont="1" applyFill="1" applyBorder="1" applyAlignment="1">
      <alignment horizontal="left" vertical="top" wrapText="1"/>
    </xf>
    <xf numFmtId="3" fontId="902" fillId="5" borderId="3" xfId="0" applyNumberFormat="1" applyFont="1" applyFill="1" applyBorder="1" applyAlignment="1">
      <alignment horizontal="left" vertical="top" wrapText="1"/>
    </xf>
    <xf numFmtId="3" fontId="839" fillId="5" borderId="3" xfId="0" applyNumberFormat="1" applyFont="1" applyFill="1" applyBorder="1" applyAlignment="1">
      <alignment horizontal="left" vertical="top" wrapText="1"/>
    </xf>
    <xf numFmtId="0" fontId="2506" fillId="6" borderId="0" xfId="0" applyFont="1" applyFill="1" applyAlignment="1">
      <alignment horizontal="center"/>
    </xf>
    <xf numFmtId="3" fontId="994" fillId="7" borderId="3" xfId="0" applyNumberFormat="1" applyFont="1" applyFill="1" applyBorder="1" applyAlignment="1">
      <alignment horizontal="left" vertical="top" wrapText="1"/>
    </xf>
    <xf numFmtId="3" fontId="968" fillId="7" borderId="3" xfId="0" applyNumberFormat="1" applyFont="1" applyFill="1" applyBorder="1" applyAlignment="1">
      <alignment horizontal="left" vertical="top" wrapText="1"/>
    </xf>
    <xf numFmtId="3" fontId="1087" fillId="7" borderId="3" xfId="0" applyNumberFormat="1" applyFont="1" applyFill="1" applyBorder="1" applyAlignment="1">
      <alignment horizontal="left" vertical="top" wrapText="1"/>
    </xf>
    <xf numFmtId="3" fontId="971" fillId="7" borderId="3" xfId="0" applyNumberFormat="1" applyFont="1" applyFill="1" applyBorder="1" applyAlignment="1">
      <alignment horizontal="left" vertical="top" wrapText="1"/>
    </xf>
    <xf numFmtId="3" fontId="1052" fillId="7" borderId="3" xfId="0" applyNumberFormat="1" applyFont="1" applyFill="1" applyBorder="1" applyAlignment="1">
      <alignment horizontal="left" vertical="top" wrapText="1"/>
    </xf>
    <xf numFmtId="3" fontId="1027" fillId="7" borderId="3" xfId="0" applyNumberFormat="1" applyFont="1" applyFill="1" applyBorder="1" applyAlignment="1">
      <alignment horizontal="left" vertical="top" wrapText="1"/>
    </xf>
    <xf numFmtId="3" fontId="1054" fillId="7" borderId="3" xfId="0" applyNumberFormat="1" applyFont="1" applyFill="1" applyBorder="1" applyAlignment="1">
      <alignment horizontal="left" vertical="top" wrapText="1"/>
    </xf>
    <xf numFmtId="3" fontId="1030" fillId="7" borderId="3" xfId="0" applyNumberFormat="1" applyFont="1" applyFill="1" applyBorder="1" applyAlignment="1">
      <alignment horizontal="left" vertical="top" wrapText="1"/>
    </xf>
    <xf numFmtId="3" fontId="1055" fillId="7" borderId="3" xfId="0" applyNumberFormat="1" applyFont="1" applyFill="1" applyBorder="1" applyAlignment="1">
      <alignment horizontal="left" vertical="top" wrapText="1"/>
    </xf>
    <xf numFmtId="3" fontId="1031" fillId="7" borderId="3" xfId="0" applyNumberFormat="1" applyFont="1" applyFill="1" applyBorder="1" applyAlignment="1">
      <alignment horizontal="left" vertical="top" wrapText="1"/>
    </xf>
    <xf numFmtId="3" fontId="1064" fillId="7" borderId="3" xfId="0" applyNumberFormat="1" applyFont="1" applyFill="1" applyBorder="1" applyAlignment="1">
      <alignment horizontal="left" vertical="top" wrapText="1"/>
    </xf>
    <xf numFmtId="3" fontId="1167" fillId="7" borderId="3" xfId="0" applyNumberFormat="1" applyFont="1" applyFill="1" applyBorder="1" applyAlignment="1">
      <alignment horizontal="left" vertical="top" wrapText="1"/>
    </xf>
    <xf numFmtId="3" fontId="1169" fillId="7" borderId="3" xfId="0" applyNumberFormat="1" applyFont="1" applyFill="1" applyBorder="1" applyAlignment="1">
      <alignment horizontal="left" vertical="top" wrapText="1"/>
    </xf>
    <xf numFmtId="3" fontId="1067" fillId="7" borderId="3" xfId="0" applyNumberFormat="1" applyFont="1" applyFill="1" applyBorder="1" applyAlignment="1">
      <alignment horizontal="left" vertical="top" wrapText="1"/>
    </xf>
    <xf numFmtId="3" fontId="1260" fillId="7" borderId="3" xfId="0" applyNumberFormat="1" applyFont="1" applyFill="1" applyBorder="1" applyAlignment="1">
      <alignment horizontal="left" vertical="top" wrapText="1"/>
    </xf>
    <xf numFmtId="3" fontId="1038" fillId="7" borderId="3" xfId="0" applyNumberFormat="1" applyFont="1" applyFill="1" applyBorder="1" applyAlignment="1">
      <alignment horizontal="left" vertical="top" wrapText="1"/>
    </xf>
    <xf numFmtId="3" fontId="1199" fillId="7" borderId="3" xfId="0" applyNumberFormat="1" applyFont="1" applyFill="1" applyBorder="1" applyAlignment="1">
      <alignment horizontal="left" vertical="top" wrapText="1"/>
    </xf>
    <xf numFmtId="3" fontId="1204" fillId="7" borderId="3" xfId="0" applyNumberFormat="1" applyFont="1" applyFill="1" applyBorder="1" applyAlignment="1">
      <alignment horizontal="left" vertical="top" wrapText="1"/>
    </xf>
    <xf numFmtId="3" fontId="1217" fillId="7" borderId="3" xfId="0" applyNumberFormat="1" applyFont="1" applyFill="1" applyBorder="1" applyAlignment="1">
      <alignment horizontal="left" vertical="top" wrapText="1"/>
    </xf>
    <xf numFmtId="3" fontId="1206" fillId="7" borderId="3" xfId="0" applyNumberFormat="1" applyFont="1" applyFill="1" applyBorder="1" applyAlignment="1">
      <alignment horizontal="left" vertical="top" wrapText="1"/>
    </xf>
    <xf numFmtId="3" fontId="1218" fillId="7" borderId="3" xfId="0" applyNumberFormat="1" applyFont="1" applyFill="1" applyBorder="1" applyAlignment="1">
      <alignment horizontal="left" vertical="top" wrapText="1"/>
    </xf>
    <xf numFmtId="3" fontId="1207" fillId="7" borderId="3" xfId="0" applyNumberFormat="1" applyFont="1" applyFill="1" applyBorder="1" applyAlignment="1">
      <alignment horizontal="left" vertical="top" wrapText="1"/>
    </xf>
    <xf numFmtId="3" fontId="1219" fillId="7" borderId="3" xfId="0" applyNumberFormat="1" applyFont="1" applyFill="1" applyBorder="1" applyAlignment="1">
      <alignment horizontal="left" vertical="top" wrapText="1"/>
    </xf>
    <xf numFmtId="3" fontId="976" fillId="7" borderId="3" xfId="0" applyNumberFormat="1" applyFont="1" applyFill="1" applyBorder="1" applyAlignment="1">
      <alignment horizontal="left" vertical="top" wrapText="1"/>
    </xf>
    <xf numFmtId="3" fontId="1084" fillId="7" borderId="3" xfId="0" applyNumberFormat="1" applyFont="1" applyFill="1" applyBorder="1" applyAlignment="1">
      <alignment horizontal="left" vertical="top" wrapText="1"/>
    </xf>
    <xf numFmtId="3" fontId="981" fillId="7" borderId="3" xfId="0" applyNumberFormat="1" applyFont="1" applyFill="1" applyBorder="1" applyAlignment="1">
      <alignment horizontal="left" vertical="top" wrapText="1"/>
    </xf>
    <xf numFmtId="3" fontId="1085" fillId="7" borderId="3" xfId="0" applyNumberFormat="1" applyFont="1" applyFill="1" applyBorder="1" applyAlignment="1">
      <alignment horizontal="left" vertical="top" wrapText="1"/>
    </xf>
    <xf numFmtId="3" fontId="989" fillId="7" borderId="3" xfId="0" applyNumberFormat="1" applyFont="1" applyFill="1" applyBorder="1" applyAlignment="1">
      <alignment horizontal="left" vertical="top" wrapText="1"/>
    </xf>
    <xf numFmtId="3" fontId="963" fillId="7" borderId="3" xfId="0" applyNumberFormat="1" applyFont="1" applyFill="1" applyBorder="1" applyAlignment="1">
      <alignment horizontal="left" vertical="top" wrapText="1"/>
    </xf>
    <xf numFmtId="3" fontId="990" fillId="7" borderId="3" xfId="0" applyNumberFormat="1" applyFont="1" applyFill="1" applyBorder="1" applyAlignment="1">
      <alignment horizontal="left" vertical="top" wrapText="1"/>
    </xf>
    <xf numFmtId="3" fontId="964" fillId="7" borderId="3" xfId="0" applyNumberFormat="1" applyFont="1" applyFill="1" applyBorder="1" applyAlignment="1">
      <alignment horizontal="left" vertical="top" wrapText="1"/>
    </xf>
    <xf numFmtId="3" fontId="991" fillId="7" borderId="3" xfId="0" applyNumberFormat="1" applyFont="1" applyFill="1" applyBorder="1" applyAlignment="1">
      <alignment horizontal="left" vertical="top" wrapText="1"/>
    </xf>
    <xf numFmtId="3" fontId="965" fillId="7" borderId="3" xfId="0" applyNumberFormat="1" applyFont="1" applyFill="1" applyBorder="1" applyAlignment="1">
      <alignment horizontal="left" vertical="top" wrapText="1"/>
    </xf>
    <xf numFmtId="3" fontId="992" fillId="7" borderId="3" xfId="0" applyNumberFormat="1" applyFont="1" applyFill="1" applyBorder="1" applyAlignment="1">
      <alignment horizontal="left" vertical="top" wrapText="1"/>
    </xf>
    <xf numFmtId="3" fontId="966" fillId="7" borderId="3" xfId="0" applyNumberFormat="1" applyFont="1" applyFill="1" applyBorder="1" applyAlignment="1">
      <alignment horizontal="left" vertical="top" wrapText="1"/>
    </xf>
    <xf numFmtId="3" fontId="993" fillId="5" borderId="3" xfId="0" applyNumberFormat="1" applyFont="1" applyFill="1" applyBorder="1" applyAlignment="1">
      <alignment horizontal="left" vertical="top" wrapText="1"/>
    </xf>
    <xf numFmtId="3" fontId="967" fillId="5" borderId="3" xfId="0" applyNumberFormat="1" applyFont="1" applyFill="1" applyBorder="1" applyAlignment="1">
      <alignment horizontal="left" vertical="top" wrapText="1"/>
    </xf>
    <xf numFmtId="3" fontId="995" fillId="5" borderId="3" xfId="0" applyNumberFormat="1" applyFont="1" applyFill="1" applyBorder="1" applyAlignment="1">
      <alignment horizontal="left" vertical="top" wrapText="1"/>
    </xf>
    <xf numFmtId="3" fontId="969" fillId="5" borderId="3" xfId="0" applyNumberFormat="1" applyFont="1" applyFill="1" applyBorder="1" applyAlignment="1">
      <alignment horizontal="left" vertical="top" wrapText="1"/>
    </xf>
    <xf numFmtId="3" fontId="1086" fillId="5" borderId="3" xfId="0" applyNumberFormat="1" applyFont="1" applyFill="1" applyBorder="1" applyAlignment="1">
      <alignment horizontal="left" vertical="top" wrapText="1"/>
    </xf>
    <xf numFmtId="3" fontId="970" fillId="5" borderId="3" xfId="0" applyNumberFormat="1" applyFont="1" applyFill="1" applyBorder="1" applyAlignment="1">
      <alignment horizontal="left" vertical="top" wrapText="1"/>
    </xf>
    <xf numFmtId="3" fontId="1088" fillId="5" borderId="3" xfId="0" applyNumberFormat="1" applyFont="1" applyFill="1" applyBorder="1" applyAlignment="1">
      <alignment horizontal="left" vertical="top" wrapText="1"/>
    </xf>
    <xf numFmtId="3" fontId="972" fillId="5" borderId="3" xfId="0" applyNumberFormat="1" applyFont="1" applyFill="1" applyBorder="1" applyAlignment="1">
      <alignment horizontal="left" vertical="top" wrapText="1"/>
    </xf>
    <xf numFmtId="3" fontId="1089" fillId="5" borderId="3" xfId="0" applyNumberFormat="1" applyFont="1" applyFill="1" applyBorder="1" applyAlignment="1">
      <alignment horizontal="left" vertical="top" wrapText="1"/>
    </xf>
    <xf numFmtId="3" fontId="1015" fillId="5" borderId="3" xfId="0" applyNumberFormat="1" applyFont="1" applyFill="1" applyBorder="1" applyAlignment="1">
      <alignment horizontal="left" vertical="top" wrapText="1"/>
    </xf>
    <xf numFmtId="3" fontId="1090" fillId="7" borderId="3" xfId="0" applyNumberFormat="1" applyFont="1" applyFill="1" applyBorder="1" applyAlignment="1">
      <alignment horizontal="left" vertical="top" wrapText="1"/>
    </xf>
    <xf numFmtId="3" fontId="1016" fillId="7" borderId="3" xfId="0" applyNumberFormat="1" applyFont="1" applyFill="1" applyBorder="1" applyAlignment="1">
      <alignment horizontal="left" vertical="top" wrapText="1"/>
    </xf>
    <xf numFmtId="3" fontId="996" fillId="7" borderId="3" xfId="0" applyNumberFormat="1" applyFont="1" applyFill="1" applyBorder="1" applyAlignment="1">
      <alignment horizontal="left" vertical="top" wrapText="1"/>
    </xf>
    <xf numFmtId="3" fontId="1017" fillId="7" borderId="3" xfId="0" applyNumberFormat="1" applyFont="1" applyFill="1" applyBorder="1" applyAlignment="1">
      <alignment horizontal="left" vertical="top" wrapText="1"/>
    </xf>
    <xf numFmtId="3" fontId="997" fillId="7" borderId="3" xfId="0" applyNumberFormat="1" applyFont="1" applyFill="1" applyBorder="1" applyAlignment="1">
      <alignment horizontal="left" vertical="top" wrapText="1"/>
    </xf>
    <xf numFmtId="3" fontId="1018" fillId="7" borderId="3" xfId="0" applyNumberFormat="1" applyFont="1" applyFill="1" applyBorder="1" applyAlignment="1">
      <alignment horizontal="left" vertical="top" wrapText="1"/>
    </xf>
    <xf numFmtId="3" fontId="998" fillId="7" borderId="3" xfId="0" applyNumberFormat="1" applyFont="1" applyFill="1" applyBorder="1" applyAlignment="1">
      <alignment horizontal="left" vertical="top" wrapText="1"/>
    </xf>
    <xf numFmtId="3" fontId="1019" fillId="7" borderId="3" xfId="0" applyNumberFormat="1" applyFont="1" applyFill="1" applyBorder="1" applyAlignment="1">
      <alignment horizontal="left" vertical="top" wrapText="1"/>
    </xf>
    <xf numFmtId="3" fontId="999" fillId="5" borderId="3" xfId="0" applyNumberFormat="1" applyFont="1" applyFill="1" applyBorder="1" applyAlignment="1">
      <alignment horizontal="left" vertical="top" wrapText="1"/>
    </xf>
    <xf numFmtId="3" fontId="1020" fillId="5" borderId="3" xfId="0" applyNumberFormat="1" applyFont="1" applyFill="1" applyBorder="1" applyAlignment="1">
      <alignment horizontal="left" vertical="top" wrapText="1"/>
    </xf>
    <xf numFmtId="3" fontId="1000" fillId="7" borderId="3" xfId="0" applyNumberFormat="1" applyFont="1" applyFill="1" applyBorder="1" applyAlignment="1">
      <alignment horizontal="left" vertical="top" wrapText="1"/>
    </xf>
    <xf numFmtId="3" fontId="1021" fillId="7" borderId="3" xfId="0" applyNumberFormat="1" applyFont="1" applyFill="1" applyBorder="1" applyAlignment="1">
      <alignment horizontal="left" vertical="top" wrapText="1"/>
    </xf>
    <xf numFmtId="3" fontId="1001" fillId="7" borderId="3" xfId="0" applyNumberFormat="1" applyFont="1" applyFill="1" applyBorder="1" applyAlignment="1">
      <alignment horizontal="left" vertical="top" wrapText="1"/>
    </xf>
    <xf numFmtId="3" fontId="1022" fillId="7" borderId="3" xfId="0" applyNumberFormat="1" applyFont="1" applyFill="1" applyBorder="1" applyAlignment="1">
      <alignment horizontal="left" vertical="top" wrapText="1"/>
    </xf>
    <xf numFmtId="3" fontId="1002" fillId="7" borderId="3" xfId="0" applyNumberFormat="1" applyFont="1" applyFill="1" applyBorder="1" applyAlignment="1">
      <alignment horizontal="left" vertical="top" wrapText="1"/>
    </xf>
    <xf numFmtId="3" fontId="1023" fillId="7" borderId="3" xfId="0" applyNumberFormat="1" applyFont="1" applyFill="1" applyBorder="1" applyAlignment="1">
      <alignment horizontal="left" vertical="top" wrapText="1"/>
    </xf>
    <xf numFmtId="3" fontId="1003" fillId="5" borderId="3" xfId="0" applyNumberFormat="1" applyFont="1" applyFill="1" applyBorder="1" applyAlignment="1">
      <alignment horizontal="left" vertical="top" wrapText="1"/>
    </xf>
    <xf numFmtId="3" fontId="1024" fillId="5" borderId="3" xfId="0" applyNumberFormat="1" applyFont="1" applyFill="1" applyBorder="1" applyAlignment="1">
      <alignment horizontal="left" vertical="top" wrapText="1"/>
    </xf>
    <xf numFmtId="3" fontId="1004" fillId="5" borderId="3" xfId="0" applyNumberFormat="1" applyFont="1" applyFill="1" applyBorder="1" applyAlignment="1">
      <alignment horizontal="left" vertical="top" wrapText="1"/>
    </xf>
    <xf numFmtId="3" fontId="1025" fillId="5" borderId="3" xfId="0" applyNumberFormat="1" applyFont="1" applyFill="1" applyBorder="1" applyAlignment="1">
      <alignment horizontal="left" vertical="top" wrapText="1"/>
    </xf>
    <xf numFmtId="3" fontId="1051" fillId="5" borderId="3" xfId="0" applyNumberFormat="1" applyFont="1" applyFill="1" applyBorder="1" applyAlignment="1">
      <alignment horizontal="left" vertical="top" wrapText="1"/>
    </xf>
    <xf numFmtId="3" fontId="1026" fillId="5" borderId="3" xfId="0" applyNumberFormat="1" applyFont="1" applyFill="1" applyBorder="1" applyAlignment="1">
      <alignment horizontal="left" vertical="top" wrapText="1"/>
    </xf>
    <xf numFmtId="3" fontId="1053" fillId="5" borderId="3" xfId="0" applyNumberFormat="1" applyFont="1" applyFill="1" applyBorder="1" applyAlignment="1">
      <alignment horizontal="left" vertical="top" wrapText="1"/>
    </xf>
    <xf numFmtId="3" fontId="1029" fillId="5" borderId="3" xfId="0" applyNumberFormat="1" applyFont="1" applyFill="1" applyBorder="1" applyAlignment="1">
      <alignment horizontal="left" vertical="top" wrapText="1"/>
    </xf>
    <xf numFmtId="3" fontId="1056" fillId="5" borderId="3" xfId="0" applyNumberFormat="1" applyFont="1" applyFill="1" applyBorder="1" applyAlignment="1">
      <alignment horizontal="left" vertical="top" wrapText="1"/>
    </xf>
    <xf numFmtId="3" fontId="1032" fillId="5" borderId="3" xfId="0" applyNumberFormat="1" applyFont="1" applyFill="1" applyBorder="1" applyAlignment="1">
      <alignment horizontal="left" vertical="top" wrapText="1"/>
    </xf>
    <xf numFmtId="3" fontId="1057" fillId="5" borderId="3" xfId="0" applyNumberFormat="1" applyFont="1" applyFill="1" applyBorder="1" applyAlignment="1">
      <alignment horizontal="left" vertical="top" wrapText="1"/>
    </xf>
    <xf numFmtId="3" fontId="1033" fillId="5" borderId="3" xfId="0" applyNumberFormat="1" applyFont="1" applyFill="1" applyBorder="1" applyAlignment="1">
      <alignment horizontal="left" vertical="top" wrapText="1"/>
    </xf>
    <xf numFmtId="3" fontId="1058" fillId="7" borderId="3" xfId="0" applyNumberFormat="1" applyFont="1" applyFill="1" applyBorder="1" applyAlignment="1">
      <alignment horizontal="left" vertical="top" wrapText="1"/>
    </xf>
    <xf numFmtId="3" fontId="1034" fillId="7" borderId="3" xfId="0" applyNumberFormat="1" applyFont="1" applyFill="1" applyBorder="1" applyAlignment="1">
      <alignment horizontal="left" vertical="top" wrapText="1"/>
    </xf>
    <xf numFmtId="3" fontId="1059" fillId="7" borderId="3" xfId="0" applyNumberFormat="1" applyFont="1" applyFill="1" applyBorder="1" applyAlignment="1">
      <alignment horizontal="left" vertical="top" wrapText="1"/>
    </xf>
    <xf numFmtId="3" fontId="1035" fillId="7" borderId="3" xfId="0" applyNumberFormat="1" applyFont="1" applyFill="1" applyBorder="1" applyAlignment="1">
      <alignment horizontal="left" vertical="top" wrapText="1"/>
    </xf>
    <xf numFmtId="3" fontId="1060" fillId="7" borderId="3" xfId="0" applyNumberFormat="1" applyFont="1" applyFill="1" applyBorder="1" applyAlignment="1">
      <alignment horizontal="left" vertical="top" wrapText="1"/>
    </xf>
    <xf numFmtId="3" fontId="1036" fillId="7" borderId="3" xfId="0" applyNumberFormat="1" applyFont="1" applyFill="1" applyBorder="1" applyAlignment="1">
      <alignment horizontal="left" vertical="top" wrapText="1"/>
    </xf>
    <xf numFmtId="3" fontId="1061" fillId="7" borderId="3" xfId="0" applyNumberFormat="1" applyFont="1" applyFill="1" applyBorder="1" applyAlignment="1">
      <alignment horizontal="left" vertical="top" wrapText="1"/>
    </xf>
    <xf numFmtId="3" fontId="1164" fillId="7" borderId="3" xfId="0" applyNumberFormat="1" applyFont="1" applyFill="1" applyBorder="1" applyAlignment="1">
      <alignment horizontal="left" vertical="top" wrapText="1"/>
    </xf>
    <xf numFmtId="3" fontId="1062" fillId="5" borderId="3" xfId="0" applyNumberFormat="1" applyFont="1" applyFill="1" applyBorder="1" applyAlignment="1">
      <alignment horizontal="left" vertical="top" wrapText="1"/>
    </xf>
    <xf numFmtId="3" fontId="1165" fillId="5" borderId="3" xfId="0" applyNumberFormat="1" applyFont="1" applyFill="1" applyBorder="1" applyAlignment="1">
      <alignment horizontal="left" vertical="top" wrapText="1"/>
    </xf>
    <xf numFmtId="3" fontId="1063" fillId="5" borderId="3" xfId="0" applyNumberFormat="1" applyFont="1" applyFill="1" applyBorder="1" applyAlignment="1">
      <alignment horizontal="left" vertical="top" wrapText="1"/>
    </xf>
    <xf numFmtId="3" fontId="1166" fillId="5" borderId="3" xfId="0" applyNumberFormat="1" applyFont="1" applyFill="1" applyBorder="1" applyAlignment="1">
      <alignment horizontal="left" vertical="top" wrapText="1"/>
    </xf>
    <xf numFmtId="3" fontId="1065" fillId="5" borderId="3" xfId="0" applyNumberFormat="1" applyFont="1" applyFill="1" applyBorder="1" applyAlignment="1">
      <alignment horizontal="left" vertical="top" wrapText="1"/>
    </xf>
    <xf numFmtId="3" fontId="1168" fillId="5" borderId="3" xfId="0" applyNumberFormat="1" applyFont="1" applyFill="1" applyBorder="1" applyAlignment="1">
      <alignment horizontal="left" vertical="top" wrapText="1"/>
    </xf>
    <xf numFmtId="3" fontId="1066" fillId="7" borderId="3" xfId="0" applyNumberFormat="1" applyFont="1" applyFill="1" applyBorder="1" applyAlignment="1">
      <alignment horizontal="left" vertical="top" wrapText="1"/>
    </xf>
    <xf numFmtId="3" fontId="1068" fillId="5" borderId="3" xfId="0" applyNumberFormat="1" applyFont="1" applyFill="1" applyBorder="1" applyAlignment="1">
      <alignment horizontal="left" vertical="top" wrapText="1"/>
    </xf>
    <xf numFmtId="3" fontId="949" fillId="5" borderId="3" xfId="0" applyNumberFormat="1" applyFont="1" applyFill="1" applyBorder="1" applyAlignment="1">
      <alignment horizontal="left" vertical="top" wrapText="1"/>
    </xf>
    <xf numFmtId="3" fontId="1069" fillId="5" borderId="3" xfId="0" applyNumberFormat="1" applyFont="1" applyFill="1" applyBorder="1" applyAlignment="1">
      <alignment horizontal="left" vertical="top" wrapText="1"/>
    </xf>
    <xf numFmtId="3" fontId="1198" fillId="5" borderId="3" xfId="0" applyNumberFormat="1" applyFont="1" applyFill="1" applyBorder="1" applyAlignment="1">
      <alignment horizontal="left" vertical="top" wrapText="1"/>
    </xf>
    <xf numFmtId="3" fontId="1201" fillId="5" borderId="3" xfId="0" applyNumberFormat="1" applyFont="1" applyFill="1" applyBorder="1" applyAlignment="1">
      <alignment horizontal="left" vertical="top" wrapText="1"/>
    </xf>
    <xf numFmtId="3" fontId="1214" fillId="5" borderId="3" xfId="0" applyNumberFormat="1" applyFont="1" applyFill="1" applyBorder="1" applyAlignment="1">
      <alignment horizontal="left" vertical="top" wrapText="1"/>
    </xf>
    <xf numFmtId="3" fontId="1202" fillId="5" borderId="3" xfId="0" applyNumberFormat="1" applyFont="1" applyFill="1" applyBorder="1" applyAlignment="1">
      <alignment horizontal="left" vertical="top" wrapText="1"/>
    </xf>
    <xf numFmtId="3" fontId="1215" fillId="5" borderId="3" xfId="0" applyNumberFormat="1" applyFont="1" applyFill="1" applyBorder="1" applyAlignment="1">
      <alignment horizontal="left" vertical="top" wrapText="1"/>
    </xf>
    <xf numFmtId="3" fontId="1203" fillId="5" borderId="3" xfId="0" applyNumberFormat="1" applyFont="1" applyFill="1" applyBorder="1" applyAlignment="1">
      <alignment horizontal="left" vertical="top" wrapText="1"/>
    </xf>
    <xf numFmtId="3" fontId="1216" fillId="5" borderId="3" xfId="0" applyNumberFormat="1" applyFont="1" applyFill="1" applyBorder="1" applyAlignment="1">
      <alignment horizontal="left" vertical="top" wrapText="1"/>
    </xf>
    <xf numFmtId="3" fontId="1205" fillId="5" borderId="3" xfId="0" applyNumberFormat="1" applyFont="1" applyFill="1" applyBorder="1" applyAlignment="1">
      <alignment horizontal="left" vertical="top" wrapText="1"/>
    </xf>
    <xf numFmtId="3" fontId="1245" fillId="5" borderId="3" xfId="0" applyNumberFormat="1" applyFont="1" applyFill="1" applyBorder="1" applyAlignment="1">
      <alignment horizontal="left" vertical="top" wrapText="1"/>
    </xf>
    <xf numFmtId="3" fontId="1208" fillId="5" borderId="3" xfId="0" applyNumberFormat="1" applyFont="1" applyFill="1" applyBorder="1" applyAlignment="1">
      <alignment horizontal="left" vertical="top" wrapText="1"/>
    </xf>
    <xf numFmtId="3" fontId="1220" fillId="5" borderId="3" xfId="0" applyNumberFormat="1" applyFont="1" applyFill="1" applyBorder="1" applyAlignment="1">
      <alignment horizontal="left" vertical="top" wrapText="1"/>
    </xf>
    <xf numFmtId="3" fontId="1210" fillId="7" borderId="3" xfId="0" applyNumberFormat="1" applyFont="1" applyFill="1" applyBorder="1" applyAlignment="1">
      <alignment horizontal="left" vertical="top" wrapText="1"/>
    </xf>
    <xf numFmtId="3" fontId="1221" fillId="7" borderId="3" xfId="0" applyNumberFormat="1" applyFont="1" applyFill="1" applyBorder="1" applyAlignment="1">
      <alignment horizontal="left" vertical="top" wrapText="1"/>
    </xf>
    <xf numFmtId="3" fontId="1211" fillId="7" borderId="3" xfId="0" applyNumberFormat="1" applyFont="1" applyFill="1" applyBorder="1" applyAlignment="1">
      <alignment horizontal="left" vertical="top" wrapText="1"/>
    </xf>
    <xf numFmtId="3" fontId="951" fillId="7" borderId="3" xfId="0" applyNumberFormat="1" applyFont="1" applyFill="1" applyBorder="1" applyAlignment="1">
      <alignment horizontal="left" vertical="top" wrapText="1"/>
    </xf>
    <xf numFmtId="3" fontId="1212" fillId="7" borderId="3" xfId="0" applyNumberFormat="1" applyFont="1" applyFill="1" applyBorder="1" applyAlignment="1">
      <alignment horizontal="left" vertical="top" wrapText="1"/>
    </xf>
    <xf numFmtId="3" fontId="952" fillId="7" borderId="3" xfId="0" applyNumberFormat="1" applyFont="1" applyFill="1" applyBorder="1" applyAlignment="1">
      <alignment horizontal="left" vertical="top" wrapText="1"/>
    </xf>
    <xf numFmtId="3" fontId="973" fillId="7" borderId="3" xfId="0" applyNumberFormat="1" applyFont="1" applyFill="1" applyBorder="1" applyAlignment="1">
      <alignment horizontal="left" vertical="top" wrapText="1"/>
    </xf>
    <xf numFmtId="3" fontId="953" fillId="7" borderId="3" xfId="0" applyNumberFormat="1" applyFont="1" applyFill="1" applyBorder="1" applyAlignment="1">
      <alignment horizontal="left" vertical="top" wrapText="1"/>
    </xf>
    <xf numFmtId="3" fontId="974" fillId="7" borderId="3" xfId="0" applyNumberFormat="1" applyFont="1" applyFill="1" applyBorder="1" applyAlignment="1">
      <alignment horizontal="left" vertical="top" wrapText="1"/>
    </xf>
    <xf numFmtId="3" fontId="954" fillId="7" borderId="3" xfId="0" applyNumberFormat="1" applyFont="1" applyFill="1" applyBorder="1" applyAlignment="1">
      <alignment horizontal="left" vertical="top" wrapText="1"/>
    </xf>
    <xf numFmtId="3" fontId="977" fillId="7" borderId="3" xfId="0" applyNumberFormat="1" applyFont="1" applyFill="1" applyBorder="1" applyAlignment="1">
      <alignment horizontal="left" vertical="top" wrapText="1"/>
    </xf>
    <xf numFmtId="3" fontId="955" fillId="7" borderId="3" xfId="0" applyNumberFormat="1" applyFont="1" applyFill="1" applyBorder="1" applyAlignment="1">
      <alignment horizontal="left" vertical="top" wrapText="1"/>
    </xf>
    <xf numFmtId="3" fontId="978" fillId="7" borderId="3" xfId="0" applyNumberFormat="1" applyFont="1" applyFill="1" applyBorder="1" applyAlignment="1">
      <alignment horizontal="left" vertical="top" wrapText="1"/>
    </xf>
    <xf numFmtId="3" fontId="956" fillId="7" borderId="3" xfId="0" applyNumberFormat="1" applyFont="1" applyFill="1" applyBorder="1" applyAlignment="1">
      <alignment horizontal="left" vertical="top" wrapText="1"/>
    </xf>
    <xf numFmtId="3" fontId="975" fillId="5" borderId="3" xfId="0" applyNumberFormat="1" applyFont="1" applyFill="1" applyBorder="1" applyAlignment="1">
      <alignment horizontal="left" vertical="top" wrapText="1"/>
    </xf>
    <xf numFmtId="3" fontId="1083" fillId="5" borderId="3" xfId="0" applyNumberFormat="1" applyFont="1" applyFill="1" applyBorder="1" applyAlignment="1">
      <alignment horizontal="left" vertical="top" wrapText="1"/>
    </xf>
    <xf numFmtId="3" fontId="979" fillId="5" borderId="3" xfId="0" applyNumberFormat="1" applyFont="1" applyFill="1" applyBorder="1" applyAlignment="1">
      <alignment horizontal="left" vertical="top" wrapText="1"/>
    </xf>
    <xf numFmtId="3" fontId="1261" fillId="5" borderId="3" xfId="0" applyNumberFormat="1" applyFont="1" applyFill="1" applyBorder="1" applyAlignment="1">
      <alignment horizontal="left" vertical="top" wrapText="1"/>
    </xf>
    <xf numFmtId="3" fontId="980" fillId="5" borderId="3" xfId="0" applyNumberFormat="1" applyFont="1" applyFill="1" applyBorder="1" applyAlignment="1">
      <alignment horizontal="left" vertical="top" wrapText="1"/>
    </xf>
    <xf numFmtId="3" fontId="1179" fillId="5" borderId="3" xfId="0" applyNumberFormat="1" applyFont="1" applyFill="1" applyBorder="1" applyAlignment="1">
      <alignment horizontal="left" vertical="top" wrapText="1"/>
    </xf>
    <xf numFmtId="3" fontId="982" fillId="5" borderId="3" xfId="0" applyNumberFormat="1" applyFont="1" applyFill="1" applyBorder="1" applyAlignment="1">
      <alignment horizontal="left" vertical="top" wrapText="1"/>
    </xf>
    <xf numFmtId="3" fontId="1028" fillId="5" borderId="3" xfId="0" applyNumberFormat="1" applyFont="1" applyFill="1" applyBorder="1" applyAlignment="1">
      <alignment horizontal="left" vertical="top" wrapText="1"/>
    </xf>
    <xf numFmtId="3" fontId="983" fillId="5" borderId="3" xfId="0" applyNumberFormat="1" applyFont="1" applyFill="1" applyBorder="1" applyAlignment="1">
      <alignment horizontal="left" vertical="top" wrapText="1"/>
    </xf>
    <xf numFmtId="3" fontId="957" fillId="5" borderId="3" xfId="0" applyNumberFormat="1" applyFont="1" applyFill="1" applyBorder="1" applyAlignment="1">
      <alignment horizontal="left" vertical="top" wrapText="1"/>
    </xf>
    <xf numFmtId="3" fontId="984" fillId="5" borderId="3" xfId="0" applyNumberFormat="1" applyFont="1" applyFill="1" applyBorder="1" applyAlignment="1">
      <alignment horizontal="left" vertical="top" wrapText="1"/>
    </xf>
    <xf numFmtId="3" fontId="958" fillId="5" borderId="3" xfId="0" applyNumberFormat="1" applyFont="1" applyFill="1" applyBorder="1" applyAlignment="1">
      <alignment horizontal="left" vertical="top" wrapText="1"/>
    </xf>
    <xf numFmtId="3" fontId="985" fillId="5" borderId="3" xfId="0" applyNumberFormat="1" applyFont="1" applyFill="1" applyBorder="1" applyAlignment="1">
      <alignment horizontal="left" vertical="top" wrapText="1"/>
    </xf>
    <xf numFmtId="3" fontId="959" fillId="5" borderId="3" xfId="0" applyNumberFormat="1" applyFont="1" applyFill="1" applyBorder="1" applyAlignment="1">
      <alignment horizontal="left" vertical="top" wrapText="1"/>
    </xf>
    <xf numFmtId="3" fontId="986" fillId="5" borderId="3" xfId="0" applyNumberFormat="1" applyFont="1" applyFill="1" applyBorder="1" applyAlignment="1">
      <alignment horizontal="left" vertical="top" wrapText="1"/>
    </xf>
    <xf numFmtId="3" fontId="960" fillId="5" borderId="3" xfId="0" applyNumberFormat="1" applyFont="1" applyFill="1" applyBorder="1" applyAlignment="1">
      <alignment horizontal="left" vertical="top" wrapText="1"/>
    </xf>
    <xf numFmtId="3" fontId="987" fillId="5" borderId="3" xfId="0" applyNumberFormat="1" applyFont="1" applyFill="1" applyBorder="1" applyAlignment="1">
      <alignment horizontal="left" vertical="top" wrapText="1"/>
    </xf>
    <xf numFmtId="3" fontId="961" fillId="5" borderId="3" xfId="0" applyNumberFormat="1" applyFont="1" applyFill="1" applyBorder="1" applyAlignment="1">
      <alignment horizontal="left" vertical="top" wrapText="1"/>
    </xf>
    <xf numFmtId="3" fontId="988" fillId="5" borderId="3" xfId="0" applyNumberFormat="1" applyFont="1" applyFill="1" applyBorder="1" applyAlignment="1">
      <alignment horizontal="left" vertical="top" wrapText="1"/>
    </xf>
    <xf numFmtId="3" fontId="962" fillId="5" borderId="3" xfId="0" applyNumberFormat="1" applyFont="1" applyFill="1" applyBorder="1" applyAlignment="1">
      <alignment horizontal="left" vertical="top" wrapText="1"/>
    </xf>
    <xf numFmtId="3" fontId="1756" fillId="7" borderId="3" xfId="0" applyNumberFormat="1" applyFont="1" applyFill="1" applyBorder="1" applyAlignment="1">
      <alignment horizontal="left" vertical="top" wrapText="1"/>
    </xf>
    <xf numFmtId="3" fontId="1941" fillId="7" borderId="3" xfId="0" applyNumberFormat="1" applyFont="1" applyFill="1" applyBorder="1" applyAlignment="1">
      <alignment horizontal="left" vertical="top" wrapText="1"/>
    </xf>
    <xf numFmtId="3" fontId="1757" fillId="7" borderId="3" xfId="0" applyNumberFormat="1" applyFont="1" applyFill="1" applyBorder="1" applyAlignment="1">
      <alignment horizontal="left" vertical="top" wrapText="1"/>
    </xf>
    <xf numFmtId="3" fontId="1942" fillId="7" borderId="3" xfId="0" applyNumberFormat="1" applyFont="1" applyFill="1" applyBorder="1" applyAlignment="1">
      <alignment horizontal="left" vertical="top" wrapText="1"/>
    </xf>
    <xf numFmtId="3" fontId="1760" fillId="7" borderId="3" xfId="0" applyNumberFormat="1" applyFont="1" applyFill="1" applyBorder="1" applyAlignment="1">
      <alignment horizontal="left" vertical="top" wrapText="1"/>
    </xf>
    <xf numFmtId="3" fontId="1945" fillId="7" borderId="3" xfId="0" applyNumberFormat="1" applyFont="1" applyFill="1" applyBorder="1" applyAlignment="1">
      <alignment horizontal="left" vertical="top" wrapText="1"/>
    </xf>
    <xf numFmtId="3" fontId="1761" fillId="7" borderId="3" xfId="0" applyNumberFormat="1" applyFont="1" applyFill="1" applyBorder="1" applyAlignment="1">
      <alignment horizontal="left" vertical="top" wrapText="1"/>
    </xf>
    <xf numFmtId="3" fontId="1947" fillId="7" borderId="3" xfId="0" applyNumberFormat="1" applyFont="1" applyFill="1" applyBorder="1" applyAlignment="1">
      <alignment horizontal="left" vertical="top" wrapText="1"/>
    </xf>
    <xf numFmtId="3" fontId="1768" fillId="7" borderId="3" xfId="0" applyNumberFormat="1" applyFont="1" applyFill="1" applyBorder="1" applyAlignment="1">
      <alignment horizontal="left" vertical="top" wrapText="1"/>
    </xf>
    <xf numFmtId="3" fontId="1954" fillId="7" borderId="3" xfId="0" applyNumberFormat="1" applyFont="1" applyFill="1" applyBorder="1" applyAlignment="1">
      <alignment horizontal="left" vertical="top" wrapText="1"/>
    </xf>
    <xf numFmtId="3" fontId="1769" fillId="7" borderId="3" xfId="0" applyNumberFormat="1" applyFont="1" applyFill="1" applyBorder="1" applyAlignment="1">
      <alignment horizontal="left" vertical="top" wrapText="1"/>
    </xf>
    <xf numFmtId="3" fontId="1955" fillId="7" borderId="3" xfId="0" applyNumberFormat="1" applyFont="1" applyFill="1" applyBorder="1" applyAlignment="1">
      <alignment horizontal="left" vertical="top" wrapText="1"/>
    </xf>
    <xf numFmtId="3" fontId="1771" fillId="7" borderId="3" xfId="0" applyNumberFormat="1" applyFont="1" applyFill="1" applyBorder="1" applyAlignment="1">
      <alignment horizontal="left" vertical="top" wrapText="1"/>
    </xf>
    <xf numFmtId="3" fontId="1957" fillId="7" borderId="3" xfId="0" applyNumberFormat="1" applyFont="1" applyFill="1" applyBorder="1" applyAlignment="1">
      <alignment horizontal="left" vertical="top" wrapText="1"/>
    </xf>
    <xf numFmtId="3" fontId="1772" fillId="7" borderId="3" xfId="0" applyNumberFormat="1" applyFont="1" applyFill="1" applyBorder="1" applyAlignment="1">
      <alignment horizontal="left" vertical="top" wrapText="1"/>
    </xf>
    <xf numFmtId="3" fontId="1958" fillId="7" borderId="3" xfId="0" applyNumberFormat="1" applyFont="1" applyFill="1" applyBorder="1" applyAlignment="1">
      <alignment horizontal="left" vertical="top" wrapText="1"/>
    </xf>
    <xf numFmtId="3" fontId="1904" fillId="7" borderId="3" xfId="0" applyNumberFormat="1" applyFont="1" applyFill="1" applyBorder="1" applyAlignment="1">
      <alignment horizontal="left" vertical="top" wrapText="1"/>
    </xf>
    <xf numFmtId="3" fontId="1845" fillId="7" borderId="3" xfId="0" applyNumberFormat="1" applyFont="1" applyFill="1" applyBorder="1" applyAlignment="1">
      <alignment horizontal="left" vertical="top" wrapText="1"/>
    </xf>
    <xf numFmtId="3" fontId="1907" fillId="7" borderId="3" xfId="0" applyNumberFormat="1" applyFont="1" applyFill="1" applyBorder="1" applyAlignment="1">
      <alignment horizontal="left" vertical="top" wrapText="1"/>
    </xf>
    <xf numFmtId="3" fontId="1844" fillId="7" borderId="3" xfId="0" applyNumberFormat="1" applyFont="1" applyFill="1" applyBorder="1" applyAlignment="1">
      <alignment horizontal="left" vertical="top" wrapText="1"/>
    </xf>
    <xf numFmtId="3" fontId="1905" fillId="7" borderId="3" xfId="0" applyNumberFormat="1" applyFont="1" applyFill="1" applyBorder="1" applyAlignment="1">
      <alignment horizontal="left" vertical="top" wrapText="1"/>
    </xf>
    <xf numFmtId="3" fontId="1842" fillId="7" borderId="3" xfId="0" applyNumberFormat="1" applyFont="1" applyFill="1" applyBorder="1" applyAlignment="1">
      <alignment horizontal="left" vertical="top" wrapText="1"/>
    </xf>
    <xf numFmtId="3" fontId="1908" fillId="7" borderId="3" xfId="0" applyNumberFormat="1" applyFont="1" applyFill="1" applyBorder="1" applyAlignment="1">
      <alignment horizontal="left" vertical="top" wrapText="1"/>
    </xf>
    <xf numFmtId="3" fontId="1846" fillId="7" borderId="3" xfId="0" applyNumberFormat="1" applyFont="1" applyFill="1" applyBorder="1" applyAlignment="1">
      <alignment horizontal="left" vertical="top" wrapText="1"/>
    </xf>
    <xf numFmtId="3" fontId="1909" fillId="7" borderId="3" xfId="0" applyNumberFormat="1" applyFont="1" applyFill="1" applyBorder="1" applyAlignment="1">
      <alignment horizontal="left" vertical="top" wrapText="1"/>
    </xf>
    <xf numFmtId="3" fontId="1847" fillId="7" borderId="3" xfId="0" applyNumberFormat="1" applyFont="1" applyFill="1" applyBorder="1" applyAlignment="1">
      <alignment horizontal="left" vertical="top" wrapText="1"/>
    </xf>
    <xf numFmtId="3" fontId="1711" fillId="7" borderId="3" xfId="0" applyNumberFormat="1" applyFont="1" applyFill="1" applyBorder="1" applyAlignment="1">
      <alignment horizontal="left" vertical="top" wrapText="1"/>
    </xf>
    <xf numFmtId="3" fontId="1849" fillId="7" borderId="3" xfId="0" applyNumberFormat="1" applyFont="1" applyFill="1" applyBorder="1" applyAlignment="1">
      <alignment horizontal="left" vertical="top" wrapText="1"/>
    </xf>
    <xf numFmtId="3" fontId="1718" fillId="7" borderId="3" xfId="0" applyNumberFormat="1" applyFont="1" applyFill="1" applyBorder="1" applyAlignment="1">
      <alignment horizontal="left" vertical="top" wrapText="1"/>
    </xf>
    <xf numFmtId="3" fontId="1855" fillId="7" borderId="3" xfId="0" applyNumberFormat="1" applyFont="1" applyFill="1" applyBorder="1" applyAlignment="1">
      <alignment horizontal="left" vertical="top" wrapText="1"/>
    </xf>
    <xf numFmtId="3" fontId="1720" fillId="7" borderId="3" xfId="0" applyNumberFormat="1" applyFont="1" applyFill="1" applyBorder="1" applyAlignment="1">
      <alignment horizontal="left" vertical="top" wrapText="1"/>
    </xf>
    <xf numFmtId="3" fontId="2029" fillId="7" borderId="3" xfId="0" applyNumberFormat="1" applyFont="1" applyFill="1" applyBorder="1" applyAlignment="1">
      <alignment horizontal="left" vertical="top" wrapText="1"/>
    </xf>
    <xf numFmtId="3" fontId="1721" fillId="7" borderId="3" xfId="0" applyNumberFormat="1" applyFont="1" applyFill="1" applyBorder="1" applyAlignment="1">
      <alignment horizontal="left" vertical="top" wrapText="1"/>
    </xf>
    <xf numFmtId="3" fontId="2030" fillId="7" borderId="3" xfId="0" applyNumberFormat="1" applyFont="1" applyFill="1" applyBorder="1" applyAlignment="1">
      <alignment horizontal="left" vertical="top" wrapText="1"/>
    </xf>
    <xf numFmtId="3" fontId="2032" fillId="7" borderId="3" xfId="0" applyNumberFormat="1" applyFont="1" applyFill="1" applyBorder="1" applyAlignment="1">
      <alignment horizontal="left" vertical="top" wrapText="1"/>
    </xf>
    <xf numFmtId="3" fontId="1724" fillId="7" borderId="3" xfId="0" applyNumberFormat="1" applyFont="1" applyFill="1" applyBorder="1" applyAlignment="1">
      <alignment horizontal="left" vertical="top" wrapText="1"/>
    </xf>
    <xf numFmtId="3" fontId="1727" fillId="7" borderId="3" xfId="0" applyNumberFormat="1" applyFont="1" applyFill="1" applyBorder="1" applyAlignment="1">
      <alignment horizontal="left" vertical="top" wrapText="1"/>
    </xf>
    <xf numFmtId="3" fontId="1912" fillId="7" borderId="3" xfId="0" applyNumberFormat="1" applyFont="1" applyFill="1" applyBorder="1" applyAlignment="1">
      <alignment horizontal="left" vertical="top" wrapText="1"/>
    </xf>
    <xf numFmtId="3" fontId="1728" fillId="7" borderId="3" xfId="0" applyNumberFormat="1" applyFont="1" applyFill="1" applyBorder="1" applyAlignment="1">
      <alignment horizontal="left" vertical="top" wrapText="1"/>
    </xf>
    <xf numFmtId="3" fontId="1913" fillId="7" borderId="3" xfId="0" applyNumberFormat="1" applyFont="1" applyFill="1" applyBorder="1" applyAlignment="1">
      <alignment horizontal="left" vertical="top" wrapText="1"/>
    </xf>
    <xf numFmtId="3" fontId="1732" fillId="7" borderId="3" xfId="0" applyNumberFormat="1" applyFont="1" applyFill="1" applyBorder="1" applyAlignment="1">
      <alignment horizontal="left" vertical="top" wrapText="1"/>
    </xf>
    <xf numFmtId="3" fontId="1917" fillId="7" borderId="3" xfId="0" applyNumberFormat="1" applyFont="1" applyFill="1" applyBorder="1" applyAlignment="1">
      <alignment horizontal="left" vertical="top" wrapText="1"/>
    </xf>
    <xf numFmtId="3" fontId="1738" fillId="7" borderId="3" xfId="0" applyNumberFormat="1" applyFont="1" applyFill="1" applyBorder="1" applyAlignment="1">
      <alignment horizontal="left" vertical="top" wrapText="1"/>
    </xf>
    <xf numFmtId="3" fontId="1923" fillId="7" borderId="3" xfId="0" applyNumberFormat="1" applyFont="1" applyFill="1" applyBorder="1" applyAlignment="1">
      <alignment horizontal="left" vertical="top" wrapText="1"/>
    </xf>
    <xf numFmtId="3" fontId="1748" fillId="7" borderId="3" xfId="0" applyNumberFormat="1" applyFont="1" applyFill="1" applyBorder="1" applyAlignment="1">
      <alignment horizontal="left" vertical="top" wrapText="1"/>
    </xf>
    <xf numFmtId="3" fontId="1933" fillId="7" borderId="3" xfId="0" applyNumberFormat="1" applyFont="1" applyFill="1" applyBorder="1" applyAlignment="1">
      <alignment horizontal="left" vertical="top" wrapText="1"/>
    </xf>
    <xf numFmtId="3" fontId="1746" fillId="7" borderId="3" xfId="0" applyNumberFormat="1" applyFont="1" applyFill="1" applyBorder="1" applyAlignment="1">
      <alignment horizontal="left" vertical="top" wrapText="1"/>
    </xf>
    <xf numFmtId="3" fontId="1931" fillId="7" borderId="3" xfId="0" applyNumberFormat="1" applyFont="1" applyFill="1" applyBorder="1" applyAlignment="1">
      <alignment horizontal="left" vertical="top" wrapText="1"/>
    </xf>
    <xf numFmtId="3" fontId="1776" fillId="5" borderId="3" xfId="0" applyNumberFormat="1" applyFont="1" applyFill="1" applyBorder="1" applyAlignment="1">
      <alignment horizontal="left" vertical="top" wrapText="1"/>
    </xf>
    <xf numFmtId="3" fontId="1962" fillId="5" borderId="3" xfId="0" applyNumberFormat="1" applyFont="1" applyFill="1" applyBorder="1" applyAlignment="1">
      <alignment horizontal="left" vertical="top" wrapText="1"/>
    </xf>
    <xf numFmtId="3" fontId="1751" fillId="7" borderId="3" xfId="0" applyNumberFormat="1" applyFont="1" applyFill="1" applyBorder="1" applyAlignment="1">
      <alignment horizontal="left" vertical="top" wrapText="1"/>
    </xf>
    <xf numFmtId="3" fontId="1936" fillId="7" borderId="3" xfId="0" applyNumberFormat="1" applyFont="1" applyFill="1" applyBorder="1" applyAlignment="1">
      <alignment horizontal="left" vertical="top" wrapText="1"/>
    </xf>
    <xf numFmtId="3" fontId="1752" fillId="7" borderId="3" xfId="0" applyNumberFormat="1" applyFont="1" applyFill="1" applyBorder="1" applyAlignment="1">
      <alignment horizontal="left" vertical="top" wrapText="1"/>
    </xf>
    <xf numFmtId="3" fontId="1937" fillId="7" borderId="3" xfId="0" applyNumberFormat="1" applyFont="1" applyFill="1" applyBorder="1" applyAlignment="1">
      <alignment horizontal="left" vertical="top" wrapText="1"/>
    </xf>
    <xf numFmtId="3" fontId="1753" fillId="7" borderId="3" xfId="0" applyNumberFormat="1" applyFont="1" applyFill="1" applyBorder="1" applyAlignment="1">
      <alignment horizontal="left" vertical="top" wrapText="1"/>
    </xf>
    <xf numFmtId="3" fontId="1938" fillId="7" borderId="3" xfId="0" applyNumberFormat="1" applyFont="1" applyFill="1" applyBorder="1" applyAlignment="1">
      <alignment horizontal="left" vertical="top" wrapText="1"/>
    </xf>
    <xf numFmtId="3" fontId="1754" fillId="7" borderId="3" xfId="0" applyNumberFormat="1" applyFont="1" applyFill="1" applyBorder="1" applyAlignment="1">
      <alignment horizontal="left" vertical="top" wrapText="1"/>
    </xf>
    <xf numFmtId="3" fontId="1939" fillId="7" borderId="3" xfId="0" applyNumberFormat="1" applyFont="1" applyFill="1" applyBorder="1" applyAlignment="1">
      <alignment horizontal="left" vertical="top" wrapText="1"/>
    </xf>
    <xf numFmtId="3" fontId="1755" fillId="5" borderId="3" xfId="0" applyNumberFormat="1" applyFont="1" applyFill="1" applyBorder="1" applyAlignment="1">
      <alignment horizontal="left" vertical="top" wrapText="1"/>
    </xf>
    <xf numFmtId="3" fontId="1940" fillId="5" borderId="3" xfId="0" applyNumberFormat="1" applyFont="1" applyFill="1" applyBorder="1" applyAlignment="1">
      <alignment horizontal="left" vertical="top" wrapText="1"/>
    </xf>
    <xf numFmtId="3" fontId="1758" fillId="5" borderId="3" xfId="0" applyNumberFormat="1" applyFont="1" applyFill="1" applyBorder="1" applyAlignment="1">
      <alignment horizontal="left" vertical="top" wrapText="1"/>
    </xf>
    <xf numFmtId="3" fontId="1943" fillId="5" borderId="3" xfId="0" applyNumberFormat="1" applyFont="1" applyFill="1" applyBorder="1" applyAlignment="1">
      <alignment horizontal="left" vertical="top" wrapText="1"/>
    </xf>
    <xf numFmtId="3" fontId="1759" fillId="5" borderId="3" xfId="0" applyNumberFormat="1" applyFont="1" applyFill="1" applyBorder="1" applyAlignment="1">
      <alignment horizontal="left" vertical="top" wrapText="1"/>
    </xf>
    <xf numFmtId="3" fontId="1944" fillId="5" borderId="3" xfId="0" applyNumberFormat="1" applyFont="1" applyFill="1" applyBorder="1" applyAlignment="1">
      <alignment horizontal="left" vertical="top" wrapText="1"/>
    </xf>
    <xf numFmtId="3" fontId="1762" fillId="5" borderId="3" xfId="0" applyNumberFormat="1" applyFont="1" applyFill="1" applyBorder="1" applyAlignment="1">
      <alignment horizontal="left" vertical="top" wrapText="1"/>
    </xf>
    <xf numFmtId="3" fontId="1948" fillId="5" borderId="3" xfId="0" applyNumberFormat="1" applyFont="1" applyFill="1" applyBorder="1" applyAlignment="1">
      <alignment horizontal="left" vertical="top" wrapText="1"/>
    </xf>
    <xf numFmtId="3" fontId="1763" fillId="5" borderId="3" xfId="0" applyNumberFormat="1" applyFont="1" applyFill="1" applyBorder="1" applyAlignment="1">
      <alignment horizontal="left" vertical="top" wrapText="1"/>
    </xf>
    <xf numFmtId="3" fontId="1949" fillId="5" borderId="3" xfId="0" applyNumberFormat="1" applyFont="1" applyFill="1" applyBorder="1" applyAlignment="1">
      <alignment horizontal="left" vertical="top" wrapText="1"/>
    </xf>
    <xf numFmtId="3" fontId="1764" fillId="5" borderId="3" xfId="0" applyNumberFormat="1" applyFont="1" applyFill="1" applyBorder="1" applyAlignment="1">
      <alignment horizontal="left" vertical="top" wrapText="1"/>
    </xf>
    <xf numFmtId="3" fontId="1950" fillId="5" borderId="3" xfId="0" applyNumberFormat="1" applyFont="1" applyFill="1" applyBorder="1" applyAlignment="1">
      <alignment horizontal="left" vertical="top" wrapText="1"/>
    </xf>
    <xf numFmtId="3" fontId="1765" fillId="5" borderId="3" xfId="0" applyNumberFormat="1" applyFont="1" applyFill="1" applyBorder="1" applyAlignment="1">
      <alignment horizontal="left" vertical="top" wrapText="1"/>
    </xf>
    <xf numFmtId="3" fontId="1951" fillId="5" borderId="3" xfId="0" applyNumberFormat="1" applyFont="1" applyFill="1" applyBorder="1" applyAlignment="1">
      <alignment horizontal="left" vertical="top" wrapText="1"/>
    </xf>
    <xf numFmtId="3" fontId="1766" fillId="5" borderId="3" xfId="0" applyNumberFormat="1" applyFont="1" applyFill="1" applyBorder="1" applyAlignment="1">
      <alignment horizontal="left" vertical="top" wrapText="1"/>
    </xf>
    <xf numFmtId="3" fontId="1952" fillId="5" borderId="3" xfId="0" applyNumberFormat="1" applyFont="1" applyFill="1" applyBorder="1" applyAlignment="1">
      <alignment horizontal="left" vertical="top" wrapText="1"/>
    </xf>
    <xf numFmtId="3" fontId="1767" fillId="5" borderId="3" xfId="0" applyNumberFormat="1" applyFont="1" applyFill="1" applyBorder="1" applyAlignment="1">
      <alignment horizontal="left" vertical="top" wrapText="1"/>
    </xf>
    <xf numFmtId="3" fontId="1953" fillId="5" borderId="3" xfId="0" applyNumberFormat="1" applyFont="1" applyFill="1" applyBorder="1" applyAlignment="1">
      <alignment horizontal="left" vertical="top" wrapText="1"/>
    </xf>
    <xf numFmtId="3" fontId="1770" fillId="5" borderId="3" xfId="0" applyNumberFormat="1" applyFont="1" applyFill="1" applyBorder="1" applyAlignment="1">
      <alignment horizontal="left" vertical="top" wrapText="1"/>
    </xf>
    <xf numFmtId="3" fontId="1956" fillId="5" borderId="3" xfId="0" applyNumberFormat="1" applyFont="1" applyFill="1" applyBorder="1" applyAlignment="1">
      <alignment horizontal="left" vertical="top" wrapText="1"/>
    </xf>
    <xf numFmtId="3" fontId="1749" fillId="5" borderId="3" xfId="0" applyNumberFormat="1" applyFont="1" applyFill="1" applyBorder="1" applyAlignment="1">
      <alignment horizontal="left" vertical="top" wrapText="1"/>
    </xf>
    <xf numFmtId="3" fontId="1934" fillId="5" borderId="3" xfId="0" applyNumberFormat="1" applyFont="1" applyFill="1" applyBorder="1" applyAlignment="1">
      <alignment horizontal="left" vertical="top" wrapText="1"/>
    </xf>
    <xf numFmtId="3" fontId="1903" fillId="5" borderId="3" xfId="0" applyNumberFormat="1" applyFont="1" applyFill="1" applyBorder="1" applyAlignment="1">
      <alignment horizontal="left" vertical="top" wrapText="1"/>
    </xf>
    <xf numFmtId="3" fontId="1841" fillId="5" borderId="3" xfId="0" applyNumberFormat="1" applyFont="1" applyFill="1" applyBorder="1" applyAlignment="1">
      <alignment horizontal="left" vertical="top" wrapText="1"/>
    </xf>
    <xf numFmtId="3" fontId="1773" fillId="5" borderId="3" xfId="0" applyNumberFormat="1" applyFont="1" applyFill="1" applyBorder="1" applyAlignment="1">
      <alignment horizontal="left" vertical="top" wrapText="1"/>
    </xf>
    <xf numFmtId="3" fontId="1959" fillId="5" borderId="3" xfId="0" applyNumberFormat="1" applyFont="1" applyFill="1" applyBorder="1" applyAlignment="1">
      <alignment horizontal="left" vertical="top" wrapText="1"/>
    </xf>
    <xf numFmtId="3" fontId="1750" fillId="7" borderId="3" xfId="0" applyNumberFormat="1" applyFont="1" applyFill="1" applyBorder="1" applyAlignment="1">
      <alignment horizontal="left" vertical="top" wrapText="1"/>
    </xf>
    <xf numFmtId="3" fontId="1935" fillId="7" borderId="3" xfId="0" applyNumberFormat="1" applyFont="1" applyFill="1" applyBorder="1" applyAlignment="1">
      <alignment horizontal="left" vertical="top" wrapText="1"/>
    </xf>
    <xf numFmtId="3" fontId="1774" fillId="7" borderId="3" xfId="0" applyNumberFormat="1" applyFont="1" applyFill="1" applyBorder="1" applyAlignment="1">
      <alignment horizontal="left" vertical="top" wrapText="1"/>
    </xf>
    <xf numFmtId="3" fontId="1960" fillId="7" borderId="3" xfId="0" applyNumberFormat="1" applyFont="1" applyFill="1" applyBorder="1" applyAlignment="1">
      <alignment horizontal="left" vertical="top" wrapText="1"/>
    </xf>
    <xf numFmtId="3" fontId="1775" fillId="7" borderId="3" xfId="0" applyNumberFormat="1" applyFont="1" applyFill="1" applyBorder="1" applyAlignment="1">
      <alignment horizontal="left" vertical="top" wrapText="1"/>
    </xf>
    <xf numFmtId="3" fontId="1961" fillId="7" borderId="3" xfId="0" applyNumberFormat="1" applyFont="1" applyFill="1" applyBorder="1" applyAlignment="1">
      <alignment horizontal="left" vertical="top" wrapText="1"/>
    </xf>
    <xf numFmtId="3" fontId="1906" fillId="5" borderId="3" xfId="0" applyNumberFormat="1" applyFont="1" applyFill="1" applyBorder="1" applyAlignment="1">
      <alignment horizontal="left" vertical="top" wrapText="1"/>
    </xf>
    <xf numFmtId="3" fontId="1843" fillId="5" borderId="3" xfId="0" applyNumberFormat="1" applyFont="1" applyFill="1" applyBorder="1" applyAlignment="1">
      <alignment horizontal="left" vertical="top" wrapText="1"/>
    </xf>
    <xf numFmtId="3" fontId="1710" fillId="5" borderId="3" xfId="0" applyNumberFormat="1" applyFont="1" applyFill="1" applyBorder="1" applyAlignment="1">
      <alignment horizontal="left" vertical="top" wrapText="1"/>
    </xf>
    <xf numFmtId="3" fontId="1848" fillId="5" borderId="3" xfId="0" applyNumberFormat="1" applyFont="1" applyFill="1" applyBorder="1" applyAlignment="1">
      <alignment horizontal="left" vertical="top" wrapText="1"/>
    </xf>
    <xf numFmtId="3" fontId="1713" fillId="7" borderId="3" xfId="0" applyNumberFormat="1" applyFont="1" applyFill="1" applyBorder="1" applyAlignment="1">
      <alignment horizontal="left" vertical="top" wrapText="1"/>
    </xf>
    <xf numFmtId="3" fontId="1850" fillId="7" borderId="3" xfId="0" applyNumberFormat="1" applyFont="1" applyFill="1" applyBorder="1" applyAlignment="1">
      <alignment horizontal="left" vertical="top" wrapText="1"/>
    </xf>
    <xf numFmtId="3" fontId="1714" fillId="7" borderId="3" xfId="0" applyNumberFormat="1" applyFont="1" applyFill="1" applyBorder="1" applyAlignment="1">
      <alignment horizontal="left" vertical="top" wrapText="1"/>
    </xf>
    <xf numFmtId="3" fontId="1851" fillId="7" borderId="3" xfId="0" applyNumberFormat="1" applyFont="1" applyFill="1" applyBorder="1" applyAlignment="1">
      <alignment horizontal="left" vertical="top" wrapText="1"/>
    </xf>
    <xf numFmtId="3" fontId="1715" fillId="7" borderId="3" xfId="0" applyNumberFormat="1" applyFont="1" applyFill="1" applyBorder="1" applyAlignment="1">
      <alignment horizontal="left" vertical="top" wrapText="1"/>
    </xf>
    <xf numFmtId="3" fontId="1852" fillId="7" borderId="3" xfId="0" applyNumberFormat="1" applyFont="1" applyFill="1" applyBorder="1" applyAlignment="1">
      <alignment horizontal="left" vertical="top" wrapText="1"/>
    </xf>
    <xf numFmtId="3" fontId="1716" fillId="7" borderId="3" xfId="0" applyNumberFormat="1" applyFont="1" applyFill="1" applyBorder="1" applyAlignment="1">
      <alignment horizontal="left" vertical="top" wrapText="1"/>
    </xf>
    <xf numFmtId="3" fontId="1853" fillId="7" borderId="3" xfId="0" applyNumberFormat="1" applyFont="1" applyFill="1" applyBorder="1" applyAlignment="1">
      <alignment horizontal="left" vertical="top" wrapText="1"/>
    </xf>
    <xf numFmtId="3" fontId="1717" fillId="5" borderId="3" xfId="0" applyNumberFormat="1" applyFont="1" applyFill="1" applyBorder="1" applyAlignment="1">
      <alignment horizontal="left" vertical="top" wrapText="1"/>
    </xf>
    <xf numFmtId="3" fontId="1854" fillId="5" borderId="3" xfId="0" applyNumberFormat="1" applyFont="1" applyFill="1" applyBorder="1" applyAlignment="1">
      <alignment horizontal="left" vertical="top" wrapText="1"/>
    </xf>
    <xf numFmtId="3" fontId="1719" fillId="5" borderId="3" xfId="0" applyNumberFormat="1" applyFont="1" applyFill="1" applyBorder="1" applyAlignment="1">
      <alignment horizontal="left" vertical="top" wrapText="1"/>
    </xf>
    <xf numFmtId="3" fontId="1856" fillId="5" borderId="3" xfId="0" applyNumberFormat="1" applyFont="1" applyFill="1" applyBorder="1" applyAlignment="1">
      <alignment horizontal="left" vertical="top" wrapText="1"/>
    </xf>
    <xf numFmtId="3" fontId="1722" fillId="5" borderId="3" xfId="0" applyNumberFormat="1" applyFont="1" applyFill="1" applyBorder="1" applyAlignment="1">
      <alignment horizontal="left" vertical="top" wrapText="1"/>
    </xf>
    <xf numFmtId="3" fontId="2031" fillId="5" borderId="3" xfId="0" applyNumberFormat="1" applyFont="1" applyFill="1" applyBorder="1" applyAlignment="1">
      <alignment horizontal="left" vertical="top" wrapText="1"/>
    </xf>
    <xf numFmtId="3" fontId="1723" fillId="7" borderId="3" xfId="0" applyNumberFormat="1" applyFont="1" applyFill="1" applyBorder="1" applyAlignment="1">
      <alignment horizontal="left" vertical="top" wrapText="1"/>
    </xf>
    <xf numFmtId="3" fontId="2033" fillId="7" borderId="3" xfId="0" applyNumberFormat="1" applyFont="1" applyFill="1" applyBorder="1" applyAlignment="1">
      <alignment horizontal="left" vertical="top" wrapText="1"/>
    </xf>
    <xf numFmtId="3" fontId="1725" fillId="5" borderId="3" xfId="0" applyNumberFormat="1" applyFont="1" applyFill="1" applyBorder="1" applyAlignment="1">
      <alignment horizontal="left" vertical="top" wrapText="1"/>
    </xf>
    <xf numFmtId="3" fontId="1910" fillId="5" borderId="3" xfId="0" applyNumberFormat="1" applyFont="1" applyFill="1" applyBorder="1" applyAlignment="1">
      <alignment horizontal="left" vertical="top" wrapText="1"/>
    </xf>
    <xf numFmtId="3" fontId="1726" fillId="5" borderId="3" xfId="0" applyNumberFormat="1" applyFont="1" applyFill="1" applyBorder="1" applyAlignment="1">
      <alignment horizontal="left" vertical="top" wrapText="1"/>
    </xf>
    <xf numFmtId="3" fontId="1911" fillId="5" borderId="3" xfId="0" applyNumberFormat="1" applyFont="1" applyFill="1" applyBorder="1" applyAlignment="1">
      <alignment horizontal="left" vertical="top" wrapText="1"/>
    </xf>
    <xf numFmtId="3" fontId="1729" fillId="5" borderId="3" xfId="0" applyNumberFormat="1" applyFont="1" applyFill="1" applyBorder="1" applyAlignment="1">
      <alignment horizontal="left" vertical="top" wrapText="1"/>
    </xf>
    <xf numFmtId="3" fontId="1914" fillId="5" borderId="3" xfId="0" applyNumberFormat="1" applyFont="1" applyFill="1" applyBorder="1" applyAlignment="1">
      <alignment horizontal="left" vertical="top" wrapText="1"/>
    </xf>
    <xf numFmtId="3" fontId="1730" fillId="5" borderId="3" xfId="0" applyNumberFormat="1" applyFont="1" applyFill="1" applyBorder="1" applyAlignment="1">
      <alignment horizontal="left" vertical="top" wrapText="1"/>
    </xf>
    <xf numFmtId="3" fontId="1915" fillId="5" borderId="3" xfId="0" applyNumberFormat="1" applyFont="1" applyFill="1" applyBorder="1" applyAlignment="1">
      <alignment horizontal="left" vertical="top" wrapText="1"/>
    </xf>
    <xf numFmtId="3" fontId="1731" fillId="5" borderId="3" xfId="0" applyNumberFormat="1" applyFont="1" applyFill="1" applyBorder="1" applyAlignment="1">
      <alignment horizontal="left" vertical="top" wrapText="1"/>
    </xf>
    <xf numFmtId="3" fontId="1916" fillId="5" borderId="3" xfId="0" applyNumberFormat="1" applyFont="1" applyFill="1" applyBorder="1" applyAlignment="1">
      <alignment horizontal="left" vertical="top" wrapText="1"/>
    </xf>
    <xf numFmtId="3" fontId="1733" fillId="5" borderId="3" xfId="0" applyNumberFormat="1" applyFont="1" applyFill="1" applyBorder="1" applyAlignment="1">
      <alignment horizontal="left" vertical="top" wrapText="1"/>
    </xf>
    <xf numFmtId="3" fontId="1918" fillId="5" borderId="3" xfId="0" applyNumberFormat="1" applyFont="1" applyFill="1" applyBorder="1" applyAlignment="1">
      <alignment horizontal="left" vertical="top" wrapText="1"/>
    </xf>
    <xf numFmtId="3" fontId="1734" fillId="7" borderId="3" xfId="0" applyNumberFormat="1" applyFont="1" applyFill="1" applyBorder="1" applyAlignment="1">
      <alignment horizontal="left" vertical="top" wrapText="1"/>
    </xf>
    <xf numFmtId="3" fontId="1919" fillId="7" borderId="3" xfId="0" applyNumberFormat="1" applyFont="1" applyFill="1" applyBorder="1" applyAlignment="1">
      <alignment horizontal="left" vertical="top" wrapText="1"/>
    </xf>
    <xf numFmtId="3" fontId="1735" fillId="7" borderId="3" xfId="0" applyNumberFormat="1" applyFont="1" applyFill="1" applyBorder="1" applyAlignment="1">
      <alignment horizontal="left" vertical="top" wrapText="1"/>
    </xf>
    <xf numFmtId="3" fontId="1920" fillId="7" borderId="3" xfId="0" applyNumberFormat="1" applyFont="1" applyFill="1" applyBorder="1" applyAlignment="1">
      <alignment horizontal="left" vertical="top" wrapText="1"/>
    </xf>
    <xf numFmtId="3" fontId="1736" fillId="5" borderId="3" xfId="0" applyNumberFormat="1" applyFont="1" applyFill="1" applyBorder="1" applyAlignment="1">
      <alignment horizontal="left" vertical="top" wrapText="1"/>
    </xf>
    <xf numFmtId="3" fontId="1921" fillId="5" borderId="3" xfId="0" applyNumberFormat="1" applyFont="1" applyFill="1" applyBorder="1" applyAlignment="1">
      <alignment horizontal="left" vertical="top" wrapText="1"/>
    </xf>
    <xf numFmtId="3" fontId="1737" fillId="5" borderId="3" xfId="0" applyNumberFormat="1" applyFont="1" applyFill="1" applyBorder="1" applyAlignment="1">
      <alignment horizontal="left" vertical="top" wrapText="1"/>
    </xf>
    <xf numFmtId="3" fontId="1922" fillId="5" borderId="3" xfId="0" applyNumberFormat="1" applyFont="1" applyFill="1" applyBorder="1" applyAlignment="1">
      <alignment horizontal="left" vertical="top" wrapText="1"/>
    </xf>
    <xf numFmtId="3" fontId="1739" fillId="5" borderId="3" xfId="0" applyNumberFormat="1" applyFont="1" applyFill="1" applyBorder="1" applyAlignment="1">
      <alignment horizontal="left" vertical="top" wrapText="1"/>
    </xf>
    <xf numFmtId="3" fontId="1924" fillId="5" borderId="3" xfId="0" applyNumberFormat="1" applyFont="1" applyFill="1" applyBorder="1" applyAlignment="1">
      <alignment horizontal="left" vertical="top" wrapText="1"/>
    </xf>
    <xf numFmtId="3" fontId="1740" fillId="5" borderId="3" xfId="0" applyNumberFormat="1" applyFont="1" applyFill="1" applyBorder="1" applyAlignment="1">
      <alignment horizontal="left" vertical="top" wrapText="1"/>
    </xf>
    <xf numFmtId="3" fontId="1925" fillId="5" borderId="3" xfId="0" applyNumberFormat="1" applyFont="1" applyFill="1" applyBorder="1" applyAlignment="1">
      <alignment horizontal="left" vertical="top" wrapText="1"/>
    </xf>
    <xf numFmtId="3" fontId="1741" fillId="7" borderId="3" xfId="0" applyNumberFormat="1" applyFont="1" applyFill="1" applyBorder="1" applyAlignment="1">
      <alignment horizontal="left" vertical="top" wrapText="1"/>
    </xf>
    <xf numFmtId="3" fontId="1926" fillId="7" borderId="3" xfId="0" applyNumberFormat="1" applyFont="1" applyFill="1" applyBorder="1" applyAlignment="1">
      <alignment horizontal="left" vertical="top" wrapText="1"/>
    </xf>
    <xf numFmtId="3" fontId="1742" fillId="7" borderId="3" xfId="0" applyNumberFormat="1" applyFont="1" applyFill="1" applyBorder="1" applyAlignment="1">
      <alignment horizontal="left" vertical="top" wrapText="1"/>
    </xf>
    <xf numFmtId="3" fontId="1927" fillId="7" borderId="3" xfId="0" applyNumberFormat="1" applyFont="1" applyFill="1" applyBorder="1" applyAlignment="1">
      <alignment horizontal="left" vertical="top" wrapText="1"/>
    </xf>
    <xf numFmtId="3" fontId="1743" fillId="7" borderId="3" xfId="0" applyNumberFormat="1" applyFont="1" applyFill="1" applyBorder="1" applyAlignment="1">
      <alignment horizontal="left" vertical="top" wrapText="1"/>
    </xf>
    <xf numFmtId="3" fontId="1928" fillId="7" borderId="3" xfId="0" applyNumberFormat="1" applyFont="1" applyFill="1" applyBorder="1" applyAlignment="1">
      <alignment horizontal="left" vertical="top" wrapText="1"/>
    </xf>
    <xf numFmtId="3" fontId="1744" fillId="7" borderId="3" xfId="0" applyNumberFormat="1" applyFont="1" applyFill="1" applyBorder="1" applyAlignment="1">
      <alignment horizontal="left" vertical="top" wrapText="1"/>
    </xf>
    <xf numFmtId="3" fontId="1929" fillId="7" borderId="3" xfId="0" applyNumberFormat="1" applyFont="1" applyFill="1" applyBorder="1" applyAlignment="1">
      <alignment horizontal="left" vertical="top" wrapText="1"/>
    </xf>
    <xf numFmtId="3" fontId="1745" fillId="5" borderId="3" xfId="0" applyNumberFormat="1" applyFont="1" applyFill="1" applyBorder="1" applyAlignment="1">
      <alignment horizontal="left" vertical="top" wrapText="1"/>
    </xf>
    <xf numFmtId="3" fontId="1930" fillId="5" borderId="3" xfId="0" applyNumberFormat="1" applyFont="1" applyFill="1" applyBorder="1" applyAlignment="1">
      <alignment horizontal="left" vertical="top" wrapText="1"/>
    </xf>
    <xf numFmtId="3" fontId="1747" fillId="5" borderId="3" xfId="0" applyNumberFormat="1" applyFont="1" applyFill="1" applyBorder="1" applyAlignment="1">
      <alignment horizontal="left" vertical="top" wrapText="1"/>
    </xf>
    <xf numFmtId="3" fontId="1932" fillId="5" borderId="3" xfId="0" applyNumberFormat="1" applyFont="1" applyFill="1" applyBorder="1" applyAlignment="1">
      <alignment horizontal="left" vertical="top" wrapText="1"/>
    </xf>
    <xf numFmtId="3" fontId="1777" fillId="5" borderId="3" xfId="0" applyNumberFormat="1" applyFont="1" applyFill="1" applyBorder="1" applyAlignment="1">
      <alignment horizontal="left" vertical="top" wrapText="1"/>
    </xf>
    <xf numFmtId="3" fontId="1963" fillId="5" borderId="3" xfId="0" applyNumberFormat="1" applyFont="1" applyFill="1" applyBorder="1" applyAlignment="1">
      <alignment horizontal="left" vertical="top" wrapText="1"/>
    </xf>
    <xf numFmtId="3" fontId="1778" fillId="5" borderId="3" xfId="0" applyNumberFormat="1" applyFont="1" applyFill="1" applyBorder="1" applyAlignment="1">
      <alignment horizontal="left" vertical="top" wrapText="1"/>
    </xf>
    <xf numFmtId="3" fontId="1964" fillId="5" borderId="3" xfId="0" applyNumberFormat="1" applyFont="1" applyFill="1" applyBorder="1" applyAlignment="1">
      <alignment horizontal="left" vertical="top" wrapText="1"/>
    </xf>
    <xf numFmtId="3" fontId="2066" fillId="7" borderId="3" xfId="0" applyNumberFormat="1" applyFont="1" applyFill="1" applyBorder="1" applyAlignment="1">
      <alignment horizontal="left" vertical="top" wrapText="1"/>
    </xf>
    <xf numFmtId="3" fontId="2096" fillId="7" borderId="3" xfId="0" applyNumberFormat="1" applyFont="1" applyFill="1" applyBorder="1" applyAlignment="1">
      <alignment horizontal="left" vertical="top" wrapText="1"/>
    </xf>
    <xf numFmtId="3" fontId="2078" fillId="7" borderId="3" xfId="0" applyNumberFormat="1" applyFont="1" applyFill="1" applyBorder="1" applyAlignment="1">
      <alignment horizontal="left" vertical="top" wrapText="1"/>
    </xf>
    <xf numFmtId="3" fontId="2088" fillId="7" borderId="3" xfId="0" applyNumberFormat="1" applyFont="1" applyFill="1" applyBorder="1" applyAlignment="1">
      <alignment horizontal="left" vertical="top" wrapText="1"/>
    </xf>
    <xf numFmtId="3" fontId="2089" fillId="7" borderId="3" xfId="0" applyNumberFormat="1" applyFont="1" applyFill="1" applyBorder="1" applyAlignment="1">
      <alignment horizontal="left" vertical="top" wrapText="1"/>
    </xf>
    <xf numFmtId="3" fontId="2219" fillId="7" borderId="3" xfId="0" applyNumberFormat="1" applyFont="1" applyFill="1" applyBorder="1" applyAlignment="1">
      <alignment horizontal="left" vertical="top" wrapText="1"/>
    </xf>
    <xf numFmtId="3" fontId="2178" fillId="5" borderId="3" xfId="0" applyNumberFormat="1" applyFont="1" applyFill="1" applyBorder="1" applyAlignment="1">
      <alignment horizontal="left" vertical="top" wrapText="1"/>
    </xf>
    <xf numFmtId="3" fontId="2065" fillId="5" borderId="3" xfId="0" applyNumberFormat="1" applyFont="1" applyFill="1" applyBorder="1" applyAlignment="1">
      <alignment horizontal="left" vertical="top" wrapText="1"/>
    </xf>
    <xf numFmtId="3" fontId="2111" fillId="7" borderId="3" xfId="0" applyNumberFormat="1" applyFont="1" applyFill="1" applyBorder="1" applyAlignment="1">
      <alignment horizontal="left" vertical="top" wrapText="1"/>
    </xf>
    <xf numFmtId="3" fontId="2190" fillId="7" borderId="3" xfId="0" applyNumberFormat="1" applyFont="1" applyFill="1" applyBorder="1" applyAlignment="1">
      <alignment horizontal="left" vertical="top" wrapText="1"/>
    </xf>
    <xf numFmtId="3" fontId="2097" fillId="7" borderId="3" xfId="0" applyNumberFormat="1" applyFont="1" applyFill="1" applyBorder="1" applyAlignment="1">
      <alignment horizontal="left" vertical="top" wrapText="1"/>
    </xf>
    <xf numFmtId="3" fontId="2079" fillId="7" borderId="3" xfId="0" applyNumberFormat="1" applyFont="1" applyFill="1" applyBorder="1" applyAlignment="1">
      <alignment horizontal="left" vertical="top" wrapText="1"/>
    </xf>
    <xf numFmtId="3" fontId="2098" fillId="5" borderId="3" xfId="0" applyNumberFormat="1" applyFont="1" applyFill="1" applyBorder="1" applyAlignment="1">
      <alignment horizontal="left" vertical="top" wrapText="1"/>
    </xf>
    <xf numFmtId="3" fontId="2080" fillId="5" borderId="3" xfId="0" applyNumberFormat="1" applyFont="1" applyFill="1" applyBorder="1" applyAlignment="1">
      <alignment horizontal="left" vertical="top" wrapText="1"/>
    </xf>
    <xf numFmtId="3" fontId="2106" fillId="5" borderId="3" xfId="0" applyNumberFormat="1" applyFont="1" applyFill="1" applyBorder="1" applyAlignment="1">
      <alignment horizontal="left" vertical="top" wrapText="1"/>
    </xf>
    <xf numFmtId="3" fontId="2185" fillId="5" borderId="3" xfId="0" applyNumberFormat="1" applyFont="1" applyFill="1" applyBorder="1" applyAlignment="1">
      <alignment horizontal="left" vertical="top" wrapText="1"/>
    </xf>
    <xf numFmtId="3" fontId="2107" fillId="5" borderId="3" xfId="0" applyNumberFormat="1" applyFont="1" applyFill="1" applyBorder="1" applyAlignment="1">
      <alignment horizontal="left" vertical="top" wrapText="1"/>
    </xf>
    <xf numFmtId="3" fontId="2186" fillId="5" borderId="3" xfId="0" applyNumberFormat="1" applyFont="1" applyFill="1" applyBorder="1" applyAlignment="1">
      <alignment horizontal="left" vertical="top" wrapText="1"/>
    </xf>
    <xf numFmtId="3" fontId="2108" fillId="5" borderId="3" xfId="0" applyNumberFormat="1" applyFont="1" applyFill="1" applyBorder="1" applyAlignment="1">
      <alignment horizontal="left" vertical="top" wrapText="1"/>
    </xf>
    <xf numFmtId="3" fontId="2187" fillId="5" borderId="3" xfId="0" applyNumberFormat="1" applyFont="1" applyFill="1" applyBorder="1" applyAlignment="1">
      <alignment horizontal="left" vertical="top" wrapText="1"/>
    </xf>
    <xf numFmtId="3" fontId="2114" fillId="7" borderId="3" xfId="0" applyNumberFormat="1" applyFont="1" applyFill="1" applyBorder="1" applyAlignment="1">
      <alignment horizontal="left" vertical="top" wrapText="1"/>
    </xf>
    <xf numFmtId="3" fontId="2061" fillId="7" borderId="3" xfId="0" applyNumberFormat="1" applyFont="1" applyFill="1" applyBorder="1" applyAlignment="1">
      <alignment horizontal="left" vertical="top" wrapText="1"/>
    </xf>
    <xf numFmtId="3" fontId="2109" fillId="7" borderId="3" xfId="0" applyNumberFormat="1" applyFont="1" applyFill="1" applyBorder="1" applyAlignment="1">
      <alignment horizontal="left" vertical="top" wrapText="1"/>
    </xf>
    <xf numFmtId="3" fontId="2188" fillId="7" borderId="3" xfId="0" applyNumberFormat="1" applyFont="1" applyFill="1" applyBorder="1" applyAlignment="1">
      <alignment horizontal="left" vertical="top" wrapText="1"/>
    </xf>
    <xf numFmtId="3" fontId="2101" fillId="5" borderId="3" xfId="0" applyNumberFormat="1" applyFont="1" applyFill="1" applyBorder="1" applyAlignment="1">
      <alignment horizontal="left" vertical="top" wrapText="1"/>
    </xf>
    <xf numFmtId="3" fontId="2179" fillId="5" borderId="3" xfId="0" applyNumberFormat="1" applyFont="1" applyFill="1" applyBorder="1" applyAlignment="1">
      <alignment horizontal="left" vertical="top" wrapText="1"/>
    </xf>
    <xf numFmtId="3" fontId="2115" fillId="5" borderId="3" xfId="0" applyNumberFormat="1" applyFont="1" applyFill="1" applyBorder="1" applyAlignment="1">
      <alignment horizontal="left" vertical="top" wrapText="1"/>
    </xf>
    <xf numFmtId="3" fontId="2062" fillId="5" borderId="3" xfId="0" applyNumberFormat="1" applyFont="1" applyFill="1" applyBorder="1" applyAlignment="1">
      <alignment horizontal="left" vertical="top" wrapText="1"/>
    </xf>
    <xf numFmtId="3" fontId="2110" fillId="5" borderId="3" xfId="0" applyNumberFormat="1" applyFont="1" applyFill="1" applyBorder="1" applyAlignment="1">
      <alignment horizontal="left" vertical="top" wrapText="1"/>
    </xf>
    <xf numFmtId="3" fontId="2189" fillId="5" borderId="3" xfId="0" applyNumberFormat="1" applyFont="1" applyFill="1" applyBorder="1" applyAlignment="1">
      <alignment horizontal="left" vertical="top" wrapText="1"/>
    </xf>
    <xf numFmtId="3" fontId="2103" fillId="5" borderId="3" xfId="0" applyNumberFormat="1" applyFont="1" applyFill="1" applyBorder="1" applyAlignment="1">
      <alignment horizontal="left" vertical="top" wrapText="1"/>
    </xf>
    <xf numFmtId="3" fontId="2181" fillId="5" borderId="3" xfId="0" applyNumberFormat="1" applyFont="1" applyFill="1" applyBorder="1" applyAlignment="1">
      <alignment horizontal="left" vertical="top" wrapText="1"/>
    </xf>
    <xf numFmtId="3" fontId="2177" fillId="5" borderId="3" xfId="0" applyNumberFormat="1" applyFont="1" applyFill="1" applyBorder="1" applyAlignment="1">
      <alignment horizontal="left" vertical="top" wrapText="1"/>
    </xf>
    <xf numFmtId="3" fontId="2064" fillId="5" borderId="3" xfId="0" applyNumberFormat="1" applyFont="1" applyFill="1" applyBorder="1" applyAlignment="1">
      <alignment horizontal="left" vertical="top" wrapText="1"/>
    </xf>
    <xf numFmtId="3" fontId="2099" fillId="7" borderId="3" xfId="0" applyNumberFormat="1" applyFont="1" applyFill="1" applyBorder="1" applyAlignment="1">
      <alignment horizontal="left" vertical="top" wrapText="1"/>
    </xf>
    <xf numFmtId="3" fontId="2081" fillId="7" borderId="3" xfId="0" applyNumberFormat="1" applyFont="1" applyFill="1" applyBorder="1" applyAlignment="1">
      <alignment horizontal="left" vertical="top" wrapText="1"/>
    </xf>
    <xf numFmtId="3" fontId="2100" fillId="7" borderId="3" xfId="0" applyNumberFormat="1" applyFont="1" applyFill="1" applyBorder="1" applyAlignment="1">
      <alignment horizontal="left" vertical="top" wrapText="1"/>
    </xf>
    <xf numFmtId="3" fontId="2082" fillId="7" borderId="3" xfId="0" applyNumberFormat="1" applyFont="1" applyFill="1" applyBorder="1" applyAlignment="1">
      <alignment horizontal="left" vertical="top" wrapText="1"/>
    </xf>
    <xf numFmtId="3" fontId="2094" fillId="7" borderId="3" xfId="0" applyNumberFormat="1" applyFont="1" applyFill="1" applyBorder="1" applyAlignment="1">
      <alignment horizontal="left" vertical="top" wrapText="1"/>
    </xf>
    <xf numFmtId="3" fontId="2224" fillId="7" borderId="3" xfId="0" applyNumberFormat="1" applyFont="1" applyFill="1" applyBorder="1" applyAlignment="1">
      <alignment horizontal="left" vertical="top" wrapText="1"/>
    </xf>
    <xf numFmtId="3" fontId="2058" fillId="7" borderId="3" xfId="0" applyNumberFormat="1" applyFont="1" applyFill="1" applyBorder="1" applyAlignment="1">
      <alignment horizontal="left" vertical="top" wrapText="1"/>
    </xf>
    <xf numFmtId="3" fontId="2063" fillId="7" borderId="3" xfId="0" applyNumberFormat="1" applyFont="1" applyFill="1" applyBorder="1" applyAlignment="1">
      <alignment horizontal="left" vertical="top" wrapText="1"/>
    </xf>
    <xf numFmtId="3" fontId="2104" fillId="7" borderId="3" xfId="0" applyNumberFormat="1" applyFont="1" applyFill="1" applyBorder="1" applyAlignment="1">
      <alignment horizontal="left" vertical="top" wrapText="1"/>
    </xf>
    <xf numFmtId="3" fontId="2182" fillId="7" borderId="3" xfId="0" applyNumberFormat="1" applyFont="1" applyFill="1" applyBorder="1" applyAlignment="1">
      <alignment horizontal="left" vertical="top" wrapText="1"/>
    </xf>
    <xf numFmtId="3" fontId="2105" fillId="7" borderId="3" xfId="0" applyNumberFormat="1" applyFont="1" applyFill="1" applyBorder="1" applyAlignment="1">
      <alignment horizontal="left" vertical="top" wrapText="1"/>
    </xf>
    <xf numFmtId="3" fontId="2183" fillId="7" borderId="3" xfId="0" applyNumberFormat="1" applyFont="1" applyFill="1" applyBorder="1" applyAlignment="1">
      <alignment horizontal="left" vertical="top" wrapText="1"/>
    </xf>
    <xf numFmtId="3" fontId="2095" fillId="5" borderId="3" xfId="0" applyNumberFormat="1" applyFont="1" applyFill="1" applyBorder="1" applyAlignment="1">
      <alignment horizontal="left" vertical="top" wrapText="1"/>
    </xf>
    <xf numFmtId="3" fontId="2077" fillId="5" borderId="3" xfId="0" applyNumberFormat="1" applyFont="1" applyFill="1" applyBorder="1" applyAlignment="1">
      <alignment horizontal="left" vertical="top" wrapText="1"/>
    </xf>
    <xf numFmtId="3" fontId="2112" fillId="5" borderId="3" xfId="0" applyNumberFormat="1" applyFont="1" applyFill="1" applyBorder="1" applyAlignment="1">
      <alignment horizontal="left" vertical="top" wrapText="1"/>
    </xf>
    <xf numFmtId="3" fontId="2059" fillId="5" borderId="3" xfId="0" applyNumberFormat="1" applyFont="1" applyFill="1" applyBorder="1" applyAlignment="1">
      <alignment horizontal="left" vertical="top" wrapText="1"/>
    </xf>
    <xf numFmtId="3" fontId="2184" fillId="7" borderId="3" xfId="0" applyNumberFormat="1" applyFont="1" applyFill="1" applyBorder="1" applyAlignment="1">
      <alignment horizontal="left" vertical="top" wrapText="1"/>
    </xf>
    <xf numFmtId="3" fontId="2093" fillId="5" borderId="3" xfId="0" applyNumberFormat="1" applyFont="1" applyFill="1" applyBorder="1" applyAlignment="1">
      <alignment horizontal="left" vertical="top" wrapText="1"/>
    </xf>
    <xf numFmtId="3" fontId="2223" fillId="5" borderId="3" xfId="0" applyNumberFormat="1" applyFont="1" applyFill="1" applyBorder="1" applyAlignment="1">
      <alignment horizontal="left" vertical="top" wrapText="1"/>
    </xf>
    <xf numFmtId="3" fontId="2113" fillId="5" borderId="3" xfId="0" applyNumberFormat="1" applyFont="1" applyFill="1" applyBorder="1" applyAlignment="1">
      <alignment horizontal="left" vertical="top" wrapText="1"/>
    </xf>
    <xf numFmtId="3" fontId="2060" fillId="5" borderId="3" xfId="0" applyNumberFormat="1" applyFont="1" applyFill="1" applyBorder="1" applyAlignment="1">
      <alignment horizontal="left" vertical="top" wrapText="1"/>
    </xf>
    <xf numFmtId="3" fontId="2102" fillId="5" borderId="3" xfId="0" applyNumberFormat="1" applyFont="1" applyFill="1" applyBorder="1" applyAlignment="1">
      <alignment horizontal="left" vertical="top" wrapText="1"/>
    </xf>
    <xf numFmtId="3" fontId="2180" fillId="5" borderId="3" xfId="0" applyNumberFormat="1" applyFont="1" applyFill="1" applyBorder="1" applyAlignment="1">
      <alignment horizontal="left" vertical="top" wrapText="1"/>
    </xf>
    <xf numFmtId="3" fontId="2084" fillId="7" borderId="3" xfId="0" applyNumberFormat="1" applyFont="1" applyFill="1" applyBorder="1" applyAlignment="1">
      <alignment horizontal="left" vertical="top" wrapText="1"/>
    </xf>
    <xf numFmtId="3" fontId="2213" fillId="7" borderId="3" xfId="0" applyNumberFormat="1" applyFont="1" applyFill="1" applyBorder="1" applyAlignment="1">
      <alignment horizontal="left" vertical="top" wrapText="1"/>
    </xf>
    <xf numFmtId="3" fontId="2085" fillId="7" borderId="3" xfId="0" applyNumberFormat="1" applyFont="1" applyFill="1" applyBorder="1" applyAlignment="1">
      <alignment horizontal="left" vertical="top" wrapText="1"/>
    </xf>
    <xf numFmtId="3" fontId="2214" fillId="7" borderId="3" xfId="0" applyNumberFormat="1" applyFont="1" applyFill="1" applyBorder="1" applyAlignment="1">
      <alignment horizontal="left" vertical="top" wrapText="1"/>
    </xf>
    <xf numFmtId="3" fontId="2086" fillId="7" borderId="3" xfId="0" applyNumberFormat="1" applyFont="1" applyFill="1" applyBorder="1" applyAlignment="1">
      <alignment horizontal="left" vertical="top" wrapText="1"/>
    </xf>
    <xf numFmtId="3" fontId="2215" fillId="7" borderId="3" xfId="0" applyNumberFormat="1" applyFont="1" applyFill="1" applyBorder="1" applyAlignment="1">
      <alignment horizontal="left" vertical="top" wrapText="1"/>
    </xf>
    <xf numFmtId="3" fontId="2083" fillId="5" borderId="3" xfId="0" applyNumberFormat="1" applyFont="1" applyFill="1" applyBorder="1" applyAlignment="1">
      <alignment horizontal="left" vertical="top" wrapText="1"/>
    </xf>
    <xf numFmtId="3" fontId="2216" fillId="5" borderId="3" xfId="0" applyNumberFormat="1" applyFont="1" applyFill="1" applyBorder="1" applyAlignment="1">
      <alignment horizontal="left" vertical="top" wrapText="1"/>
    </xf>
    <xf numFmtId="3" fontId="2087" fillId="5" borderId="3" xfId="0" applyNumberFormat="1" applyFont="1" applyFill="1" applyBorder="1" applyAlignment="1">
      <alignment horizontal="left" vertical="top" wrapText="1"/>
    </xf>
    <xf numFmtId="3" fontId="2217" fillId="5" borderId="3" xfId="0" applyNumberFormat="1" applyFont="1" applyFill="1" applyBorder="1" applyAlignment="1">
      <alignment horizontal="left" vertical="top" wrapText="1"/>
    </xf>
    <xf numFmtId="3" fontId="2218" fillId="7" borderId="3" xfId="0" applyNumberFormat="1" applyFont="1" applyFill="1" applyBorder="1" applyAlignment="1">
      <alignment horizontal="left" vertical="top" wrapText="1"/>
    </xf>
    <xf numFmtId="3" fontId="2090" fillId="5" borderId="3" xfId="0" applyNumberFormat="1" applyFont="1" applyFill="1" applyBorder="1" applyAlignment="1">
      <alignment horizontal="left" vertical="top" wrapText="1"/>
    </xf>
    <xf numFmtId="3" fontId="2220" fillId="5" borderId="3" xfId="0" applyNumberFormat="1" applyFont="1" applyFill="1" applyBorder="1" applyAlignment="1">
      <alignment horizontal="left" vertical="top" wrapText="1"/>
    </xf>
    <xf numFmtId="3" fontId="2091" fillId="5" borderId="3" xfId="0" applyNumberFormat="1" applyFont="1" applyFill="1" applyBorder="1" applyAlignment="1">
      <alignment horizontal="left" vertical="top" wrapText="1"/>
    </xf>
    <xf numFmtId="3" fontId="2221" fillId="5" borderId="3" xfId="0" applyNumberFormat="1" applyFont="1" applyFill="1" applyBorder="1" applyAlignment="1">
      <alignment horizontal="left" vertical="top" wrapText="1"/>
    </xf>
    <xf numFmtId="3" fontId="2092" fillId="5" borderId="3" xfId="0" applyNumberFormat="1" applyFont="1" applyFill="1" applyBorder="1" applyAlignment="1">
      <alignment horizontal="left" vertical="top" wrapText="1"/>
    </xf>
    <xf numFmtId="3" fontId="2222" fillId="5" borderId="3" xfId="0" applyNumberFormat="1" applyFont="1" applyFill="1" applyBorder="1" applyAlignment="1">
      <alignment horizontal="left" vertical="top" wrapText="1"/>
    </xf>
    <xf numFmtId="0" fontId="2507" fillId="6" borderId="0" xfId="0" applyFont="1" applyFill="1" applyAlignment="1">
      <alignment horizontal="center"/>
    </xf>
    <xf numFmtId="3" fontId="2387" fillId="7" borderId="3" xfId="0" applyNumberFormat="1" applyFont="1" applyFill="1" applyBorder="1" applyAlignment="1">
      <alignment horizontal="left" vertical="top" wrapText="1"/>
    </xf>
    <xf numFmtId="3" fontId="2392" fillId="7" borderId="3" xfId="0" applyNumberFormat="1" applyFont="1" applyFill="1" applyBorder="1" applyAlignment="1">
      <alignment horizontal="left" vertical="top" wrapText="1"/>
    </xf>
    <xf numFmtId="3" fontId="2425" fillId="7" borderId="3" xfId="0" applyNumberFormat="1" applyFont="1" applyFill="1" applyBorder="1" applyAlignment="1">
      <alignment horizontal="left" vertical="top" wrapText="1"/>
    </xf>
    <xf numFmtId="3" fontId="2252" fillId="7" borderId="3" xfId="0" applyNumberFormat="1" applyFont="1" applyFill="1" applyBorder="1" applyAlignment="1">
      <alignment horizontal="left" vertical="top" wrapText="1"/>
    </xf>
    <xf numFmtId="3" fontId="2482" fillId="7" borderId="3" xfId="0" applyNumberFormat="1" applyFont="1" applyFill="1" applyBorder="1" applyAlignment="1">
      <alignment horizontal="left" vertical="top" wrapText="1"/>
    </xf>
    <xf numFmtId="3" fontId="2341" fillId="7" borderId="3" xfId="0" applyNumberFormat="1" applyFont="1" applyFill="1" applyBorder="1" applyAlignment="1">
      <alignment horizontal="left" vertical="top" wrapText="1"/>
    </xf>
    <xf numFmtId="3" fontId="2453" fillId="7" borderId="3" xfId="0" applyNumberFormat="1" applyFont="1" applyFill="1" applyBorder="1" applyAlignment="1">
      <alignment horizontal="left" vertical="top" wrapText="1"/>
    </xf>
    <xf numFmtId="3" fontId="2291" fillId="7" borderId="3" xfId="0" applyNumberFormat="1" applyFont="1" applyFill="1" applyBorder="1" applyAlignment="1">
      <alignment horizontal="left" vertical="top" wrapText="1"/>
    </xf>
    <xf numFmtId="3" fontId="2388" fillId="7" borderId="3" xfId="0" applyNumberFormat="1" applyFont="1" applyFill="1" applyBorder="1" applyAlignment="1">
      <alignment horizontal="left" vertical="top" wrapText="1"/>
    </xf>
    <xf numFmtId="3" fontId="2394" fillId="7" borderId="3" xfId="0" applyNumberFormat="1" applyFont="1" applyFill="1" applyBorder="1" applyAlignment="1">
      <alignment horizontal="left" vertical="top" wrapText="1"/>
    </xf>
    <xf numFmtId="3" fontId="2426" fillId="7" borderId="3" xfId="0" applyNumberFormat="1" applyFont="1" applyFill="1" applyBorder="1" applyAlignment="1">
      <alignment horizontal="left" vertical="top" wrapText="1"/>
    </xf>
    <xf numFmtId="3" fontId="2273" fillId="7" borderId="3" xfId="0" applyNumberFormat="1" applyFont="1" applyFill="1" applyBorder="1" applyAlignment="1">
      <alignment horizontal="left" vertical="top" wrapText="1"/>
    </xf>
    <xf numFmtId="3" fontId="2483" fillId="7" borderId="3" xfId="0" applyNumberFormat="1" applyFont="1" applyFill="1" applyBorder="1" applyAlignment="1">
      <alignment horizontal="left" vertical="top" wrapText="1"/>
    </xf>
    <xf numFmtId="3" fontId="2342" fillId="7" borderId="3" xfId="0" applyNumberFormat="1" applyFont="1" applyFill="1" applyBorder="1" applyAlignment="1">
      <alignment horizontal="left" vertical="top" wrapText="1"/>
    </xf>
    <xf numFmtId="3" fontId="2454" fillId="7" borderId="3" xfId="0" applyNumberFormat="1" applyFont="1" applyFill="1" applyBorder="1" applyAlignment="1">
      <alignment horizontal="left" vertical="top" wrapText="1"/>
    </xf>
    <xf numFmtId="3" fontId="2292" fillId="7" borderId="3" xfId="0" applyNumberFormat="1" applyFont="1" applyFill="1" applyBorder="1" applyAlignment="1">
      <alignment horizontal="left" vertical="top" wrapText="1"/>
    </xf>
    <xf numFmtId="3" fontId="2389" fillId="5" borderId="3" xfId="0" applyNumberFormat="1" applyFont="1" applyFill="1" applyBorder="1" applyAlignment="1">
      <alignment horizontal="left" vertical="top" wrapText="1"/>
    </xf>
    <xf numFmtId="3" fontId="2395" fillId="5" borderId="3" xfId="0" applyNumberFormat="1" applyFont="1" applyFill="1" applyBorder="1" applyAlignment="1">
      <alignment horizontal="left" vertical="top" wrapText="1"/>
    </xf>
    <xf numFmtId="3" fontId="2427" fillId="5" borderId="3" xfId="0" applyNumberFormat="1" applyFont="1" applyFill="1" applyBorder="1" applyAlignment="1">
      <alignment horizontal="left" vertical="top" wrapText="1"/>
    </xf>
    <xf numFmtId="3" fontId="2274" fillId="5" borderId="3" xfId="0" applyNumberFormat="1" applyFont="1" applyFill="1" applyBorder="1" applyAlignment="1">
      <alignment horizontal="left" vertical="top" wrapText="1"/>
    </xf>
    <xf numFmtId="3" fontId="2484" fillId="5" borderId="3" xfId="0" applyNumberFormat="1" applyFont="1" applyFill="1" applyBorder="1" applyAlignment="1">
      <alignment horizontal="left" vertical="top" wrapText="1"/>
    </xf>
    <xf numFmtId="3" fontId="2343" fillId="5" borderId="3" xfId="0" applyNumberFormat="1" applyFont="1" applyFill="1" applyBorder="1" applyAlignment="1">
      <alignment horizontal="left" vertical="top" wrapText="1"/>
    </xf>
    <xf numFmtId="3" fontId="2455" fillId="5" borderId="3" xfId="0" applyNumberFormat="1" applyFont="1" applyFill="1" applyBorder="1" applyAlignment="1">
      <alignment horizontal="left" vertical="top" wrapText="1"/>
    </xf>
    <xf numFmtId="3" fontId="2293" fillId="5" borderId="3" xfId="0" applyNumberFormat="1" applyFont="1" applyFill="1" applyBorder="1" applyAlignment="1">
      <alignment horizontal="left" vertical="top" wrapText="1"/>
    </xf>
    <xf numFmtId="3" fontId="2390" fillId="5" borderId="3" xfId="0" applyNumberFormat="1" applyFont="1" applyFill="1" applyBorder="1" applyAlignment="1">
      <alignment horizontal="left" vertical="top" wrapText="1"/>
    </xf>
    <xf numFmtId="3" fontId="2396" fillId="5" borderId="3" xfId="0" applyNumberFormat="1" applyFont="1" applyFill="1" applyBorder="1" applyAlignment="1">
      <alignment horizontal="left" vertical="top" wrapText="1"/>
    </xf>
    <xf numFmtId="3" fontId="2428" fillId="5" borderId="3" xfId="0" applyNumberFormat="1" applyFont="1" applyFill="1" applyBorder="1" applyAlignment="1">
      <alignment horizontal="left" vertical="top" wrapText="1"/>
    </xf>
    <xf numFmtId="3" fontId="2283" fillId="5" borderId="3" xfId="0" applyNumberFormat="1" applyFont="1" applyFill="1" applyBorder="1" applyAlignment="1">
      <alignment horizontal="left" vertical="top" wrapText="1"/>
    </xf>
    <xf numFmtId="3" fontId="2487" fillId="5" borderId="3" xfId="0" applyNumberFormat="1" applyFont="1" applyFill="1" applyBorder="1" applyAlignment="1">
      <alignment horizontal="left" vertical="top" wrapText="1"/>
    </xf>
    <xf numFmtId="3" fontId="2344" fillId="5" borderId="3" xfId="0" applyNumberFormat="1" applyFont="1" applyFill="1" applyBorder="1" applyAlignment="1">
      <alignment horizontal="left" vertical="top" wrapText="1"/>
    </xf>
    <xf numFmtId="3" fontId="2456" fillId="5" borderId="3" xfId="0" applyNumberFormat="1" applyFont="1" applyFill="1" applyBorder="1" applyAlignment="1">
      <alignment horizontal="left" vertical="top" wrapText="1"/>
    </xf>
    <xf numFmtId="3" fontId="2294" fillId="5" borderId="3" xfId="0" applyNumberFormat="1" applyFont="1" applyFill="1" applyBorder="1" applyAlignment="1">
      <alignment horizontal="left" vertical="top" wrapText="1"/>
    </xf>
    <xf numFmtId="3" fontId="2257" fillId="5" borderId="3" xfId="0" applyNumberFormat="1" applyFont="1" applyFill="1" applyBorder="1" applyAlignment="1">
      <alignment horizontal="left" vertical="top" wrapText="1"/>
    </xf>
    <xf numFmtId="3" fontId="2397" fillId="5" borderId="3" xfId="0" applyNumberFormat="1" applyFont="1" applyFill="1" applyBorder="1" applyAlignment="1">
      <alignment horizontal="left" vertical="top" wrapText="1"/>
    </xf>
    <xf numFmtId="3" fontId="2433" fillId="5" borderId="3" xfId="0" applyNumberFormat="1" applyFont="1" applyFill="1" applyBorder="1" applyAlignment="1">
      <alignment horizontal="left" vertical="top" wrapText="1"/>
    </xf>
    <xf numFmtId="3" fontId="2405" fillId="5" borderId="3" xfId="0" applyNumberFormat="1" applyFont="1" applyFill="1" applyBorder="1" applyAlignment="1">
      <alignment horizontal="left" vertical="top" wrapText="1"/>
    </xf>
    <xf numFmtId="3" fontId="2488" fillId="5" borderId="3" xfId="0" applyNumberFormat="1" applyFont="1" applyFill="1" applyBorder="1" applyAlignment="1">
      <alignment horizontal="left" vertical="top" wrapText="1"/>
    </xf>
    <xf numFmtId="3" fontId="2345" fillId="5" borderId="3" xfId="0" applyNumberFormat="1" applyFont="1" applyFill="1" applyBorder="1" applyAlignment="1">
      <alignment horizontal="left" vertical="top" wrapText="1"/>
    </xf>
    <xf numFmtId="3" fontId="2457" fillId="5" borderId="3" xfId="0" applyNumberFormat="1" applyFont="1" applyFill="1" applyBorder="1" applyAlignment="1">
      <alignment horizontal="left" vertical="top" wrapText="1"/>
    </xf>
    <xf numFmtId="3" fontId="2295" fillId="5" borderId="3" xfId="0" applyNumberFormat="1" applyFont="1" applyFill="1" applyBorder="1" applyAlignment="1">
      <alignment horizontal="left" vertical="top" wrapText="1"/>
    </xf>
    <xf numFmtId="3" fontId="2258" fillId="5" borderId="3" xfId="0" applyNumberFormat="1" applyFont="1" applyFill="1" applyBorder="1" applyAlignment="1">
      <alignment horizontal="left" vertical="top" wrapText="1"/>
    </xf>
    <xf numFmtId="3" fontId="2398" fillId="5" borderId="3" xfId="0" applyNumberFormat="1" applyFont="1" applyFill="1" applyBorder="1" applyAlignment="1">
      <alignment horizontal="left" vertical="top" wrapText="1"/>
    </xf>
    <xf numFmtId="3" fontId="2279" fillId="5" borderId="3" xfId="0" applyNumberFormat="1" applyFont="1" applyFill="1" applyBorder="1" applyAlignment="1">
      <alignment horizontal="left" vertical="top" wrapText="1"/>
    </xf>
    <xf numFmtId="3" fontId="2406" fillId="5" borderId="3" xfId="0" applyNumberFormat="1" applyFont="1" applyFill="1" applyBorder="1" applyAlignment="1">
      <alignment horizontal="left" vertical="top" wrapText="1"/>
    </xf>
    <xf numFmtId="3" fontId="2489" fillId="5" borderId="3" xfId="0" applyNumberFormat="1" applyFont="1" applyFill="1" applyBorder="1" applyAlignment="1">
      <alignment horizontal="left" vertical="top" wrapText="1"/>
    </xf>
    <xf numFmtId="3" fontId="2346" fillId="5" borderId="3" xfId="0" applyNumberFormat="1" applyFont="1" applyFill="1" applyBorder="1" applyAlignment="1">
      <alignment horizontal="left" vertical="top" wrapText="1"/>
    </xf>
    <xf numFmtId="3" fontId="2458" fillId="5" borderId="3" xfId="0" applyNumberFormat="1" applyFont="1" applyFill="1" applyBorder="1" applyAlignment="1">
      <alignment horizontal="left" vertical="top" wrapText="1"/>
    </xf>
    <xf numFmtId="3" fontId="2296" fillId="5" borderId="3" xfId="0" applyNumberFormat="1" applyFont="1" applyFill="1" applyBorder="1" applyAlignment="1">
      <alignment horizontal="left" vertical="top" wrapText="1"/>
    </xf>
    <xf numFmtId="3" fontId="2259" fillId="5" borderId="3" xfId="0" applyNumberFormat="1" applyFont="1" applyFill="1" applyBorder="1" applyAlignment="1">
      <alignment horizontal="left" vertical="top" wrapText="1"/>
    </xf>
    <xf numFmtId="3" fontId="2399" fillId="5" borderId="3" xfId="0" applyNumberFormat="1" applyFont="1" applyFill="1" applyBorder="1" applyAlignment="1">
      <alignment horizontal="left" vertical="top" wrapText="1"/>
    </xf>
    <xf numFmtId="3" fontId="2280" fillId="5" borderId="3" xfId="0" applyNumberFormat="1" applyFont="1" applyFill="1" applyBorder="1" applyAlignment="1">
      <alignment horizontal="left" vertical="top" wrapText="1"/>
    </xf>
    <xf numFmtId="3" fontId="2407" fillId="5" borderId="3" xfId="0" applyNumberFormat="1" applyFont="1" applyFill="1" applyBorder="1" applyAlignment="1">
      <alignment horizontal="left" vertical="top" wrapText="1"/>
    </xf>
    <xf numFmtId="3" fontId="2490" fillId="5" borderId="3" xfId="0" applyNumberFormat="1" applyFont="1" applyFill="1" applyBorder="1" applyAlignment="1">
      <alignment horizontal="left" vertical="top" wrapText="1"/>
    </xf>
    <xf numFmtId="3" fontId="2298" fillId="5" borderId="3" xfId="0" applyNumberFormat="1" applyFont="1" applyFill="1" applyBorder="1" applyAlignment="1">
      <alignment horizontal="left" vertical="top" wrapText="1"/>
    </xf>
    <xf numFmtId="3" fontId="2459" fillId="5" borderId="3" xfId="0" applyNumberFormat="1" applyFont="1" applyFill="1" applyBorder="1" applyAlignment="1">
      <alignment horizontal="left" vertical="top" wrapText="1"/>
    </xf>
    <xf numFmtId="3" fontId="2297" fillId="5" borderId="3" xfId="0" applyNumberFormat="1" applyFont="1" applyFill="1" applyBorder="1" applyAlignment="1">
      <alignment horizontal="left" vertical="top" wrapText="1"/>
    </xf>
    <xf numFmtId="3" fontId="2260" fillId="5" borderId="3" xfId="0" applyNumberFormat="1" applyFont="1" applyFill="1" applyBorder="1" applyAlignment="1">
      <alignment horizontal="left" vertical="top" wrapText="1"/>
    </xf>
    <xf numFmtId="3" fontId="2400" fillId="5" borderId="3" xfId="0" applyNumberFormat="1" applyFont="1" applyFill="1" applyBorder="1" applyAlignment="1">
      <alignment horizontal="left" vertical="top" wrapText="1"/>
    </xf>
    <xf numFmtId="3" fontId="2281" fillId="5" borderId="3" xfId="0" applyNumberFormat="1" applyFont="1" applyFill="1" applyBorder="1" applyAlignment="1">
      <alignment horizontal="left" vertical="top" wrapText="1"/>
    </xf>
    <xf numFmtId="3" fontId="2408" fillId="5" borderId="3" xfId="0" applyNumberFormat="1" applyFont="1" applyFill="1" applyBorder="1" applyAlignment="1">
      <alignment horizontal="left" vertical="top" wrapText="1"/>
    </xf>
    <xf numFmtId="3" fontId="2491" fillId="5" borderId="3" xfId="0" applyNumberFormat="1" applyFont="1" applyFill="1" applyBorder="1" applyAlignment="1">
      <alignment horizontal="left" vertical="top" wrapText="1"/>
    </xf>
    <xf numFmtId="3" fontId="2299" fillId="5" borderId="3" xfId="0" applyNumberFormat="1" applyFont="1" applyFill="1" applyBorder="1" applyAlignment="1">
      <alignment horizontal="left" vertical="top" wrapText="1"/>
    </xf>
    <xf numFmtId="3" fontId="2460" fillId="5" borderId="3" xfId="0" applyNumberFormat="1" applyFont="1" applyFill="1" applyBorder="1" applyAlignment="1">
      <alignment horizontal="left" vertical="top" wrapText="1"/>
    </xf>
    <xf numFmtId="3" fontId="2434" fillId="5" borderId="3" xfId="0" applyNumberFormat="1" applyFont="1" applyFill="1" applyBorder="1" applyAlignment="1">
      <alignment horizontal="left" vertical="top" wrapText="1"/>
    </xf>
    <xf numFmtId="3" fontId="2261" fillId="5" borderId="3" xfId="0" applyNumberFormat="1" applyFont="1" applyFill="1" applyBorder="1" applyAlignment="1">
      <alignment horizontal="left" vertical="top" wrapText="1"/>
    </xf>
    <xf numFmtId="3" fontId="2401" fillId="5" borderId="3" xfId="0" applyNumberFormat="1" applyFont="1" applyFill="1" applyBorder="1" applyAlignment="1">
      <alignment horizontal="left" vertical="top" wrapText="1"/>
    </xf>
    <xf numFmtId="3" fontId="2355" fillId="5" borderId="3" xfId="0" applyNumberFormat="1" applyFont="1" applyFill="1" applyBorder="1" applyAlignment="1">
      <alignment horizontal="left" vertical="top" wrapText="1"/>
    </xf>
    <xf numFmtId="3" fontId="2409" fillId="5" borderId="3" xfId="0" applyNumberFormat="1" applyFont="1" applyFill="1" applyBorder="1" applyAlignment="1">
      <alignment horizontal="left" vertical="top" wrapText="1"/>
    </xf>
    <xf numFmtId="3" fontId="2492" fillId="5" borderId="3" xfId="0" applyNumberFormat="1" applyFont="1" applyFill="1" applyBorder="1" applyAlignment="1">
      <alignment horizontal="left" vertical="top" wrapText="1"/>
    </xf>
    <xf numFmtId="3" fontId="2300" fillId="5" borderId="3" xfId="0" applyNumberFormat="1" applyFont="1" applyFill="1" applyBorder="1" applyAlignment="1">
      <alignment horizontal="left" vertical="top" wrapText="1"/>
    </xf>
    <xf numFmtId="3" fontId="2461" fillId="5" borderId="3" xfId="0" applyNumberFormat="1" applyFont="1" applyFill="1" applyBorder="1" applyAlignment="1">
      <alignment horizontal="left" vertical="top" wrapText="1"/>
    </xf>
    <xf numFmtId="3" fontId="2500" fillId="5" borderId="3" xfId="0" applyNumberFormat="1" applyFont="1" applyFill="1" applyBorder="1" applyAlignment="1">
      <alignment horizontal="left" vertical="top" wrapText="1"/>
    </xf>
    <xf numFmtId="3" fontId="2262" fillId="5" borderId="3" xfId="0" applyNumberFormat="1" applyFont="1" applyFill="1" applyBorder="1" applyAlignment="1">
      <alignment horizontal="left" vertical="top" wrapText="1"/>
    </xf>
    <xf numFmtId="3" fontId="2402" fillId="5" borderId="3" xfId="0" applyNumberFormat="1" applyFont="1" applyFill="1" applyBorder="1" applyAlignment="1">
      <alignment horizontal="left" vertical="top" wrapText="1"/>
    </xf>
    <xf numFmtId="3" fontId="2356" fillId="5" borderId="3" xfId="0" applyNumberFormat="1" applyFont="1" applyFill="1" applyBorder="1" applyAlignment="1">
      <alignment horizontal="left" vertical="top" wrapText="1"/>
    </xf>
    <xf numFmtId="3" fontId="2410" fillId="5" borderId="3" xfId="0" applyNumberFormat="1" applyFont="1" applyFill="1" applyBorder="1" applyAlignment="1">
      <alignment horizontal="left" vertical="top" wrapText="1"/>
    </xf>
    <xf numFmtId="3" fontId="2493" fillId="5" borderId="3" xfId="0" applyNumberFormat="1" applyFont="1" applyFill="1" applyBorder="1" applyAlignment="1">
      <alignment horizontal="left" vertical="top" wrapText="1"/>
    </xf>
    <xf numFmtId="3" fontId="2301" fillId="5" borderId="3" xfId="0" applyNumberFormat="1" applyFont="1" applyFill="1" applyBorder="1" applyAlignment="1">
      <alignment horizontal="left" vertical="top" wrapText="1"/>
    </xf>
    <xf numFmtId="3" fontId="2462" fillId="5" borderId="3" xfId="0" applyNumberFormat="1" applyFont="1" applyFill="1" applyBorder="1" applyAlignment="1">
      <alignment horizontal="left" vertical="top" wrapText="1"/>
    </xf>
    <xf numFmtId="3" fontId="2501" fillId="5" borderId="3" xfId="0" applyNumberFormat="1" applyFont="1" applyFill="1" applyBorder="1" applyAlignment="1">
      <alignment horizontal="left" vertical="top" wrapText="1"/>
    </xf>
    <xf numFmtId="3" fontId="2282" fillId="5" borderId="3" xfId="0" applyNumberFormat="1" applyFont="1" applyFill="1" applyBorder="1" applyAlignment="1">
      <alignment horizontal="left" vertical="top" wrapText="1"/>
    </xf>
    <xf numFmtId="3" fontId="2403" fillId="5" borderId="3" xfId="0" applyNumberFormat="1" applyFont="1" applyFill="1" applyBorder="1" applyAlignment="1">
      <alignment horizontal="left" vertical="top" wrapText="1"/>
    </xf>
    <xf numFmtId="3" fontId="2357" fillId="5" borderId="3" xfId="0" applyNumberFormat="1" applyFont="1" applyFill="1" applyBorder="1" applyAlignment="1">
      <alignment horizontal="left" vertical="top" wrapText="1"/>
    </xf>
    <xf numFmtId="3" fontId="2411" fillId="5" borderId="3" xfId="0" applyNumberFormat="1" applyFont="1" applyFill="1" applyBorder="1" applyAlignment="1">
      <alignment horizontal="left" vertical="top" wrapText="1"/>
    </xf>
    <xf numFmtId="3" fontId="2499" fillId="5" borderId="3" xfId="0" applyNumberFormat="1" applyFont="1" applyFill="1" applyBorder="1" applyAlignment="1">
      <alignment horizontal="left" vertical="top" wrapText="1"/>
    </xf>
    <xf numFmtId="3" fontId="2302" fillId="5" borderId="3" xfId="0" applyNumberFormat="1" applyFont="1" applyFill="1" applyBorder="1" applyAlignment="1">
      <alignment horizontal="left" vertical="top" wrapText="1"/>
    </xf>
    <xf numFmtId="3" fontId="2463" fillId="5" borderId="3" xfId="0" applyNumberFormat="1" applyFont="1" applyFill="1" applyBorder="1" applyAlignment="1">
      <alignment horizontal="left" vertical="top" wrapText="1"/>
    </xf>
    <xf numFmtId="3" fontId="2502" fillId="5" borderId="3" xfId="0" applyNumberFormat="1" applyFont="1" applyFill="1" applyBorder="1" applyAlignment="1">
      <alignment horizontal="left" vertical="top" wrapText="1"/>
    </xf>
    <xf numFmtId="3" fontId="2470" fillId="5" borderId="3" xfId="0" applyNumberFormat="1" applyFont="1" applyFill="1" applyBorder="1" applyAlignment="1">
      <alignment horizontal="left" vertical="top" wrapText="1"/>
    </xf>
    <xf numFmtId="3" fontId="2404" fillId="5" borderId="3" xfId="0" applyNumberFormat="1" applyFont="1" applyFill="1" applyBorder="1" applyAlignment="1">
      <alignment horizontal="left" vertical="top" wrapText="1"/>
    </xf>
    <xf numFmtId="3" fontId="2358" fillId="5" borderId="3" xfId="0" applyNumberFormat="1" applyFont="1" applyFill="1" applyBorder="1" applyAlignment="1">
      <alignment horizontal="left" vertical="top" wrapText="1"/>
    </xf>
    <xf numFmtId="3" fontId="2412" fillId="5" borderId="3" xfId="0" applyNumberFormat="1" applyFont="1" applyFill="1" applyBorder="1" applyAlignment="1">
      <alignment horizontal="left" vertical="top" wrapText="1"/>
    </xf>
    <xf numFmtId="3" fontId="2329" fillId="5" borderId="3" xfId="0" applyNumberFormat="1" applyFont="1" applyFill="1" applyBorder="1" applyAlignment="1">
      <alignment horizontal="left" vertical="top" wrapText="1"/>
    </xf>
    <xf numFmtId="3" fontId="2303" fillId="5" borderId="3" xfId="0" applyNumberFormat="1" applyFont="1" applyFill="1" applyBorder="1" applyAlignment="1">
      <alignment horizontal="left" vertical="top" wrapText="1"/>
    </xf>
    <xf numFmtId="3" fontId="2464" fillId="5" borderId="3" xfId="0" applyNumberFormat="1" applyFont="1" applyFill="1" applyBorder="1" applyAlignment="1">
      <alignment horizontal="left" vertical="top" wrapText="1"/>
    </xf>
    <xf numFmtId="3" fontId="2393" fillId="5" borderId="3" xfId="0" applyNumberFormat="1" applyFont="1" applyFill="1" applyBorder="1" applyAlignment="1">
      <alignment horizontal="left" vertical="top" wrapText="1"/>
    </xf>
    <xf numFmtId="3" fontId="2471" fillId="7" borderId="3" xfId="0" applyNumberFormat="1" applyFont="1" applyFill="1" applyBorder="1" applyAlignment="1">
      <alignment horizontal="left" vertical="top" wrapText="1"/>
    </xf>
    <xf numFmtId="3" fontId="2414" fillId="7" borderId="3" xfId="0" applyNumberFormat="1" applyFont="1" applyFill="1" applyBorder="1" applyAlignment="1">
      <alignment horizontal="left" vertical="top" wrapText="1"/>
    </xf>
    <xf numFmtId="3" fontId="2359" fillId="7" borderId="3" xfId="0" applyNumberFormat="1" applyFont="1" applyFill="1" applyBorder="1" applyAlignment="1">
      <alignment horizontal="left" vertical="top" wrapText="1"/>
    </xf>
    <xf numFmtId="3" fontId="2413" fillId="7" borderId="3" xfId="0" applyNumberFormat="1" applyFont="1" applyFill="1" applyBorder="1" applyAlignment="1">
      <alignment horizontal="left" vertical="top" wrapText="1"/>
    </xf>
    <xf numFmtId="3" fontId="2330" fillId="7" borderId="3" xfId="0" applyNumberFormat="1" applyFont="1" applyFill="1" applyBorder="1" applyAlignment="1">
      <alignment horizontal="left" vertical="top" wrapText="1"/>
    </xf>
    <xf numFmtId="3" fontId="2304" fillId="7" borderId="3" xfId="0" applyNumberFormat="1" applyFont="1" applyFill="1" applyBorder="1" applyAlignment="1">
      <alignment horizontal="left" vertical="top" wrapText="1"/>
    </xf>
    <xf numFmtId="3" fontId="2465" fillId="7" borderId="3" xfId="0" applyNumberFormat="1" applyFont="1" applyFill="1" applyBorder="1" applyAlignment="1">
      <alignment horizontal="left" vertical="top" wrapText="1"/>
    </xf>
    <xf numFmtId="3" fontId="2284" fillId="7" borderId="3" xfId="0" applyNumberFormat="1" applyFont="1" applyFill="1" applyBorder="1" applyAlignment="1">
      <alignment horizontal="left" vertical="top" wrapText="1"/>
    </xf>
    <xf numFmtId="3" fontId="2472" fillId="7" borderId="3" xfId="0" applyNumberFormat="1" applyFont="1" applyFill="1" applyBorder="1" applyAlignment="1">
      <alignment horizontal="left" vertical="top" wrapText="1"/>
    </xf>
    <xf numFmtId="3" fontId="2415" fillId="7" borderId="3" xfId="0" applyNumberFormat="1" applyFont="1" applyFill="1" applyBorder="1" applyAlignment="1">
      <alignment horizontal="left" vertical="top" wrapText="1"/>
    </xf>
    <xf numFmtId="3" fontId="2360" fillId="7" borderId="3" xfId="0" applyNumberFormat="1" applyFont="1" applyFill="1" applyBorder="1" applyAlignment="1">
      <alignment horizontal="left" vertical="top" wrapText="1"/>
    </xf>
    <xf numFmtId="3" fontId="2429" fillId="7" borderId="3" xfId="0" applyNumberFormat="1" applyFont="1" applyFill="1" applyBorder="1" applyAlignment="1">
      <alignment horizontal="left" vertical="top" wrapText="1"/>
    </xf>
    <xf numFmtId="3" fontId="2331" fillId="7" borderId="3" xfId="0" applyNumberFormat="1" applyFont="1" applyFill="1" applyBorder="1" applyAlignment="1">
      <alignment horizontal="left" vertical="top" wrapText="1"/>
    </xf>
    <xf numFmtId="3" fontId="2305" fillId="7" borderId="3" xfId="0" applyNumberFormat="1" applyFont="1" applyFill="1" applyBorder="1" applyAlignment="1">
      <alignment horizontal="left" vertical="top" wrapText="1"/>
    </xf>
    <xf numFmtId="3" fontId="2466" fillId="7" borderId="3" xfId="0" applyNumberFormat="1" applyFont="1" applyFill="1" applyBorder="1" applyAlignment="1">
      <alignment horizontal="left" vertical="top" wrapText="1"/>
    </xf>
    <xf numFmtId="3" fontId="2285" fillId="7" borderId="3" xfId="0" applyNumberFormat="1" applyFont="1" applyFill="1" applyBorder="1" applyAlignment="1">
      <alignment horizontal="left" vertical="top" wrapText="1"/>
    </xf>
    <xf numFmtId="3" fontId="2473" fillId="7" borderId="3" xfId="0" applyNumberFormat="1" applyFont="1" applyFill="1" applyBorder="1" applyAlignment="1">
      <alignment horizontal="left" vertical="top" wrapText="1"/>
    </xf>
    <xf numFmtId="3" fontId="2416" fillId="7" borderId="3" xfId="0" applyNumberFormat="1" applyFont="1" applyFill="1" applyBorder="1" applyAlignment="1">
      <alignment horizontal="left" vertical="top" wrapText="1"/>
    </xf>
    <xf numFmtId="3" fontId="2361" fillId="7" borderId="3" xfId="0" applyNumberFormat="1" applyFont="1" applyFill="1" applyBorder="1" applyAlignment="1">
      <alignment horizontal="left" vertical="top" wrapText="1"/>
    </xf>
    <xf numFmtId="3" fontId="2430" fillId="7" borderId="3" xfId="0" applyNumberFormat="1" applyFont="1" applyFill="1" applyBorder="1" applyAlignment="1">
      <alignment horizontal="left" vertical="top" wrapText="1"/>
    </xf>
    <xf numFmtId="3" fontId="2332" fillId="7" borderId="3" xfId="0" applyNumberFormat="1" applyFont="1" applyFill="1" applyBorder="1" applyAlignment="1">
      <alignment horizontal="left" vertical="top" wrapText="1"/>
    </xf>
    <xf numFmtId="3" fontId="2306" fillId="7" borderId="3" xfId="0" applyNumberFormat="1" applyFont="1" applyFill="1" applyBorder="1" applyAlignment="1">
      <alignment horizontal="left" vertical="top" wrapText="1"/>
    </xf>
    <xf numFmtId="3" fontId="2467" fillId="7" borderId="3" xfId="0" applyNumberFormat="1" applyFont="1" applyFill="1" applyBorder="1" applyAlignment="1">
      <alignment horizontal="left" vertical="top" wrapText="1"/>
    </xf>
    <xf numFmtId="3" fontId="2286" fillId="7" borderId="3" xfId="0" applyNumberFormat="1" applyFont="1" applyFill="1" applyBorder="1" applyAlignment="1">
      <alignment horizontal="left" vertical="top" wrapText="1"/>
    </xf>
    <xf numFmtId="3" fontId="2474" fillId="7" borderId="3" xfId="0" applyNumberFormat="1" applyFont="1" applyFill="1" applyBorder="1" applyAlignment="1">
      <alignment horizontal="left" vertical="top" wrapText="1"/>
    </xf>
    <xf numFmtId="3" fontId="2417" fillId="7" borderId="3" xfId="0" applyNumberFormat="1" applyFont="1" applyFill="1" applyBorder="1" applyAlignment="1">
      <alignment horizontal="left" vertical="top" wrapText="1"/>
    </xf>
    <xf numFmtId="3" fontId="2362" fillId="7" borderId="3" xfId="0" applyNumberFormat="1" applyFont="1" applyFill="1" applyBorder="1" applyAlignment="1">
      <alignment horizontal="left" vertical="top" wrapText="1"/>
    </xf>
    <xf numFmtId="3" fontId="2431" fillId="7" borderId="3" xfId="0" applyNumberFormat="1" applyFont="1" applyFill="1" applyBorder="1" applyAlignment="1">
      <alignment horizontal="left" vertical="top" wrapText="1"/>
    </xf>
    <xf numFmtId="3" fontId="2333" fillId="7" borderId="3" xfId="0" applyNumberFormat="1" applyFont="1" applyFill="1" applyBorder="1" applyAlignment="1">
      <alignment horizontal="left" vertical="top" wrapText="1"/>
    </xf>
    <xf numFmtId="3" fontId="2307" fillId="7" borderId="3" xfId="0" applyNumberFormat="1" applyFont="1" applyFill="1" applyBorder="1" applyAlignment="1">
      <alignment horizontal="left" vertical="top" wrapText="1"/>
    </xf>
    <xf numFmtId="3" fontId="2468" fillId="7" borderId="3" xfId="0" applyNumberFormat="1" applyFont="1" applyFill="1" applyBorder="1" applyAlignment="1">
      <alignment horizontal="left" vertical="top" wrapText="1"/>
    </xf>
    <xf numFmtId="3" fontId="2287" fillId="7" borderId="3" xfId="0" applyNumberFormat="1" applyFont="1" applyFill="1" applyBorder="1" applyAlignment="1">
      <alignment horizontal="left" vertical="top" wrapText="1"/>
    </xf>
    <xf numFmtId="3" fontId="2475" fillId="5" borderId="3" xfId="0" applyNumberFormat="1" applyFont="1" applyFill="1" applyBorder="1" applyAlignment="1">
      <alignment horizontal="left" vertical="top" wrapText="1"/>
    </xf>
    <xf numFmtId="3" fontId="2418" fillId="5" borderId="3" xfId="0" applyNumberFormat="1" applyFont="1" applyFill="1" applyBorder="1" applyAlignment="1">
      <alignment horizontal="left" vertical="top" wrapText="1"/>
    </xf>
    <xf numFmtId="3" fontId="2363" fillId="5" borderId="3" xfId="0" applyNumberFormat="1" applyFont="1" applyFill="1" applyBorder="1" applyAlignment="1">
      <alignment horizontal="left" vertical="top" wrapText="1"/>
    </xf>
    <xf numFmtId="3" fontId="2432" fillId="5" borderId="3" xfId="0" applyNumberFormat="1" applyFont="1" applyFill="1" applyBorder="1" applyAlignment="1">
      <alignment horizontal="left" vertical="top" wrapText="1"/>
    </xf>
    <xf numFmtId="3" fontId="2334" fillId="5" borderId="3" xfId="0" applyNumberFormat="1" applyFont="1" applyFill="1" applyBorder="1" applyAlignment="1">
      <alignment horizontal="left" vertical="top" wrapText="1"/>
    </xf>
    <xf numFmtId="3" fontId="2308" fillId="5" borderId="3" xfId="0" applyNumberFormat="1" applyFont="1" applyFill="1" applyBorder="1" applyAlignment="1">
      <alignment horizontal="left" vertical="top" wrapText="1"/>
    </xf>
    <xf numFmtId="3" fontId="2469" fillId="5" borderId="3" xfId="0" applyNumberFormat="1" applyFont="1" applyFill="1" applyBorder="1" applyAlignment="1">
      <alignment horizontal="left" vertical="top" wrapText="1"/>
    </xf>
    <xf numFmtId="3" fontId="2288" fillId="5" borderId="3" xfId="0" applyNumberFormat="1" applyFont="1" applyFill="1" applyBorder="1" applyAlignment="1">
      <alignment horizontal="left" vertical="top" wrapText="1"/>
    </xf>
    <xf numFmtId="3" fontId="2476" fillId="5" borderId="3" xfId="0" applyNumberFormat="1" applyFont="1" applyFill="1" applyBorder="1" applyAlignment="1">
      <alignment horizontal="left" vertical="top" wrapText="1"/>
    </xf>
    <xf numFmtId="3" fontId="2419" fillId="5" borderId="3" xfId="0" applyNumberFormat="1" applyFont="1" applyFill="1" applyBorder="1" applyAlignment="1">
      <alignment horizontal="left" vertical="top" wrapText="1"/>
    </xf>
    <xf numFmtId="3" fontId="2364" fillId="5" borderId="3" xfId="0" applyNumberFormat="1" applyFont="1" applyFill="1" applyBorder="1" applyAlignment="1">
      <alignment horizontal="left" vertical="top" wrapText="1"/>
    </xf>
    <xf numFmtId="3" fontId="2447" fillId="5" borderId="3" xfId="0" applyNumberFormat="1" applyFont="1" applyFill="1" applyBorder="1" applyAlignment="1">
      <alignment horizontal="left" vertical="top" wrapText="1"/>
    </xf>
    <xf numFmtId="3" fontId="2335" fillId="5" borderId="3" xfId="0" applyNumberFormat="1" applyFont="1" applyFill="1" applyBorder="1" applyAlignment="1">
      <alignment horizontal="left" vertical="top" wrapText="1"/>
    </xf>
    <xf numFmtId="3" fontId="2309" fillId="5" borderId="3" xfId="0" applyNumberFormat="1" applyFont="1" applyFill="1" applyBorder="1" applyAlignment="1">
      <alignment horizontal="left" vertical="top" wrapText="1"/>
    </xf>
    <xf numFmtId="3" fontId="2445" fillId="5" borderId="3" xfId="0" applyNumberFormat="1" applyFont="1" applyFill="1" applyBorder="1" applyAlignment="1">
      <alignment horizontal="left" vertical="top" wrapText="1"/>
    </xf>
    <xf numFmtId="3" fontId="2372" fillId="5" borderId="3" xfId="0" applyNumberFormat="1" applyFont="1" applyFill="1" applyBorder="1" applyAlignment="1">
      <alignment horizontal="left" vertical="top" wrapText="1"/>
    </xf>
    <xf numFmtId="3" fontId="2477" fillId="5" borderId="3" xfId="0" applyNumberFormat="1" applyFont="1" applyFill="1" applyBorder="1" applyAlignment="1">
      <alignment horizontal="left" vertical="top" wrapText="1"/>
    </xf>
    <xf numFmtId="3" fontId="2420" fillId="5" borderId="3" xfId="0" applyNumberFormat="1" applyFont="1" applyFill="1" applyBorder="1" applyAlignment="1">
      <alignment horizontal="left" vertical="top" wrapText="1"/>
    </xf>
    <xf numFmtId="3" fontId="2365" fillId="5" borderId="3" xfId="0" applyNumberFormat="1" applyFont="1" applyFill="1" applyBorder="1" applyAlignment="1">
      <alignment horizontal="left" vertical="top" wrapText="1"/>
    </xf>
    <xf numFmtId="3" fontId="2448" fillId="5" borderId="3" xfId="0" applyNumberFormat="1" applyFont="1" applyFill="1" applyBorder="1" applyAlignment="1">
      <alignment horizontal="left" vertical="top" wrapText="1"/>
    </xf>
    <xf numFmtId="3" fontId="2336" fillId="5" borderId="3" xfId="0" applyNumberFormat="1" applyFont="1" applyFill="1" applyBorder="1" applyAlignment="1">
      <alignment horizontal="left" vertical="top" wrapText="1"/>
    </xf>
    <xf numFmtId="3" fontId="2310" fillId="5" borderId="3" xfId="0" applyNumberFormat="1" applyFont="1" applyFill="1" applyBorder="1" applyAlignment="1">
      <alignment horizontal="left" vertical="top" wrapText="1"/>
    </xf>
    <xf numFmtId="3" fontId="2446" fillId="5" borderId="3" xfId="0" applyNumberFormat="1" applyFont="1" applyFill="1" applyBorder="1" applyAlignment="1">
      <alignment horizontal="left" vertical="top" wrapText="1"/>
    </xf>
    <xf numFmtId="3" fontId="2373" fillId="5" borderId="3" xfId="0" applyNumberFormat="1" applyFont="1" applyFill="1" applyBorder="1" applyAlignment="1">
      <alignment horizontal="left" vertical="top" wrapText="1"/>
    </xf>
    <xf numFmtId="3" fontId="2478" fillId="5" borderId="3" xfId="0" applyNumberFormat="1" applyFont="1" applyFill="1" applyBorder="1" applyAlignment="1">
      <alignment horizontal="left" vertical="top" wrapText="1"/>
    </xf>
    <xf numFmtId="3" fontId="2421" fillId="5" borderId="3" xfId="0" applyNumberFormat="1" applyFont="1" applyFill="1" applyBorder="1" applyAlignment="1">
      <alignment horizontal="left" vertical="top" wrapText="1"/>
    </xf>
    <xf numFmtId="3" fontId="2366" fillId="5" borderId="3" xfId="0" applyNumberFormat="1" applyFont="1" applyFill="1" applyBorder="1" applyAlignment="1">
      <alignment horizontal="left" vertical="top" wrapText="1"/>
    </xf>
    <xf numFmtId="3" fontId="2449" fillId="5" borderId="3" xfId="0" applyNumberFormat="1" applyFont="1" applyFill="1" applyBorder="1" applyAlignment="1">
      <alignment horizontal="left" vertical="top" wrapText="1"/>
    </xf>
    <xf numFmtId="3" fontId="2337" fillId="5" borderId="3" xfId="0" applyNumberFormat="1" applyFont="1" applyFill="1" applyBorder="1" applyAlignment="1">
      <alignment horizontal="left" vertical="top" wrapText="1"/>
    </xf>
    <xf numFmtId="3" fontId="2311" fillId="5" borderId="3" xfId="0" applyNumberFormat="1" applyFont="1" applyFill="1" applyBorder="1" applyAlignment="1">
      <alignment horizontal="left" vertical="top" wrapText="1"/>
    </xf>
    <xf numFmtId="3" fontId="2485" fillId="5" borderId="3" xfId="0" applyNumberFormat="1" applyFont="1" applyFill="1" applyBorder="1" applyAlignment="1">
      <alignment horizontal="left" vertical="top" wrapText="1"/>
    </xf>
    <xf numFmtId="3" fontId="2374" fillId="5" borderId="3" xfId="0" applyNumberFormat="1" applyFont="1" applyFill="1" applyBorder="1" applyAlignment="1">
      <alignment horizontal="left" vertical="top" wrapText="1"/>
    </xf>
    <xf numFmtId="3" fontId="2479" fillId="5" borderId="3" xfId="0" applyNumberFormat="1" applyFont="1" applyFill="1" applyBorder="1" applyAlignment="1">
      <alignment horizontal="left" vertical="top" wrapText="1"/>
    </xf>
    <xf numFmtId="3" fontId="2422" fillId="5" borderId="3" xfId="0" applyNumberFormat="1" applyFont="1" applyFill="1" applyBorder="1" applyAlignment="1">
      <alignment horizontal="left" vertical="top" wrapText="1"/>
    </xf>
    <xf numFmtId="3" fontId="2367" fillId="5" borderId="3" xfId="0" applyNumberFormat="1" applyFont="1" applyFill="1" applyBorder="1" applyAlignment="1">
      <alignment horizontal="left" vertical="top" wrapText="1"/>
    </xf>
    <xf numFmtId="3" fontId="2450" fillId="5" borderId="3" xfId="0" applyNumberFormat="1" applyFont="1" applyFill="1" applyBorder="1" applyAlignment="1">
      <alignment horizontal="left" vertical="top" wrapText="1"/>
    </xf>
    <xf numFmtId="3" fontId="2338" fillId="5" borderId="3" xfId="0" applyNumberFormat="1" applyFont="1" applyFill="1" applyBorder="1" applyAlignment="1">
      <alignment horizontal="left" vertical="top" wrapText="1"/>
    </xf>
    <xf numFmtId="3" fontId="2312" fillId="5" borderId="3" xfId="0" applyNumberFormat="1" applyFont="1" applyFill="1" applyBorder="1" applyAlignment="1">
      <alignment horizontal="left" vertical="top" wrapText="1"/>
    </xf>
    <xf numFmtId="3" fontId="2486" fillId="5" borderId="3" xfId="0" applyNumberFormat="1" applyFont="1" applyFill="1" applyBorder="1" applyAlignment="1">
      <alignment horizontal="left" vertical="top" wrapText="1"/>
    </xf>
    <xf numFmtId="3" fontId="2375" fillId="5" borderId="3" xfId="0" applyNumberFormat="1" applyFont="1" applyFill="1" applyBorder="1" applyAlignment="1">
      <alignment horizontal="left" vertical="top" wrapText="1"/>
    </xf>
    <xf numFmtId="3" fontId="2480" fillId="5" borderId="3" xfId="0" applyNumberFormat="1" applyFont="1" applyFill="1" applyBorder="1" applyAlignment="1">
      <alignment horizontal="left" vertical="top" wrapText="1"/>
    </xf>
    <xf numFmtId="3" fontId="2423" fillId="5" borderId="3" xfId="0" applyNumberFormat="1" applyFont="1" applyFill="1" applyBorder="1" applyAlignment="1">
      <alignment horizontal="left" vertical="top" wrapText="1"/>
    </xf>
    <xf numFmtId="3" fontId="2368" fillId="5" borderId="3" xfId="0" applyNumberFormat="1" applyFont="1" applyFill="1" applyBorder="1" applyAlignment="1">
      <alignment horizontal="left" vertical="top" wrapText="1"/>
    </xf>
    <xf numFmtId="3" fontId="2451" fillId="5" borderId="3" xfId="0" applyNumberFormat="1" applyFont="1" applyFill="1" applyBorder="1" applyAlignment="1">
      <alignment horizontal="left" vertical="top" wrapText="1"/>
    </xf>
    <xf numFmtId="3" fontId="2339" fillId="5" borderId="3" xfId="0" applyNumberFormat="1" applyFont="1" applyFill="1" applyBorder="1" applyAlignment="1">
      <alignment horizontal="left" vertical="top" wrapText="1"/>
    </xf>
    <xf numFmtId="3" fontId="2313" fillId="5" borderId="3" xfId="0" applyNumberFormat="1" applyFont="1" applyFill="1" applyBorder="1" applyAlignment="1">
      <alignment horizontal="left" vertical="top" wrapText="1"/>
    </xf>
    <xf numFmtId="3" fontId="2289" fillId="5" borderId="3" xfId="0" applyNumberFormat="1" applyFont="1" applyFill="1" applyBorder="1" applyAlignment="1">
      <alignment horizontal="left" vertical="top" wrapText="1"/>
    </xf>
    <xf numFmtId="3" fontId="2376" fillId="5" borderId="3" xfId="0" applyNumberFormat="1" applyFont="1" applyFill="1" applyBorder="1" applyAlignment="1">
      <alignment horizontal="left" vertical="top" wrapText="1"/>
    </xf>
  </cellXfs>
  <cellStyles count="8">
    <cellStyle name="Comma 2" xfId="4" xr:uid="{00000000-0005-0000-0000-000000000000}"/>
    <cellStyle name="Comma 2 2" xfId="7" xr:uid="{00000000-0005-0000-0000-000001000000}"/>
    <cellStyle name="Comma 3" xfId="2" xr:uid="{00000000-0005-0000-0000-000002000000}"/>
    <cellStyle name="Comma 3 2" xfId="6" xr:uid="{00000000-0005-0000-0000-000003000000}"/>
    <cellStyle name="Normal" xfId="0" builtinId="0"/>
    <cellStyle name="Normal 2" xfId="1" xr:uid="{00000000-0005-0000-0000-000005000000}"/>
    <cellStyle name="Normal 42" xfId="5" xr:uid="{00000000-0005-0000-0000-000006000000}"/>
    <cellStyle name="Percent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tabSelected="1" workbookViewId="0">
      <selection activeCell="E24" sqref="E24"/>
    </sheetView>
  </sheetViews>
  <sheetFormatPr defaultColWidth="8.85546875" defaultRowHeight="15" x14ac:dyDescent="0.2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2" spans="1:4" x14ac:dyDescent="0.25">
      <c r="B2" s="11"/>
      <c r="D2" s="6"/>
    </row>
    <row r="3" spans="1:4" x14ac:dyDescent="0.25">
      <c r="B3" s="9"/>
      <c r="D3" s="3"/>
    </row>
    <row r="4" spans="1:4" ht="16.5" x14ac:dyDescent="0.25">
      <c r="B4" s="15"/>
      <c r="C4" s="16"/>
    </row>
    <row r="7" spans="1:4" ht="15.75" x14ac:dyDescent="0.25">
      <c r="B7" s="2"/>
      <c r="C7" s="2"/>
    </row>
    <row r="8" spans="1:4" ht="15.75" x14ac:dyDescent="0.25">
      <c r="A8" s="2"/>
      <c r="B8" s="1616" t="s">
        <v>2</v>
      </c>
      <c r="C8" s="1617" t="s">
        <v>2</v>
      </c>
      <c r="D8" s="1618"/>
    </row>
    <row r="9" spans="1:4" ht="15.75" x14ac:dyDescent="0.25">
      <c r="A9" s="2"/>
      <c r="B9" s="2"/>
      <c r="C9" s="2"/>
      <c r="D9" s="2"/>
    </row>
    <row r="10" spans="1:4" ht="18.75" x14ac:dyDescent="0.3">
      <c r="A10" s="2"/>
      <c r="B10" s="1614" t="s">
        <v>6</v>
      </c>
      <c r="C10" s="1614"/>
      <c r="D10" s="1614"/>
    </row>
    <row r="11" spans="1:4" ht="15.75" x14ac:dyDescent="0.25">
      <c r="A11" s="2"/>
      <c r="B11" s="2"/>
      <c r="C11" s="2"/>
      <c r="D11" s="2"/>
    </row>
    <row r="12" spans="1:4" ht="15.75" x14ac:dyDescent="0.25">
      <c r="A12" s="2"/>
      <c r="B12" s="1615" t="s">
        <v>7</v>
      </c>
      <c r="C12" s="1615"/>
      <c r="D12" s="1615"/>
    </row>
    <row r="13" spans="1:4" ht="15.75" x14ac:dyDescent="0.25">
      <c r="A13" s="2"/>
      <c r="B13" s="5" t="s">
        <v>0</v>
      </c>
      <c r="C13" s="4" t="s">
        <v>4</v>
      </c>
      <c r="D13" s="4" t="s">
        <v>3</v>
      </c>
    </row>
    <row r="14" spans="1:4" x14ac:dyDescent="0.25">
      <c r="B14" s="17">
        <v>1</v>
      </c>
      <c r="C14" s="13" t="s">
        <v>8</v>
      </c>
      <c r="D14" s="18" t="s">
        <v>9</v>
      </c>
    </row>
    <row r="15" spans="1:4" x14ac:dyDescent="0.25">
      <c r="B15" s="19">
        <v>2</v>
      </c>
      <c r="C15" s="13" t="s">
        <v>10</v>
      </c>
      <c r="D15" s="20" t="s">
        <v>11</v>
      </c>
    </row>
    <row r="16" spans="1:4" x14ac:dyDescent="0.25">
      <c r="B16" s="21">
        <v>3</v>
      </c>
      <c r="C16" s="13" t="s">
        <v>12</v>
      </c>
      <c r="D16" s="22" t="s">
        <v>13</v>
      </c>
    </row>
    <row r="17" spans="1:4" x14ac:dyDescent="0.25">
      <c r="B17" s="23">
        <v>4</v>
      </c>
      <c r="C17" s="13" t="s">
        <v>14</v>
      </c>
      <c r="D17" s="24" t="s">
        <v>15</v>
      </c>
    </row>
    <row r="18" spans="1:4" x14ac:dyDescent="0.25">
      <c r="B18" s="25">
        <v>5</v>
      </c>
      <c r="C18" s="13" t="s">
        <v>16</v>
      </c>
      <c r="D18" s="26" t="s">
        <v>17</v>
      </c>
    </row>
    <row r="19" spans="1:4" x14ac:dyDescent="0.25">
      <c r="B19" s="27">
        <v>6</v>
      </c>
      <c r="C19" s="13" t="s">
        <v>18</v>
      </c>
      <c r="D19" s="28" t="s">
        <v>19</v>
      </c>
    </row>
    <row r="20" spans="1:4" x14ac:dyDescent="0.25">
      <c r="B20" s="29">
        <v>7</v>
      </c>
      <c r="C20" s="13" t="s">
        <v>20</v>
      </c>
      <c r="D20" s="30" t="s">
        <v>21</v>
      </c>
    </row>
    <row r="21" spans="1:4" x14ac:dyDescent="0.25">
      <c r="B21" s="31">
        <v>8</v>
      </c>
      <c r="C21" s="13" t="s">
        <v>22</v>
      </c>
      <c r="D21" s="32" t="s">
        <v>23</v>
      </c>
    </row>
    <row r="23" spans="1:4" ht="15.75" x14ac:dyDescent="0.25">
      <c r="A23" s="2"/>
      <c r="B23" s="10" t="s">
        <v>1</v>
      </c>
      <c r="C23" s="7"/>
    </row>
    <row r="24" spans="1:4" ht="90" x14ac:dyDescent="0.25">
      <c r="B24" s="33" t="s">
        <v>24</v>
      </c>
    </row>
    <row r="25" spans="1:4" x14ac:dyDescent="0.25">
      <c r="A25" s="8"/>
      <c r="B25" s="8"/>
      <c r="C25" s="8"/>
      <c r="D25" s="8"/>
    </row>
    <row r="26" spans="1:4" ht="30" x14ac:dyDescent="0.25">
      <c r="A26" s="8"/>
      <c r="B26" s="8"/>
      <c r="C26" s="8"/>
      <c r="D26" s="8" t="s">
        <v>765</v>
      </c>
    </row>
    <row r="27" spans="1:4" x14ac:dyDescent="0.25">
      <c r="A27" s="8"/>
      <c r="B27" s="14" t="s">
        <v>25</v>
      </c>
      <c r="C27" s="14" t="s">
        <v>26</v>
      </c>
      <c r="D27" s="14" t="s">
        <v>27</v>
      </c>
    </row>
    <row r="28" spans="1:4" x14ac:dyDescent="0.25">
      <c r="A28" s="8"/>
      <c r="B28" s="8" t="s">
        <v>28</v>
      </c>
      <c r="C28" s="8" t="s">
        <v>28</v>
      </c>
      <c r="D28" s="8" t="s">
        <v>29</v>
      </c>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sheetData>
  <mergeCells count="3">
    <mergeCell ref="B10:D10"/>
    <mergeCell ref="B12:D12"/>
    <mergeCell ref="B8:D8"/>
  </mergeCells>
  <hyperlinks>
    <hyperlink ref="D14" location="'BCTCR_06608'!A1" display="BCTCR_06608" xr:uid="{00000000-0004-0000-0000-000000000000}"/>
    <hyperlink ref="D15" location="'CCTTCR_06609'!A1" display="CCTTCR_06609" xr:uid="{00000000-0004-0000-0000-000001000000}"/>
    <hyperlink ref="D16" location="'BCKQHDR_06610'!A1" display="BCKQHDR_06610" xr:uid="{00000000-0004-0000-0000-000002000000}"/>
    <hyperlink ref="D17" location="'BCLCTTRTT_06611'!A1" display="BCLCTTRTT_06611" xr:uid="{00000000-0004-0000-0000-000003000000}"/>
    <hyperlink ref="D18" location="'PLCTTHDMGUTCKHTT_06612'!A1" display="PLCTTHDMGUTCKHTT_06612" xr:uid="{00000000-0004-0000-0000-000004000000}"/>
    <hyperlink ref="D19" location="'BCLCTTRGT_06613'!A1" display="BCLCTTRGT_06613" xr:uid="{00000000-0004-0000-0000-000005000000}"/>
    <hyperlink ref="D20" location="'PLCTTHDMGUTCKHGT_06614'!A1" display="PLCTTHDMGUTCKHGT_06614" xr:uid="{00000000-0004-0000-0000-000006000000}"/>
    <hyperlink ref="D21" location="'BCTHBDVCSH_06615'!A1" display="BCTHBDVCSH_06615" xr:uid="{00000000-0004-0000-0000-000007000000}"/>
  </hyperlink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6.42578125" bestFit="1" customWidth="1"/>
  </cols>
  <sheetData>
    <row r="1" spans="1:1" ht="16.5" x14ac:dyDescent="0.25">
      <c r="A1" s="12">
        <v>3491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7"/>
  <sheetViews>
    <sheetView zoomScale="90" zoomScaleNormal="90" workbookViewId="0">
      <selection activeCell="F9" sqref="F9"/>
    </sheetView>
  </sheetViews>
  <sheetFormatPr defaultRowHeight="15" x14ac:dyDescent="0.25"/>
  <cols>
    <col min="1" max="1" width="31.28515625" bestFit="1" customWidth="1"/>
    <col min="2" max="2" width="12.85546875" bestFit="1" customWidth="1"/>
    <col min="3" max="3" width="16.7109375" bestFit="1" customWidth="1"/>
    <col min="4" max="5" width="21.5703125" customWidth="1"/>
  </cols>
  <sheetData>
    <row r="1" spans="1:5" ht="20.25" x14ac:dyDescent="0.3">
      <c r="A1" s="1619" t="s">
        <v>8</v>
      </c>
      <c r="B1" s="1619" t="s">
        <v>5</v>
      </c>
      <c r="C1" s="1619" t="s">
        <v>5</v>
      </c>
      <c r="D1" s="1619" t="s">
        <v>5</v>
      </c>
      <c r="E1" s="1619" t="s">
        <v>5</v>
      </c>
    </row>
    <row r="2" spans="1:5" ht="18.75" x14ac:dyDescent="0.3">
      <c r="A2" s="1620" t="s">
        <v>766</v>
      </c>
      <c r="B2" s="1620" t="s">
        <v>5</v>
      </c>
      <c r="C2" s="1620" t="s">
        <v>5</v>
      </c>
      <c r="D2" s="1620" t="s">
        <v>5</v>
      </c>
      <c r="E2" s="1620" t="s">
        <v>5</v>
      </c>
    </row>
    <row r="3" spans="1:5" ht="18.75" x14ac:dyDescent="0.3">
      <c r="A3" s="1620" t="s">
        <v>35</v>
      </c>
      <c r="B3" s="1620" t="s">
        <v>5</v>
      </c>
      <c r="C3" s="1620" t="s">
        <v>5</v>
      </c>
      <c r="D3" s="1620" t="s">
        <v>5</v>
      </c>
      <c r="E3" s="1620" t="s">
        <v>5</v>
      </c>
    </row>
    <row r="4" spans="1:5" ht="18.75" x14ac:dyDescent="0.25">
      <c r="A4" s="35" t="s">
        <v>30</v>
      </c>
      <c r="B4" s="35" t="s">
        <v>31</v>
      </c>
      <c r="C4" s="35" t="s">
        <v>32</v>
      </c>
      <c r="D4" s="35" t="s">
        <v>33</v>
      </c>
      <c r="E4" s="35" t="s">
        <v>34</v>
      </c>
    </row>
    <row r="5" spans="1:5" ht="16.5" x14ac:dyDescent="0.25">
      <c r="A5" s="47" t="s">
        <v>39</v>
      </c>
      <c r="B5" s="129" t="s">
        <v>114</v>
      </c>
      <c r="C5" s="87" t="s">
        <v>79</v>
      </c>
      <c r="D5" s="354" t="s">
        <v>223</v>
      </c>
      <c r="E5" s="88" t="s">
        <v>80</v>
      </c>
    </row>
    <row r="6" spans="1:5" ht="16.5" x14ac:dyDescent="0.25">
      <c r="A6" s="287" t="s">
        <v>210</v>
      </c>
      <c r="B6" s="34" t="s">
        <v>5</v>
      </c>
      <c r="C6" s="366"/>
      <c r="D6" s="133" t="s">
        <v>5</v>
      </c>
      <c r="E6" s="417" t="s">
        <v>5</v>
      </c>
    </row>
    <row r="7" spans="1:5" ht="33" x14ac:dyDescent="0.25">
      <c r="A7" s="196" t="s">
        <v>128</v>
      </c>
      <c r="B7" s="380" t="s">
        <v>244</v>
      </c>
      <c r="C7" s="333"/>
      <c r="D7" s="1636">
        <v>2024578375841</v>
      </c>
      <c r="E7" s="1637">
        <v>2298087722425</v>
      </c>
    </row>
    <row r="8" spans="1:5" ht="16.5" x14ac:dyDescent="0.25">
      <c r="A8" s="229" t="s">
        <v>159</v>
      </c>
      <c r="B8" s="123" t="s">
        <v>108</v>
      </c>
      <c r="C8" s="134"/>
      <c r="D8" s="1638">
        <v>2021476460458</v>
      </c>
      <c r="E8" s="1639">
        <v>2296016292341</v>
      </c>
    </row>
    <row r="9" spans="1:5" ht="33" x14ac:dyDescent="0.25">
      <c r="A9" s="197" t="s">
        <v>129</v>
      </c>
      <c r="B9" s="381" t="s">
        <v>245</v>
      </c>
      <c r="C9" s="344"/>
      <c r="D9" s="1640">
        <v>77122788022</v>
      </c>
      <c r="E9" s="1641">
        <v>138223648674</v>
      </c>
    </row>
    <row r="10" spans="1:5" ht="16.5" x14ac:dyDescent="0.25">
      <c r="A10" s="230" t="s">
        <v>160</v>
      </c>
      <c r="B10" s="91" t="s">
        <v>83</v>
      </c>
      <c r="C10" s="135"/>
      <c r="D10" s="1642">
        <v>77122788022</v>
      </c>
      <c r="E10" s="1643">
        <v>138223648674</v>
      </c>
    </row>
    <row r="11" spans="1:5" ht="33" x14ac:dyDescent="0.25">
      <c r="A11" s="210" t="s">
        <v>142</v>
      </c>
      <c r="B11" s="112" t="s">
        <v>97</v>
      </c>
      <c r="C11" s="300"/>
      <c r="D11" s="1665" t="s">
        <v>5</v>
      </c>
      <c r="E11" s="1666" t="s">
        <v>5</v>
      </c>
    </row>
    <row r="12" spans="1:5" ht="33" x14ac:dyDescent="0.25">
      <c r="A12" s="231" t="s">
        <v>161</v>
      </c>
      <c r="B12" s="261" t="s">
        <v>187</v>
      </c>
      <c r="C12" s="136"/>
      <c r="D12" s="1644">
        <v>1334826549320</v>
      </c>
      <c r="E12" s="1645">
        <v>914319864860</v>
      </c>
    </row>
    <row r="13" spans="1:5" ht="33" x14ac:dyDescent="0.25">
      <c r="A13" s="198" t="s">
        <v>130</v>
      </c>
      <c r="B13" s="382" t="s">
        <v>246</v>
      </c>
      <c r="C13" s="345"/>
      <c r="D13" s="1667" t="s">
        <v>5</v>
      </c>
      <c r="E13" s="1668" t="s">
        <v>5</v>
      </c>
    </row>
    <row r="14" spans="1:5" ht="16.5" x14ac:dyDescent="0.25">
      <c r="A14" s="199" t="s">
        <v>131</v>
      </c>
      <c r="B14" s="186" t="s">
        <v>118</v>
      </c>
      <c r="C14" s="346"/>
      <c r="D14" s="1669">
        <v>84399330532</v>
      </c>
      <c r="E14" s="1670">
        <v>92390058256</v>
      </c>
    </row>
    <row r="15" spans="1:5" ht="33" x14ac:dyDescent="0.25">
      <c r="A15" s="232" t="s">
        <v>162</v>
      </c>
      <c r="B15" s="113" t="s">
        <v>98</v>
      </c>
      <c r="C15" s="137"/>
      <c r="D15" s="1671">
        <v>30310000000</v>
      </c>
      <c r="E15" s="1672">
        <v>30310000000</v>
      </c>
    </row>
    <row r="16" spans="1:5" ht="66" x14ac:dyDescent="0.25">
      <c r="A16" s="200" t="s">
        <v>132</v>
      </c>
      <c r="B16" s="92" t="s">
        <v>84</v>
      </c>
      <c r="C16" s="347"/>
      <c r="D16" s="1673">
        <v>-26145575047</v>
      </c>
      <c r="E16" s="1674">
        <v>-25460285612</v>
      </c>
    </row>
    <row r="17" spans="1:5" ht="16.5" x14ac:dyDescent="0.25">
      <c r="A17" s="233" t="s">
        <v>163</v>
      </c>
      <c r="B17" s="187" t="s">
        <v>119</v>
      </c>
      <c r="C17" s="138"/>
      <c r="D17" s="1675">
        <v>518870022775</v>
      </c>
      <c r="E17" s="1676">
        <v>1144200622703</v>
      </c>
    </row>
    <row r="18" spans="1:5" ht="33" x14ac:dyDescent="0.25">
      <c r="A18" s="234" t="s">
        <v>164</v>
      </c>
      <c r="B18" s="93" t="s">
        <v>85</v>
      </c>
      <c r="C18" s="139"/>
      <c r="D18" s="1677">
        <v>518870022775</v>
      </c>
      <c r="E18" s="1678">
        <v>1144200622703</v>
      </c>
    </row>
    <row r="19" spans="1:5" ht="49.5" x14ac:dyDescent="0.25">
      <c r="A19" s="48" t="s">
        <v>40</v>
      </c>
      <c r="B19" s="95" t="s">
        <v>87</v>
      </c>
      <c r="C19" s="348"/>
      <c r="D19" s="1679" t="s">
        <v>5</v>
      </c>
      <c r="E19" s="1680" t="s">
        <v>5</v>
      </c>
    </row>
    <row r="20" spans="1:5" ht="33" x14ac:dyDescent="0.25">
      <c r="A20" s="201" t="s">
        <v>133</v>
      </c>
      <c r="B20" s="114" t="s">
        <v>99</v>
      </c>
      <c r="C20" s="301"/>
      <c r="D20" s="1681" t="s">
        <v>5</v>
      </c>
      <c r="E20" s="1682" t="s">
        <v>5</v>
      </c>
    </row>
    <row r="21" spans="1:5" ht="33" x14ac:dyDescent="0.25">
      <c r="A21" s="211" t="s">
        <v>143</v>
      </c>
      <c r="B21" s="383" t="s">
        <v>247</v>
      </c>
      <c r="C21" s="349"/>
      <c r="D21" s="1683" t="s">
        <v>5</v>
      </c>
      <c r="E21" s="1684" t="s">
        <v>5</v>
      </c>
    </row>
    <row r="22" spans="1:5" ht="16.5" x14ac:dyDescent="0.25">
      <c r="A22" s="49" t="s">
        <v>41</v>
      </c>
      <c r="B22" s="279" t="s">
        <v>202</v>
      </c>
      <c r="C22" s="350"/>
      <c r="D22" s="1646">
        <v>2689000000</v>
      </c>
      <c r="E22" s="1647">
        <v>2689000000</v>
      </c>
    </row>
    <row r="23" spans="1:5" ht="33" x14ac:dyDescent="0.25">
      <c r="A23" s="235" t="s">
        <v>165</v>
      </c>
      <c r="B23" s="115" t="s">
        <v>100</v>
      </c>
      <c r="C23" s="337"/>
      <c r="D23" s="1648">
        <v>1986027536</v>
      </c>
      <c r="E23" s="1649">
        <v>1975704277</v>
      </c>
    </row>
    <row r="24" spans="1:5" ht="16.5" x14ac:dyDescent="0.25">
      <c r="A24" s="212" t="s">
        <v>144</v>
      </c>
      <c r="B24" s="280" t="s">
        <v>203</v>
      </c>
      <c r="C24" s="351"/>
      <c r="D24" s="1685" t="s">
        <v>5</v>
      </c>
      <c r="E24" s="1686" t="s">
        <v>5</v>
      </c>
    </row>
    <row r="25" spans="1:5" ht="33" x14ac:dyDescent="0.25">
      <c r="A25" s="236" t="s">
        <v>166</v>
      </c>
      <c r="B25" s="281" t="s">
        <v>204</v>
      </c>
      <c r="C25" s="140"/>
      <c r="D25" s="1687" t="s">
        <v>5</v>
      </c>
      <c r="E25" s="1688" t="s">
        <v>5</v>
      </c>
    </row>
    <row r="26" spans="1:5" ht="16.5" x14ac:dyDescent="0.25">
      <c r="A26" s="202" t="s">
        <v>134</v>
      </c>
      <c r="B26" s="188" t="s">
        <v>120</v>
      </c>
      <c r="C26" s="352"/>
      <c r="D26" s="1689">
        <v>1731317320</v>
      </c>
      <c r="E26" s="1690">
        <v>1680679183</v>
      </c>
    </row>
    <row r="27" spans="1:5" ht="33" x14ac:dyDescent="0.25">
      <c r="A27" s="50" t="s">
        <v>42</v>
      </c>
      <c r="B27" s="189" t="s">
        <v>121</v>
      </c>
      <c r="C27" s="353"/>
      <c r="D27" s="1691">
        <v>-4313000000</v>
      </c>
      <c r="E27" s="1692">
        <v>-4313000000</v>
      </c>
    </row>
    <row r="28" spans="1:5" ht="16.5" x14ac:dyDescent="0.25">
      <c r="A28" s="51" t="s">
        <v>43</v>
      </c>
      <c r="B28" s="89" t="s">
        <v>81</v>
      </c>
      <c r="C28" s="302"/>
      <c r="D28" s="1693">
        <v>3101915383</v>
      </c>
      <c r="E28" s="1694">
        <v>2071430084</v>
      </c>
    </row>
    <row r="29" spans="1:5" ht="16.5" x14ac:dyDescent="0.25">
      <c r="A29" s="213" t="s">
        <v>145</v>
      </c>
      <c r="B29" s="96" t="s">
        <v>88</v>
      </c>
      <c r="C29" s="132"/>
      <c r="D29" s="1695">
        <v>973976486</v>
      </c>
      <c r="E29" s="1696">
        <v>20103478</v>
      </c>
    </row>
    <row r="30" spans="1:5" ht="33" x14ac:dyDescent="0.25">
      <c r="A30" s="214" t="s">
        <v>146</v>
      </c>
      <c r="B30" s="384" t="s">
        <v>248</v>
      </c>
      <c r="C30" s="153"/>
      <c r="D30" s="1697" t="s">
        <v>5</v>
      </c>
      <c r="E30" s="1698" t="s">
        <v>5</v>
      </c>
    </row>
    <row r="31" spans="1:5" ht="16.5" x14ac:dyDescent="0.25">
      <c r="A31" s="283" t="s">
        <v>206</v>
      </c>
      <c r="B31" s="116" t="s">
        <v>101</v>
      </c>
      <c r="C31" s="303"/>
      <c r="D31" s="1650">
        <v>1527986810</v>
      </c>
      <c r="E31" s="1651">
        <v>1451374519</v>
      </c>
    </row>
    <row r="32" spans="1:5" ht="33" x14ac:dyDescent="0.25">
      <c r="A32" s="111" t="s">
        <v>96</v>
      </c>
      <c r="B32" s="190" t="s">
        <v>122</v>
      </c>
      <c r="C32" s="299"/>
      <c r="D32" s="1699" t="s">
        <v>5</v>
      </c>
      <c r="E32" s="1700" t="s">
        <v>5</v>
      </c>
    </row>
    <row r="33" spans="1:5" ht="33" x14ac:dyDescent="0.25">
      <c r="A33" s="215" t="s">
        <v>147</v>
      </c>
      <c r="B33" s="385" t="s">
        <v>249</v>
      </c>
      <c r="C33" s="154"/>
      <c r="D33" s="1701" t="s">
        <v>5</v>
      </c>
      <c r="E33" s="1702" t="s">
        <v>5</v>
      </c>
    </row>
    <row r="34" spans="1:5" ht="33" x14ac:dyDescent="0.25">
      <c r="A34" s="203" t="s">
        <v>135</v>
      </c>
      <c r="B34" s="282" t="s">
        <v>205</v>
      </c>
      <c r="C34" s="155"/>
      <c r="D34" s="1652">
        <v>599952087</v>
      </c>
      <c r="E34" s="1653">
        <v>599952087</v>
      </c>
    </row>
    <row r="35" spans="1:5" ht="16.5" x14ac:dyDescent="0.25">
      <c r="A35" s="216" t="s">
        <v>148</v>
      </c>
      <c r="B35" s="386" t="s">
        <v>250</v>
      </c>
      <c r="C35" s="156"/>
      <c r="D35" s="1703" t="s">
        <v>5</v>
      </c>
      <c r="E35" s="1704" t="s">
        <v>5</v>
      </c>
    </row>
    <row r="36" spans="1:5" ht="33" x14ac:dyDescent="0.25">
      <c r="A36" s="204" t="s">
        <v>136</v>
      </c>
      <c r="B36" s="97" t="s">
        <v>89</v>
      </c>
      <c r="C36" s="157"/>
      <c r="D36" s="1705" t="s">
        <v>5</v>
      </c>
      <c r="E36" s="1706" t="s">
        <v>5</v>
      </c>
    </row>
    <row r="37" spans="1:5" ht="33" x14ac:dyDescent="0.25">
      <c r="A37" s="284" t="s">
        <v>207</v>
      </c>
      <c r="B37" s="117" t="s">
        <v>102</v>
      </c>
      <c r="C37" s="305"/>
      <c r="D37" s="1707" t="s">
        <v>5</v>
      </c>
      <c r="E37" s="1708" t="s">
        <v>5</v>
      </c>
    </row>
    <row r="38" spans="1:5" ht="49.5" x14ac:dyDescent="0.25">
      <c r="A38" s="237" t="s">
        <v>167</v>
      </c>
      <c r="B38" s="98" t="s">
        <v>90</v>
      </c>
      <c r="C38" s="141"/>
      <c r="D38" s="1654">
        <v>80081119041</v>
      </c>
      <c r="E38" s="1655">
        <v>49460780740</v>
      </c>
    </row>
    <row r="39" spans="1:5" ht="16.5" x14ac:dyDescent="0.25">
      <c r="A39" s="205" t="s">
        <v>137</v>
      </c>
      <c r="B39" s="99" t="s">
        <v>91</v>
      </c>
      <c r="C39" s="255"/>
      <c r="D39" s="1709" t="s">
        <v>5</v>
      </c>
      <c r="E39" s="1710" t="s">
        <v>5</v>
      </c>
    </row>
    <row r="40" spans="1:5" ht="16.5" x14ac:dyDescent="0.25">
      <c r="A40" s="286" t="s">
        <v>209</v>
      </c>
      <c r="B40" s="118" t="s">
        <v>103</v>
      </c>
      <c r="C40" s="306"/>
      <c r="D40" s="1711" t="s">
        <v>5</v>
      </c>
      <c r="E40" s="1712" t="s">
        <v>5</v>
      </c>
    </row>
    <row r="41" spans="1:5" ht="16.5" x14ac:dyDescent="0.25">
      <c r="A41" s="206" t="s">
        <v>138</v>
      </c>
      <c r="B41" s="124" t="s">
        <v>109</v>
      </c>
      <c r="C41" s="158"/>
      <c r="D41" s="1713" t="s">
        <v>5</v>
      </c>
      <c r="E41" s="1714" t="s">
        <v>5</v>
      </c>
    </row>
    <row r="42" spans="1:5" ht="33" x14ac:dyDescent="0.25">
      <c r="A42" s="285" t="s">
        <v>208</v>
      </c>
      <c r="B42" s="415" t="s">
        <v>278</v>
      </c>
      <c r="C42" s="334"/>
      <c r="D42" s="1715" t="s">
        <v>5</v>
      </c>
      <c r="E42" s="1716" t="s">
        <v>5</v>
      </c>
    </row>
    <row r="43" spans="1:5" ht="16.5" x14ac:dyDescent="0.25">
      <c r="A43" s="217" t="s">
        <v>149</v>
      </c>
      <c r="B43" s="416" t="s">
        <v>279</v>
      </c>
      <c r="C43" s="159"/>
      <c r="D43" s="1717" t="s">
        <v>5</v>
      </c>
      <c r="E43" s="1718" t="s">
        <v>5</v>
      </c>
    </row>
    <row r="44" spans="1:5" ht="33" x14ac:dyDescent="0.25">
      <c r="A44" s="238" t="s">
        <v>168</v>
      </c>
      <c r="B44" s="268" t="s">
        <v>193</v>
      </c>
      <c r="C44" s="142"/>
      <c r="D44" s="1719" t="s">
        <v>5</v>
      </c>
      <c r="E44" s="1720" t="s">
        <v>5</v>
      </c>
    </row>
    <row r="45" spans="1:5" ht="16.5" x14ac:dyDescent="0.25">
      <c r="A45" s="101" t="s">
        <v>93</v>
      </c>
      <c r="B45" s="387" t="s">
        <v>251</v>
      </c>
      <c r="C45" s="335"/>
      <c r="D45" s="1721" t="s">
        <v>5</v>
      </c>
      <c r="E45" s="1722" t="s">
        <v>5</v>
      </c>
    </row>
    <row r="46" spans="1:5" ht="33" x14ac:dyDescent="0.25">
      <c r="A46" s="272" t="s">
        <v>195</v>
      </c>
      <c r="B46" s="191" t="s">
        <v>123</v>
      </c>
      <c r="C46" s="336"/>
      <c r="D46" s="1723" t="s">
        <v>5</v>
      </c>
      <c r="E46" s="1724" t="s">
        <v>5</v>
      </c>
    </row>
    <row r="47" spans="1:5" ht="16.5" x14ac:dyDescent="0.25">
      <c r="A47" s="273" t="s">
        <v>196</v>
      </c>
      <c r="B47" s="432" t="s">
        <v>293</v>
      </c>
      <c r="C47" s="338"/>
      <c r="D47" s="1725">
        <v>19234679101</v>
      </c>
      <c r="E47" s="1726">
        <v>22204398044</v>
      </c>
    </row>
    <row r="48" spans="1:5" ht="16.5" x14ac:dyDescent="0.25">
      <c r="A48" s="207" t="s">
        <v>139</v>
      </c>
      <c r="B48" s="90" t="s">
        <v>82</v>
      </c>
      <c r="C48" s="160"/>
      <c r="D48" s="1727">
        <v>13010865253</v>
      </c>
      <c r="E48" s="1728">
        <v>15475885635</v>
      </c>
    </row>
    <row r="49" spans="1:5" ht="16.5" x14ac:dyDescent="0.25">
      <c r="A49" s="246" t="s">
        <v>170</v>
      </c>
      <c r="B49" s="433" t="s">
        <v>294</v>
      </c>
      <c r="C49" s="161"/>
      <c r="D49" s="1729">
        <v>39793908991</v>
      </c>
      <c r="E49" s="1730">
        <v>41828931671</v>
      </c>
    </row>
    <row r="50" spans="1:5" ht="16.5" x14ac:dyDescent="0.25">
      <c r="A50" s="218" t="s">
        <v>150</v>
      </c>
      <c r="B50" s="434" t="s">
        <v>295</v>
      </c>
      <c r="C50" s="162"/>
      <c r="D50" s="1731">
        <v>-26783043738</v>
      </c>
      <c r="E50" s="1732">
        <v>-26353046036</v>
      </c>
    </row>
    <row r="51" spans="1:5" ht="33" x14ac:dyDescent="0.25">
      <c r="A51" s="219" t="s">
        <v>151</v>
      </c>
      <c r="B51" s="435" t="s">
        <v>296</v>
      </c>
      <c r="C51" s="163"/>
      <c r="D51" s="1733" t="s">
        <v>5</v>
      </c>
      <c r="E51" s="1734" t="s">
        <v>5</v>
      </c>
    </row>
    <row r="52" spans="1:5" ht="33" x14ac:dyDescent="0.25">
      <c r="A52" s="239" t="s">
        <v>169</v>
      </c>
      <c r="B52" s="436" t="s">
        <v>297</v>
      </c>
      <c r="C52" s="143"/>
      <c r="D52" s="1735" t="s">
        <v>5</v>
      </c>
      <c r="E52" s="1736" t="s">
        <v>5</v>
      </c>
    </row>
    <row r="53" spans="1:5" ht="16.5" x14ac:dyDescent="0.25">
      <c r="A53" s="240" t="s">
        <v>170</v>
      </c>
      <c r="B53" s="119" t="s">
        <v>104</v>
      </c>
      <c r="C53" s="144"/>
      <c r="D53" s="1737" t="s">
        <v>5</v>
      </c>
      <c r="E53" s="1738" t="s">
        <v>5</v>
      </c>
    </row>
    <row r="54" spans="1:5" ht="16.5" x14ac:dyDescent="0.25">
      <c r="A54" s="265" t="s">
        <v>150</v>
      </c>
      <c r="B54" s="36" t="s">
        <v>36</v>
      </c>
      <c r="C54" s="164"/>
      <c r="D54" s="1739" t="s">
        <v>5</v>
      </c>
      <c r="E54" s="1740" t="s">
        <v>5</v>
      </c>
    </row>
    <row r="55" spans="1:5" ht="33" x14ac:dyDescent="0.25">
      <c r="A55" s="241" t="s">
        <v>171</v>
      </c>
      <c r="B55" s="388" t="s">
        <v>252</v>
      </c>
      <c r="C55" s="145"/>
      <c r="D55" s="1741" t="s">
        <v>5</v>
      </c>
      <c r="E55" s="1742" t="s">
        <v>5</v>
      </c>
    </row>
    <row r="56" spans="1:5" ht="16.5" x14ac:dyDescent="0.25">
      <c r="A56" s="242" t="s">
        <v>172</v>
      </c>
      <c r="B56" s="418" t="s">
        <v>280</v>
      </c>
      <c r="C56" s="146"/>
      <c r="D56" s="1743">
        <v>6223813848</v>
      </c>
      <c r="E56" s="1744">
        <v>6728512409</v>
      </c>
    </row>
    <row r="57" spans="1:5" ht="16.5" x14ac:dyDescent="0.25">
      <c r="A57" s="243" t="s">
        <v>173</v>
      </c>
      <c r="B57" s="37" t="s">
        <v>37</v>
      </c>
      <c r="C57" s="147"/>
      <c r="D57" s="1745">
        <v>25385008497</v>
      </c>
      <c r="E57" s="1746">
        <v>25385008497</v>
      </c>
    </row>
    <row r="58" spans="1:5" ht="16.5" x14ac:dyDescent="0.25">
      <c r="A58" s="427" t="s">
        <v>152</v>
      </c>
      <c r="B58" s="389" t="s">
        <v>253</v>
      </c>
      <c r="C58" s="165"/>
      <c r="D58" s="1747">
        <v>-19161194649</v>
      </c>
      <c r="E58" s="1748">
        <v>-18656496088</v>
      </c>
    </row>
    <row r="59" spans="1:5" ht="33" x14ac:dyDescent="0.25">
      <c r="A59" s="247" t="s">
        <v>175</v>
      </c>
      <c r="B59" s="53" t="s">
        <v>45</v>
      </c>
      <c r="C59" s="166"/>
      <c r="D59" s="1749" t="s">
        <v>5</v>
      </c>
      <c r="E59" s="1750" t="s">
        <v>5</v>
      </c>
    </row>
    <row r="60" spans="1:5" ht="16.5" x14ac:dyDescent="0.25">
      <c r="A60" s="274" t="s">
        <v>197</v>
      </c>
      <c r="B60" s="54" t="s">
        <v>46</v>
      </c>
      <c r="C60" s="339"/>
      <c r="D60" s="1751" t="s">
        <v>5</v>
      </c>
      <c r="E60" s="1752" t="s">
        <v>5</v>
      </c>
    </row>
    <row r="61" spans="1:5" ht="16.5" x14ac:dyDescent="0.25">
      <c r="A61" s="244" t="s">
        <v>173</v>
      </c>
      <c r="B61" s="390" t="s">
        <v>254</v>
      </c>
      <c r="C61" s="148"/>
      <c r="D61" s="1753" t="s">
        <v>5</v>
      </c>
      <c r="E61" s="1754" t="s">
        <v>5</v>
      </c>
    </row>
    <row r="62" spans="1:5" ht="16.5" x14ac:dyDescent="0.25">
      <c r="A62" s="220" t="s">
        <v>152</v>
      </c>
      <c r="B62" s="55" t="s">
        <v>47</v>
      </c>
      <c r="C62" s="167"/>
      <c r="D62" s="1755" t="s">
        <v>5</v>
      </c>
      <c r="E62" s="1756" t="s">
        <v>5</v>
      </c>
    </row>
    <row r="63" spans="1:5" ht="33" x14ac:dyDescent="0.25">
      <c r="A63" s="275" t="s">
        <v>198</v>
      </c>
      <c r="B63" s="391" t="s">
        <v>255</v>
      </c>
      <c r="C63" s="340"/>
      <c r="D63" s="1757" t="s">
        <v>5</v>
      </c>
      <c r="E63" s="1758" t="s">
        <v>5</v>
      </c>
    </row>
    <row r="64" spans="1:5" ht="33" x14ac:dyDescent="0.25">
      <c r="A64" s="245" t="s">
        <v>174</v>
      </c>
      <c r="B64" s="120" t="s">
        <v>105</v>
      </c>
      <c r="C64" s="149"/>
      <c r="D64" s="1759" t="s">
        <v>5</v>
      </c>
      <c r="E64" s="1760" t="s">
        <v>5</v>
      </c>
    </row>
    <row r="65" spans="1:5" ht="16.5" x14ac:dyDescent="0.25">
      <c r="A65" s="276" t="s">
        <v>199</v>
      </c>
      <c r="B65" s="419" t="s">
        <v>281</v>
      </c>
      <c r="C65" s="341"/>
      <c r="D65" s="1761">
        <v>60846439940</v>
      </c>
      <c r="E65" s="1762">
        <v>27256382696</v>
      </c>
    </row>
    <row r="66" spans="1:5" ht="33" x14ac:dyDescent="0.25">
      <c r="A66" s="185" t="s">
        <v>117</v>
      </c>
      <c r="B66" s="56" t="s">
        <v>48</v>
      </c>
      <c r="C66" s="150"/>
      <c r="D66" s="1763">
        <v>2545039400</v>
      </c>
      <c r="E66" s="1764">
        <v>2545039400</v>
      </c>
    </row>
    <row r="67" spans="1:5" ht="16.5" x14ac:dyDescent="0.25">
      <c r="A67" s="224" t="s">
        <v>154</v>
      </c>
      <c r="B67" s="392" t="s">
        <v>256</v>
      </c>
      <c r="C67" s="168"/>
      <c r="D67" s="1765">
        <v>3646211635</v>
      </c>
      <c r="E67" s="1766">
        <v>3847240756</v>
      </c>
    </row>
    <row r="68" spans="1:5" ht="33" x14ac:dyDescent="0.25">
      <c r="A68" s="257" t="s">
        <v>183</v>
      </c>
      <c r="B68" s="57" t="s">
        <v>49</v>
      </c>
      <c r="C68" s="169"/>
      <c r="D68" s="1767">
        <v>34655188905</v>
      </c>
      <c r="E68" s="1768">
        <v>0</v>
      </c>
    </row>
    <row r="69" spans="1:5" ht="33" x14ac:dyDescent="0.25">
      <c r="A69" s="225" t="s">
        <v>155</v>
      </c>
      <c r="B69" s="58" t="s">
        <v>50</v>
      </c>
      <c r="C69" s="170"/>
      <c r="D69" s="1769">
        <v>20000000000</v>
      </c>
      <c r="E69" s="1770">
        <v>20864102540</v>
      </c>
    </row>
    <row r="70" spans="1:5" ht="16.5" x14ac:dyDescent="0.25">
      <c r="A70" s="248" t="s">
        <v>176</v>
      </c>
      <c r="B70" s="420" t="s">
        <v>282</v>
      </c>
      <c r="C70" s="171"/>
      <c r="D70" s="1771" t="s">
        <v>5</v>
      </c>
      <c r="E70" s="1772" t="s">
        <v>5</v>
      </c>
    </row>
    <row r="71" spans="1:5" ht="33" x14ac:dyDescent="0.25">
      <c r="A71" s="277" t="s">
        <v>200</v>
      </c>
      <c r="B71" s="59" t="s">
        <v>51</v>
      </c>
      <c r="C71" s="342"/>
      <c r="D71" s="1773" t="s">
        <v>5</v>
      </c>
      <c r="E71" s="1774" t="s">
        <v>5</v>
      </c>
    </row>
    <row r="72" spans="1:5" ht="16.5" x14ac:dyDescent="0.25">
      <c r="A72" s="130" t="s">
        <v>115</v>
      </c>
      <c r="B72" s="271"/>
      <c r="C72" s="222"/>
      <c r="D72" s="1775" t="s">
        <v>5</v>
      </c>
      <c r="E72" s="1776" t="s">
        <v>5</v>
      </c>
    </row>
    <row r="73" spans="1:5" ht="16.5" x14ac:dyDescent="0.25">
      <c r="A73" s="226" t="s">
        <v>156</v>
      </c>
      <c r="B73" s="393" t="s">
        <v>257</v>
      </c>
      <c r="C73" s="172"/>
      <c r="D73" s="1660">
        <v>2104659494882</v>
      </c>
      <c r="E73" s="1660">
        <v>2347548503165</v>
      </c>
    </row>
    <row r="74" spans="1:5" ht="16.5" x14ac:dyDescent="0.25">
      <c r="A74" s="227" t="s">
        <v>157</v>
      </c>
      <c r="B74" s="394" t="s">
        <v>258</v>
      </c>
      <c r="C74" s="173"/>
      <c r="D74" s="1660">
        <v>283354074399</v>
      </c>
      <c r="E74" s="1660">
        <v>368757033120</v>
      </c>
    </row>
    <row r="75" spans="1:5" ht="16.5" x14ac:dyDescent="0.25">
      <c r="A75" s="258" t="s">
        <v>184</v>
      </c>
      <c r="B75" s="60" t="s">
        <v>52</v>
      </c>
      <c r="C75" s="174"/>
      <c r="D75" s="1660">
        <v>283354074399</v>
      </c>
      <c r="E75" s="1660">
        <v>364155122113</v>
      </c>
    </row>
    <row r="76" spans="1:5" ht="33" x14ac:dyDescent="0.25">
      <c r="A76" s="278" t="s">
        <v>201</v>
      </c>
      <c r="B76" s="395" t="s">
        <v>259</v>
      </c>
      <c r="C76" s="343"/>
      <c r="D76" s="1660">
        <v>264154698500</v>
      </c>
      <c r="E76" s="1660">
        <v>310305633500</v>
      </c>
    </row>
    <row r="77" spans="1:5" ht="16.5" x14ac:dyDescent="0.25">
      <c r="A77" s="259" t="s">
        <v>185</v>
      </c>
      <c r="B77" s="61" t="s">
        <v>53</v>
      </c>
      <c r="C77" s="175"/>
      <c r="D77" s="1660">
        <v>264154698500</v>
      </c>
      <c r="E77" s="1660">
        <v>310305633500</v>
      </c>
    </row>
    <row r="78" spans="1:5" ht="33" x14ac:dyDescent="0.25">
      <c r="A78" s="252" t="s">
        <v>180</v>
      </c>
      <c r="B78" s="396" t="s">
        <v>260</v>
      </c>
      <c r="C78" s="176"/>
      <c r="D78" s="1777" t="s">
        <v>5</v>
      </c>
      <c r="E78" s="1778" t="s">
        <v>5</v>
      </c>
    </row>
    <row r="79" spans="1:5" ht="33" x14ac:dyDescent="0.25">
      <c r="A79" s="52" t="s">
        <v>44</v>
      </c>
      <c r="B79" s="397" t="s">
        <v>261</v>
      </c>
      <c r="C79" s="177"/>
      <c r="D79" s="1779" t="s">
        <v>5</v>
      </c>
      <c r="E79" s="1780" t="s">
        <v>5</v>
      </c>
    </row>
    <row r="80" spans="1:5" ht="33" x14ac:dyDescent="0.25">
      <c r="A80" s="67" t="s">
        <v>59</v>
      </c>
      <c r="B80" s="192" t="s">
        <v>124</v>
      </c>
      <c r="C80" s="356"/>
      <c r="D80" s="1781" t="s">
        <v>5</v>
      </c>
      <c r="E80" s="1782" t="s">
        <v>5</v>
      </c>
    </row>
    <row r="81" spans="1:5" ht="33" x14ac:dyDescent="0.25">
      <c r="A81" s="68" t="s">
        <v>60</v>
      </c>
      <c r="B81" s="398" t="s">
        <v>262</v>
      </c>
      <c r="C81" s="331"/>
      <c r="D81" s="1783" t="s">
        <v>5</v>
      </c>
      <c r="E81" s="1784" t="s">
        <v>5</v>
      </c>
    </row>
    <row r="82" spans="1:5" ht="16.5" x14ac:dyDescent="0.25">
      <c r="A82" s="69" t="s">
        <v>61</v>
      </c>
      <c r="B82" s="193" t="s">
        <v>125</v>
      </c>
      <c r="C82" s="332"/>
      <c r="D82" s="1785" t="s">
        <v>5</v>
      </c>
      <c r="E82" s="1786" t="s">
        <v>5</v>
      </c>
    </row>
    <row r="83" spans="1:5" ht="33" x14ac:dyDescent="0.25">
      <c r="A83" s="70" t="s">
        <v>62</v>
      </c>
      <c r="B83" s="62" t="s">
        <v>54</v>
      </c>
      <c r="C83" s="178"/>
      <c r="D83" s="1656">
        <v>217876130</v>
      </c>
      <c r="E83" s="1657">
        <v>264199776</v>
      </c>
    </row>
    <row r="84" spans="1:5" ht="33" x14ac:dyDescent="0.25">
      <c r="A84" s="266" t="s">
        <v>191</v>
      </c>
      <c r="B84" s="63" t="s">
        <v>55</v>
      </c>
      <c r="C84" s="179"/>
      <c r="D84" s="1787" t="s">
        <v>5</v>
      </c>
      <c r="E84" s="1788" t="s">
        <v>5</v>
      </c>
    </row>
    <row r="85" spans="1:5" ht="16.5" x14ac:dyDescent="0.25">
      <c r="A85" s="267" t="s">
        <v>192</v>
      </c>
      <c r="B85" s="64" t="s">
        <v>56</v>
      </c>
      <c r="C85" s="180"/>
      <c r="D85" s="1789">
        <v>1127138240</v>
      </c>
      <c r="E85" s="1790">
        <v>29715693552</v>
      </c>
    </row>
    <row r="86" spans="1:5" ht="33" x14ac:dyDescent="0.25">
      <c r="A86" s="290" t="s">
        <v>213</v>
      </c>
      <c r="B86" s="399" t="s">
        <v>263</v>
      </c>
      <c r="C86" s="181"/>
      <c r="D86" s="1791">
        <v>941996000</v>
      </c>
      <c r="E86" s="1792">
        <v>957900000</v>
      </c>
    </row>
    <row r="87" spans="1:5" ht="33" x14ac:dyDescent="0.25">
      <c r="A87" s="288" t="s">
        <v>211</v>
      </c>
      <c r="B87" s="65" t="s">
        <v>57</v>
      </c>
      <c r="C87" s="182"/>
      <c r="D87" s="1793">
        <v>1038882482</v>
      </c>
      <c r="E87" s="1794">
        <v>1076842851</v>
      </c>
    </row>
    <row r="88" spans="1:5" ht="16.5" x14ac:dyDescent="0.25">
      <c r="A88" s="289" t="s">
        <v>212</v>
      </c>
      <c r="B88" s="66" t="s">
        <v>58</v>
      </c>
      <c r="C88" s="183"/>
      <c r="D88" s="1795">
        <v>326282727</v>
      </c>
      <c r="E88" s="1796">
        <v>0</v>
      </c>
    </row>
    <row r="89" spans="1:5" ht="33" x14ac:dyDescent="0.25">
      <c r="A89" s="291" t="s">
        <v>214</v>
      </c>
      <c r="B89" s="71" t="s">
        <v>63</v>
      </c>
      <c r="C89" s="256"/>
      <c r="D89" s="1797">
        <v>437566823</v>
      </c>
      <c r="E89" s="1798">
        <v>432422323</v>
      </c>
    </row>
    <row r="90" spans="1:5" ht="16.5" x14ac:dyDescent="0.25">
      <c r="A90" s="292" t="s">
        <v>215</v>
      </c>
      <c r="B90" s="72" t="s">
        <v>64</v>
      </c>
      <c r="C90" s="38"/>
      <c r="D90" s="1799">
        <v>6632636063</v>
      </c>
      <c r="E90" s="1800">
        <v>12393562713</v>
      </c>
    </row>
    <row r="91" spans="1:5" ht="16.5" x14ac:dyDescent="0.25">
      <c r="A91" s="293" t="s">
        <v>216</v>
      </c>
      <c r="B91" s="400" t="s">
        <v>264</v>
      </c>
      <c r="C91" s="39"/>
      <c r="D91" s="1801" t="s">
        <v>5</v>
      </c>
      <c r="E91" s="1802" t="s">
        <v>5</v>
      </c>
    </row>
    <row r="92" spans="1:5" ht="33" x14ac:dyDescent="0.25">
      <c r="A92" s="125" t="s">
        <v>110</v>
      </c>
      <c r="B92" s="73" t="s">
        <v>65</v>
      </c>
      <c r="C92" s="151"/>
      <c r="D92" s="1803" t="s">
        <v>5</v>
      </c>
      <c r="E92" s="1804" t="s">
        <v>5</v>
      </c>
    </row>
    <row r="93" spans="1:5" ht="33" x14ac:dyDescent="0.25">
      <c r="A93" s="126" t="s">
        <v>111</v>
      </c>
      <c r="B93" s="121" t="s">
        <v>106</v>
      </c>
      <c r="C93" s="152"/>
      <c r="D93" s="1805" t="s">
        <v>5</v>
      </c>
      <c r="E93" s="1806" t="s">
        <v>5</v>
      </c>
    </row>
    <row r="94" spans="1:5" ht="33" x14ac:dyDescent="0.25">
      <c r="A94" s="260" t="s">
        <v>186</v>
      </c>
      <c r="B94" s="74" t="s">
        <v>66</v>
      </c>
      <c r="C94" s="40"/>
      <c r="D94" s="1658">
        <v>1327603235</v>
      </c>
      <c r="E94" s="1659">
        <v>1363619222</v>
      </c>
    </row>
    <row r="95" spans="1:5" ht="33" x14ac:dyDescent="0.25">
      <c r="A95" s="294" t="s">
        <v>217</v>
      </c>
      <c r="B95" s="122" t="s">
        <v>107</v>
      </c>
      <c r="C95" s="307"/>
      <c r="D95" s="1807" t="s">
        <v>5</v>
      </c>
      <c r="E95" s="1808" t="s">
        <v>5</v>
      </c>
    </row>
    <row r="96" spans="1:5" ht="16.5" x14ac:dyDescent="0.25">
      <c r="A96" s="127" t="s">
        <v>112</v>
      </c>
      <c r="B96" s="401" t="s">
        <v>265</v>
      </c>
      <c r="C96" s="184"/>
      <c r="D96" s="1660">
        <v>7149394199</v>
      </c>
      <c r="E96" s="1660">
        <v>7645248176</v>
      </c>
    </row>
    <row r="97" spans="1:5" ht="33" x14ac:dyDescent="0.25">
      <c r="A97" s="295" t="s">
        <v>218</v>
      </c>
      <c r="B97" s="430" t="s">
        <v>291</v>
      </c>
      <c r="C97" s="308"/>
      <c r="D97" s="1809" t="s">
        <v>5</v>
      </c>
      <c r="E97" s="1810" t="s">
        <v>5</v>
      </c>
    </row>
    <row r="98" spans="1:5" ht="16.5" x14ac:dyDescent="0.25">
      <c r="A98" s="367" t="s">
        <v>231</v>
      </c>
      <c r="B98" s="402" t="s">
        <v>266</v>
      </c>
      <c r="C98" s="41"/>
      <c r="D98" s="1811">
        <v>0</v>
      </c>
      <c r="E98" s="1661">
        <v>4601911007</v>
      </c>
    </row>
    <row r="99" spans="1:5" ht="33" x14ac:dyDescent="0.25">
      <c r="A99" s="368" t="s">
        <v>232</v>
      </c>
      <c r="B99" s="194" t="s">
        <v>126</v>
      </c>
      <c r="C99" s="42"/>
      <c r="D99" s="1812" t="s">
        <v>5</v>
      </c>
      <c r="E99" s="1813" t="s">
        <v>5</v>
      </c>
    </row>
    <row r="100" spans="1:5" ht="16.5" x14ac:dyDescent="0.25">
      <c r="A100" s="262" t="s">
        <v>188</v>
      </c>
      <c r="B100" s="75" t="s">
        <v>67</v>
      </c>
      <c r="C100" s="43"/>
      <c r="D100" s="1814" t="s">
        <v>5</v>
      </c>
      <c r="E100" s="1815" t="s">
        <v>5</v>
      </c>
    </row>
    <row r="101" spans="1:5" ht="16.5" x14ac:dyDescent="0.25">
      <c r="A101" s="296" t="s">
        <v>219</v>
      </c>
      <c r="B101" s="77" t="s">
        <v>69</v>
      </c>
      <c r="C101" s="365"/>
      <c r="D101" s="1816" t="s">
        <v>5</v>
      </c>
      <c r="E101" s="1817" t="s">
        <v>5</v>
      </c>
    </row>
    <row r="102" spans="1:5" ht="16.5" x14ac:dyDescent="0.25">
      <c r="A102" s="297" t="s">
        <v>220</v>
      </c>
      <c r="B102" s="431" t="s">
        <v>292</v>
      </c>
      <c r="C102" s="309"/>
      <c r="D102" s="1818" t="s">
        <v>5</v>
      </c>
      <c r="E102" s="1819" t="s">
        <v>5</v>
      </c>
    </row>
    <row r="103" spans="1:5" ht="33" x14ac:dyDescent="0.25">
      <c r="A103" s="128" t="s">
        <v>113</v>
      </c>
      <c r="B103" s="403" t="s">
        <v>267</v>
      </c>
      <c r="C103" s="102"/>
      <c r="D103" s="1820" t="s">
        <v>5</v>
      </c>
      <c r="E103" s="1821" t="s">
        <v>5</v>
      </c>
    </row>
    <row r="104" spans="1:5" ht="16.5" x14ac:dyDescent="0.25">
      <c r="A104" s="369" t="s">
        <v>233</v>
      </c>
      <c r="B104" s="78" t="s">
        <v>70</v>
      </c>
      <c r="C104" s="44"/>
      <c r="D104" s="1822" t="s">
        <v>5</v>
      </c>
      <c r="E104" s="1823" t="s">
        <v>5</v>
      </c>
    </row>
    <row r="105" spans="1:5" ht="16.5" x14ac:dyDescent="0.25">
      <c r="A105" s="370" t="s">
        <v>234</v>
      </c>
      <c r="B105" s="404" t="s">
        <v>268</v>
      </c>
      <c r="C105" s="45"/>
      <c r="D105" s="1824" t="s">
        <v>5</v>
      </c>
      <c r="E105" s="1825" t="s">
        <v>5</v>
      </c>
    </row>
    <row r="106" spans="1:5" ht="33" x14ac:dyDescent="0.25">
      <c r="A106" s="263" t="s">
        <v>189</v>
      </c>
      <c r="B106" s="79" t="s">
        <v>71</v>
      </c>
      <c r="C106" s="364"/>
      <c r="D106" s="1826" t="s">
        <v>5</v>
      </c>
      <c r="E106" s="1827" t="s">
        <v>5</v>
      </c>
    </row>
    <row r="107" spans="1:5" ht="16.5" x14ac:dyDescent="0.25">
      <c r="A107" s="228" t="s">
        <v>158</v>
      </c>
      <c r="B107" s="405" t="s">
        <v>269</v>
      </c>
      <c r="C107" s="414"/>
      <c r="D107" s="1828" t="s">
        <v>5</v>
      </c>
      <c r="E107" s="1829" t="s">
        <v>5</v>
      </c>
    </row>
    <row r="108" spans="1:5" ht="16.5" x14ac:dyDescent="0.25">
      <c r="A108" s="422" t="s">
        <v>284</v>
      </c>
      <c r="B108" s="406" t="s">
        <v>270</v>
      </c>
      <c r="C108" s="103"/>
      <c r="D108" s="1830" t="s">
        <v>5</v>
      </c>
      <c r="E108" s="1831" t="s">
        <v>5</v>
      </c>
    </row>
    <row r="109" spans="1:5" ht="33" x14ac:dyDescent="0.25">
      <c r="A109" s="371" t="s">
        <v>235</v>
      </c>
      <c r="B109" s="80" t="s">
        <v>72</v>
      </c>
      <c r="C109" s="311"/>
      <c r="D109" s="1832" t="s">
        <v>5</v>
      </c>
      <c r="E109" s="1833" t="s">
        <v>5</v>
      </c>
    </row>
    <row r="110" spans="1:5" ht="33" x14ac:dyDescent="0.25">
      <c r="A110" s="372" t="s">
        <v>236</v>
      </c>
      <c r="B110" s="407" t="s">
        <v>271</v>
      </c>
      <c r="C110" s="312"/>
      <c r="D110" s="1834" t="s">
        <v>5</v>
      </c>
      <c r="E110" s="1835" t="s">
        <v>5</v>
      </c>
    </row>
    <row r="111" spans="1:5" ht="33" x14ac:dyDescent="0.25">
      <c r="A111" s="264" t="s">
        <v>190</v>
      </c>
      <c r="B111" s="408" t="s">
        <v>272</v>
      </c>
      <c r="C111" s="313"/>
      <c r="D111" s="1836" t="s">
        <v>5</v>
      </c>
      <c r="E111" s="1837" t="s">
        <v>5</v>
      </c>
    </row>
    <row r="112" spans="1:5" ht="16.5" x14ac:dyDescent="0.25">
      <c r="A112" s="425" t="s">
        <v>287</v>
      </c>
      <c r="B112" s="81" t="s">
        <v>73</v>
      </c>
      <c r="C112" s="314"/>
      <c r="D112" s="1838" t="s">
        <v>5</v>
      </c>
      <c r="E112" s="1839" t="s">
        <v>5</v>
      </c>
    </row>
    <row r="113" spans="1:5" ht="16.5" x14ac:dyDescent="0.25">
      <c r="A113" s="76" t="s">
        <v>68</v>
      </c>
      <c r="B113" s="409" t="s">
        <v>273</v>
      </c>
      <c r="C113" s="315"/>
      <c r="D113" s="1840" t="s">
        <v>5</v>
      </c>
      <c r="E113" s="1841" t="s">
        <v>5</v>
      </c>
    </row>
    <row r="114" spans="1:5" ht="33" x14ac:dyDescent="0.25">
      <c r="A114" s="423" t="s">
        <v>285</v>
      </c>
      <c r="B114" s="82" t="s">
        <v>74</v>
      </c>
      <c r="C114" s="104"/>
      <c r="D114" s="1842">
        <v>0</v>
      </c>
      <c r="E114" s="1662">
        <v>4601911007</v>
      </c>
    </row>
    <row r="115" spans="1:5" ht="33" x14ac:dyDescent="0.25">
      <c r="A115" s="373" t="s">
        <v>237</v>
      </c>
      <c r="B115" s="195" t="s">
        <v>127</v>
      </c>
      <c r="C115" s="316"/>
      <c r="D115" s="1843" t="s">
        <v>5</v>
      </c>
      <c r="E115" s="1844" t="s">
        <v>5</v>
      </c>
    </row>
    <row r="116" spans="1:5" ht="16.5" x14ac:dyDescent="0.25">
      <c r="A116" s="131" t="s">
        <v>116</v>
      </c>
      <c r="B116" s="34" t="s">
        <v>5</v>
      </c>
      <c r="C116" s="223"/>
      <c r="D116" s="1845" t="s">
        <v>5</v>
      </c>
      <c r="E116" s="1846" t="s">
        <v>5</v>
      </c>
    </row>
    <row r="117" spans="1:5" ht="16.5" x14ac:dyDescent="0.25">
      <c r="A117" s="298" t="s">
        <v>221</v>
      </c>
      <c r="B117" s="410" t="s">
        <v>274</v>
      </c>
      <c r="C117" s="317"/>
      <c r="D117" s="1847">
        <v>1821305420483</v>
      </c>
      <c r="E117" s="1848">
        <v>1978791470045</v>
      </c>
    </row>
    <row r="118" spans="1:5" ht="16.5" x14ac:dyDescent="0.25">
      <c r="A118" s="357" t="s">
        <v>224</v>
      </c>
      <c r="B118" s="83" t="s">
        <v>75</v>
      </c>
      <c r="C118" s="318"/>
      <c r="D118" s="1849">
        <v>1821305420483</v>
      </c>
      <c r="E118" s="1850">
        <v>1978791470045</v>
      </c>
    </row>
    <row r="119" spans="1:5" ht="16.5" x14ac:dyDescent="0.25">
      <c r="A119" s="424" t="s">
        <v>286</v>
      </c>
      <c r="B119" s="84" t="s">
        <v>76</v>
      </c>
      <c r="C119" s="105"/>
      <c r="D119" s="1851">
        <v>1648006180000</v>
      </c>
      <c r="E119" s="1852">
        <v>1648006180000</v>
      </c>
    </row>
    <row r="120" spans="1:5" ht="16.5" x14ac:dyDescent="0.25">
      <c r="A120" s="374" t="s">
        <v>238</v>
      </c>
      <c r="B120" s="362" t="s">
        <v>229</v>
      </c>
      <c r="C120" s="355"/>
      <c r="D120" s="1853">
        <v>1648006180000</v>
      </c>
      <c r="E120" s="1854">
        <v>1648006180000</v>
      </c>
    </row>
    <row r="121" spans="1:5" ht="33" x14ac:dyDescent="0.25">
      <c r="A121" s="94" t="s">
        <v>86</v>
      </c>
      <c r="B121" s="85" t="s">
        <v>77</v>
      </c>
      <c r="C121" s="106"/>
      <c r="D121" s="1855">
        <v>1648006180000</v>
      </c>
      <c r="E121" s="1856">
        <v>1648006180000</v>
      </c>
    </row>
    <row r="122" spans="1:5" ht="16.5" x14ac:dyDescent="0.25">
      <c r="A122" s="426" t="s">
        <v>288</v>
      </c>
      <c r="B122" s="363" t="s">
        <v>230</v>
      </c>
      <c r="C122" s="310"/>
      <c r="D122" s="1857" t="s">
        <v>5</v>
      </c>
      <c r="E122" s="1858" t="s">
        <v>5</v>
      </c>
    </row>
    <row r="123" spans="1:5" ht="16.5" x14ac:dyDescent="0.25">
      <c r="A123" s="358" t="s">
        <v>225</v>
      </c>
      <c r="B123" s="411" t="s">
        <v>275</v>
      </c>
      <c r="C123" s="319"/>
      <c r="D123" s="1859" t="s">
        <v>5</v>
      </c>
      <c r="E123" s="1860" t="s">
        <v>5</v>
      </c>
    </row>
    <row r="124" spans="1:5" ht="33" x14ac:dyDescent="0.25">
      <c r="A124" s="375" t="s">
        <v>239</v>
      </c>
      <c r="B124" s="86" t="s">
        <v>78</v>
      </c>
      <c r="C124" s="320"/>
      <c r="D124" s="1861" t="s">
        <v>5</v>
      </c>
      <c r="E124" s="1862" t="s">
        <v>5</v>
      </c>
    </row>
    <row r="125" spans="1:5" ht="16.5" x14ac:dyDescent="0.25">
      <c r="A125" s="109" t="s">
        <v>94</v>
      </c>
      <c r="B125" s="100" t="s">
        <v>92</v>
      </c>
      <c r="C125" s="107"/>
      <c r="D125" s="1863" t="s">
        <v>5</v>
      </c>
      <c r="E125" s="1864" t="s">
        <v>5</v>
      </c>
    </row>
    <row r="126" spans="1:5" ht="16.5" x14ac:dyDescent="0.25">
      <c r="A126" s="376" t="s">
        <v>240</v>
      </c>
      <c r="B126" s="412" t="s">
        <v>276</v>
      </c>
      <c r="C126" s="321"/>
      <c r="D126" s="1865" t="s">
        <v>5</v>
      </c>
      <c r="E126" s="1866" t="s">
        <v>5</v>
      </c>
    </row>
    <row r="127" spans="1:5" ht="33" x14ac:dyDescent="0.25">
      <c r="A127" s="359" t="s">
        <v>226</v>
      </c>
      <c r="B127" s="413" t="s">
        <v>277</v>
      </c>
      <c r="C127" s="322"/>
      <c r="D127" s="1867" t="s">
        <v>5</v>
      </c>
      <c r="E127" s="1868" t="s">
        <v>5</v>
      </c>
    </row>
    <row r="128" spans="1:5" ht="16.5" x14ac:dyDescent="0.25">
      <c r="A128" s="428" t="s">
        <v>289</v>
      </c>
      <c r="B128" s="208" t="s">
        <v>140</v>
      </c>
      <c r="C128" s="323"/>
      <c r="D128" s="1869" t="s">
        <v>5</v>
      </c>
      <c r="E128" s="1870" t="s">
        <v>5</v>
      </c>
    </row>
    <row r="129" spans="1:5" ht="33" x14ac:dyDescent="0.25">
      <c r="A129" s="377" t="s">
        <v>241</v>
      </c>
      <c r="B129" s="249" t="s">
        <v>177</v>
      </c>
      <c r="C129" s="324"/>
      <c r="D129" s="1871" t="s">
        <v>5</v>
      </c>
      <c r="E129" s="1872" t="s">
        <v>5</v>
      </c>
    </row>
    <row r="130" spans="1:5" ht="33" x14ac:dyDescent="0.25">
      <c r="A130" s="110" t="s">
        <v>95</v>
      </c>
      <c r="B130" s="209" t="s">
        <v>141</v>
      </c>
      <c r="C130" s="108"/>
      <c r="D130" s="1873" t="s">
        <v>5</v>
      </c>
      <c r="E130" s="1874" t="s">
        <v>5</v>
      </c>
    </row>
    <row r="131" spans="1:5" ht="33" x14ac:dyDescent="0.25">
      <c r="A131" s="360" t="s">
        <v>227</v>
      </c>
      <c r="B131" s="250" t="s">
        <v>178</v>
      </c>
      <c r="C131" s="325"/>
      <c r="D131" s="1875" t="s">
        <v>5</v>
      </c>
      <c r="E131" s="1876" t="s">
        <v>5</v>
      </c>
    </row>
    <row r="132" spans="1:5" ht="16.5" x14ac:dyDescent="0.25">
      <c r="A132" s="378" t="s">
        <v>242</v>
      </c>
      <c r="B132" s="253" t="s">
        <v>181</v>
      </c>
      <c r="C132" s="326"/>
      <c r="D132" s="1877">
        <v>173299240483</v>
      </c>
      <c r="E132" s="1878">
        <v>330785290045</v>
      </c>
    </row>
    <row r="133" spans="1:5" ht="33" x14ac:dyDescent="0.25">
      <c r="A133" s="429" t="s">
        <v>290</v>
      </c>
      <c r="B133" s="251" t="s">
        <v>179</v>
      </c>
      <c r="C133" s="327"/>
      <c r="D133" s="1879">
        <v>237625142284</v>
      </c>
      <c r="E133" s="1880">
        <v>252476574844</v>
      </c>
    </row>
    <row r="134" spans="1:5" ht="16.5" x14ac:dyDescent="0.25">
      <c r="A134" s="379" t="s">
        <v>243</v>
      </c>
      <c r="B134" s="254" t="s">
        <v>182</v>
      </c>
      <c r="C134" s="328"/>
      <c r="D134" s="1881">
        <v>-64325901801</v>
      </c>
      <c r="E134" s="1882">
        <v>78308715201</v>
      </c>
    </row>
    <row r="135" spans="1:5" ht="33" x14ac:dyDescent="0.25">
      <c r="A135" s="361" t="s">
        <v>228</v>
      </c>
      <c r="B135" s="421" t="s">
        <v>283</v>
      </c>
      <c r="C135" s="329"/>
      <c r="D135" s="1883" t="s">
        <v>5</v>
      </c>
      <c r="E135" s="1884" t="s">
        <v>5</v>
      </c>
    </row>
    <row r="136" spans="1:5" ht="16.5" x14ac:dyDescent="0.25">
      <c r="A136" s="304" t="s">
        <v>222</v>
      </c>
      <c r="B136" s="46" t="s">
        <v>38</v>
      </c>
      <c r="C136" s="330"/>
      <c r="D136" s="1885" t="s">
        <v>5</v>
      </c>
      <c r="E136" s="1886" t="s">
        <v>5</v>
      </c>
    </row>
    <row r="137" spans="1:5" ht="16.5" x14ac:dyDescent="0.25">
      <c r="A137" s="221" t="s">
        <v>153</v>
      </c>
      <c r="B137" s="270" t="s">
        <v>194</v>
      </c>
      <c r="C137" s="269"/>
      <c r="D137" s="1663">
        <v>2104659494882</v>
      </c>
      <c r="E137" s="1664">
        <v>2347548503165</v>
      </c>
    </row>
  </sheetData>
  <mergeCells count="3">
    <mergeCell ref="A1:E1"/>
    <mergeCell ref="A2:E2"/>
    <mergeCell ref="A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E137"/>
  <sheetViews>
    <sheetView workbookViewId="0"/>
  </sheetViews>
  <sheetFormatPr defaultRowHeight="15" x14ac:dyDescent="0.25"/>
  <cols>
    <col min="1" max="1" width="1" style="437" bestFit="1" customWidth="1"/>
    <col min="2" max="5" width="1" bestFit="1" customWidth="1"/>
  </cols>
  <sheetData>
    <row r="5" spans="1:5" x14ac:dyDescent="0.25">
      <c r="A5" t="str">
        <f>CONCATENATE(618860,",",ROW(BCTCR_06608!A5),"|",COLUMN(BCTCR_06608!A5),",0",",0")</f>
        <v>618860,5|1,0,0</v>
      </c>
      <c r="B5" t="str">
        <f>CONCATENATE(619032,",",ROW(BCTCR_06608!B5),"|",COLUMN(BCTCR_06608!B5),",0",",0")</f>
        <v>619032,5|2,0,0</v>
      </c>
      <c r="C5" t="str">
        <f>CONCATENATE(618914,",",ROW(BCTCR_06608!C5),"|",COLUMN(BCTCR_06608!C5),",0",",0")</f>
        <v>618914,5|3,0,0</v>
      </c>
      <c r="D5" t="str">
        <f>CONCATENATE(619368,",",ROW(BCTCR_06608!D5),"|",COLUMN(BCTCR_06608!D5),",0",",0")</f>
        <v>619368,5|4,0,0</v>
      </c>
      <c r="E5" t="str">
        <f>CONCATENATE(618915,",",ROW(BCTCR_06608!E5),"|",COLUMN(BCTCR_06608!E5),",0",",0")</f>
        <v>618915,5|5,0,0</v>
      </c>
    </row>
    <row r="6" spans="1:5" x14ac:dyDescent="0.25">
      <c r="A6" t="str">
        <f>CONCATENATE(619287,",",ROW(BCTCR_06608!A6),"|",COLUMN(BCTCR_06608!A6),",0",",0")</f>
        <v>619287,6|1,0,0</v>
      </c>
      <c r="B6" t="s">
        <v>5</v>
      </c>
      <c r="C6" t="str">
        <f>CONCATENATE(619397,",",ROW(BCTCR_06608!C6),"|",COLUMN(BCTCR_06608!C6),",0",",0")</f>
        <v>619397,6|3,0,0</v>
      </c>
      <c r="D6" t="str">
        <f>CONCATENATE(619044,",",ROW(BCTCR_06608!D6),"|",COLUMN(BCTCR_06608!D6),",0",",0")</f>
        <v>619044,6|4,0,0</v>
      </c>
      <c r="E6" t="str">
        <f>CONCATENATE(619455,",",ROW(BCTCR_06608!E6),"|",COLUMN(BCTCR_06608!E6),",0",",0")</f>
        <v>619455,6|5,0,0</v>
      </c>
    </row>
    <row r="7" spans="1:5" x14ac:dyDescent="0.25">
      <c r="A7" t="str">
        <f>CONCATENATE(619128,",",ROW(BCTCR_06608!A7),"|",COLUMN(BCTCR_06608!A7),",0",",0")</f>
        <v>619128,7|1,0,0</v>
      </c>
      <c r="B7" t="str">
        <f>CONCATENATE(619411,",",ROW(BCTCR_06608!B7),"|",COLUMN(BCTCR_06608!B7),",0",",0")</f>
        <v>619411,7|2,0,0</v>
      </c>
      <c r="C7" t="str">
        <f>CONCATENATE(619347,",",ROW(BCTCR_06608!C7),"|",COLUMN(BCTCR_06608!C7),",0",",0")</f>
        <v>619347,7|3,0,0</v>
      </c>
      <c r="D7" t="str">
        <f>CONCATENATE(619480,",",ROW(BCTCR_06608!D7),"|",COLUMN(BCTCR_06608!D7),",0",",0")</f>
        <v>619480,7|4,0,0</v>
      </c>
      <c r="E7" t="str">
        <f>CONCATENATE(619150,",",ROW(BCTCR_06608!E7),"|",COLUMN(BCTCR_06608!E7),",0",",0")</f>
        <v>619150,7|5,0,0</v>
      </c>
    </row>
    <row r="8" spans="1:5" x14ac:dyDescent="0.25">
      <c r="A8" t="str">
        <f>CONCATENATE(619210,",",ROW(BCTCR_06608!A8),"|",COLUMN(BCTCR_06608!A8),",0",",0")</f>
        <v>619210,8|1,0,0</v>
      </c>
      <c r="B8" t="str">
        <f>CONCATENATE(619026,",",ROW(BCTCR_06608!B8),"|",COLUMN(BCTCR_06608!B8),",0",",0")</f>
        <v>619026,8|2,0,0</v>
      </c>
      <c r="C8" t="str">
        <f>CONCATENATE(619046,",",ROW(BCTCR_06608!C8),"|",COLUMN(BCTCR_06608!C8),",0",",0")</f>
        <v>619046,8|3,0,0</v>
      </c>
      <c r="D8" t="str">
        <f>CONCATENATE(619456,",",ROW(BCTCR_06608!D8),"|",COLUMN(BCTCR_06608!D8),",0",",0")</f>
        <v>619456,8|4,0,0</v>
      </c>
      <c r="E8" t="str">
        <f>CONCATENATE(618926,",",ROW(BCTCR_06608!E8),"|",COLUMN(BCTCR_06608!E8),",0",",0")</f>
        <v>618926,8|5,0,0</v>
      </c>
    </row>
    <row r="9" spans="1:5" x14ac:dyDescent="0.25">
      <c r="A9" t="str">
        <f>CONCATENATE(619129,",",ROW(BCTCR_06608!A9),"|",COLUMN(BCTCR_06608!A9),",0",",0")</f>
        <v>619129,9|1,0,0</v>
      </c>
      <c r="B9" t="str">
        <f>CONCATENATE(619412,",",ROW(BCTCR_06608!B9),"|",COLUMN(BCTCR_06608!B9),",0",",0")</f>
        <v>619412,9|2,0,0</v>
      </c>
      <c r="C9" t="str">
        <f>CONCATENATE(619358,",",ROW(BCTCR_06608!C9),"|",COLUMN(BCTCR_06608!C9),",0",",0")</f>
        <v>619358,9|3,0,0</v>
      </c>
      <c r="D9" t="str">
        <f>CONCATENATE(619452,",",ROW(BCTCR_06608!D9),"|",COLUMN(BCTCR_06608!D9),",0",",0")</f>
        <v>619452,9|4,0,0</v>
      </c>
      <c r="E9" t="str">
        <f>CONCATENATE(619160,",",ROW(BCTCR_06608!E9),"|",COLUMN(BCTCR_06608!E9),",0",",0")</f>
        <v>619160,9|5,0,0</v>
      </c>
    </row>
    <row r="10" spans="1:5" x14ac:dyDescent="0.25">
      <c r="A10" t="str">
        <f>CONCATENATE(619211,",",ROW(BCTCR_06608!A10),"|",COLUMN(BCTCR_06608!A10),",0",",0")</f>
        <v>619211,10|1,0,0</v>
      </c>
      <c r="B10" t="str">
        <f>CONCATENATE(618954,",",ROW(BCTCR_06608!B10),"|",COLUMN(BCTCR_06608!B10),",0",",0")</f>
        <v>618954,10|2,0,0</v>
      </c>
      <c r="C10" t="str">
        <f>CONCATENATE(619047,",",ROW(BCTCR_06608!C10),"|",COLUMN(BCTCR_06608!C10),",0",",0")</f>
        <v>619047,10|3,0,0</v>
      </c>
      <c r="D10" t="str">
        <f>CONCATENATE(619457,",",ROW(BCTCR_06608!D10),"|",COLUMN(BCTCR_06608!D10),",0",",0")</f>
        <v>619457,10|4,0,0</v>
      </c>
      <c r="E10" t="str">
        <f>CONCATENATE(618916,",",ROW(BCTCR_06608!E10),"|",COLUMN(BCTCR_06608!E10),",0",",0")</f>
        <v>618916,10|5,0,0</v>
      </c>
    </row>
    <row r="11" spans="1:5" x14ac:dyDescent="0.25">
      <c r="A11" t="str">
        <f>CONCATENATE(619189,",",ROW(BCTCR_06608!A11),"|",COLUMN(BCTCR_06608!A11),",0",",0")</f>
        <v>619189,11|1,0,0</v>
      </c>
      <c r="B11" t="str">
        <f>CONCATENATE(619015,",",ROW(BCTCR_06608!B11),"|",COLUMN(BCTCR_06608!B11),",0",",0")</f>
        <v>619015,11|2,0,0</v>
      </c>
      <c r="C11" t="str">
        <f>CONCATENATE(619314,",",ROW(BCTCR_06608!C11),"|",COLUMN(BCTCR_06608!C11),",0",",0")</f>
        <v>619314,11|3,0,0</v>
      </c>
      <c r="D11" t="str">
        <f>CONCATENATE(619497,",",ROW(BCTCR_06608!D11),"|",COLUMN(BCTCR_06608!D11),",0",",0")</f>
        <v>619497,11|4,0,0</v>
      </c>
      <c r="E11" t="str">
        <f>CONCATENATE(619285,",",ROW(BCTCR_06608!E11),"|",COLUMN(BCTCR_06608!E11),",0",",0")</f>
        <v>619285,11|5,0,0</v>
      </c>
    </row>
    <row r="12" spans="1:5" x14ac:dyDescent="0.25">
      <c r="A12" t="str">
        <f>CONCATENATE(619212,",",ROW(BCTCR_06608!A12),"|",COLUMN(BCTCR_06608!A12),",0",",0")</f>
        <v>619212,12|1,0,0</v>
      </c>
      <c r="B12" t="str">
        <f>CONCATENATE(619244,",",ROW(BCTCR_06608!B12),"|",COLUMN(BCTCR_06608!B12),",0",",0")</f>
        <v>619244,12|2,0,0</v>
      </c>
      <c r="C12" t="str">
        <f>CONCATENATE(619048,",",ROW(BCTCR_06608!C12),"|",COLUMN(BCTCR_06608!C12),",0",",0")</f>
        <v>619048,12|3,0,0</v>
      </c>
      <c r="D12" t="str">
        <f>CONCATENATE(619458,",",ROW(BCTCR_06608!D12),"|",COLUMN(BCTCR_06608!D12),",0",",0")</f>
        <v>619458,12|4,0,0</v>
      </c>
      <c r="E12" t="str">
        <f>CONCATENATE(618917,",",ROW(BCTCR_06608!E12),"|",COLUMN(BCTCR_06608!E12),",0",",0")</f>
        <v>618917,12|5,0,0</v>
      </c>
    </row>
    <row r="13" spans="1:5" x14ac:dyDescent="0.25">
      <c r="A13" t="str">
        <f>CONCATENATE(619130,",",ROW(BCTCR_06608!A13),"|",COLUMN(BCTCR_06608!A13),",0",",0")</f>
        <v>619130,13|1,0,0</v>
      </c>
      <c r="B13" t="str">
        <f>CONCATENATE(619413,",",ROW(BCTCR_06608!B13),"|",COLUMN(BCTCR_06608!B13),",0",",0")</f>
        <v>619413,13|2,0,0</v>
      </c>
      <c r="C13" t="str">
        <f>CONCATENATE(619359,",",ROW(BCTCR_06608!C13),"|",COLUMN(BCTCR_06608!C13),",0",",0")</f>
        <v>619359,13|3,0,0</v>
      </c>
      <c r="D13" t="str">
        <f>CONCATENATE(619045,",",ROW(BCTCR_06608!D13),"|",COLUMN(BCTCR_06608!D13),",0",",0")</f>
        <v>619045,13|4,0,0</v>
      </c>
      <c r="E13" t="str">
        <f>CONCATENATE(619227,",",ROW(BCTCR_06608!E13),"|",COLUMN(BCTCR_06608!E13),",0",",0")</f>
        <v>619227,13|5,0,0</v>
      </c>
    </row>
    <row r="14" spans="1:5" x14ac:dyDescent="0.25">
      <c r="A14" t="str">
        <f>CONCATENATE(619131,",",ROW(BCTCR_06608!A14),"|",COLUMN(BCTCR_06608!A14),",0",",0")</f>
        <v>619131,14|1,0,0</v>
      </c>
      <c r="B14" t="str">
        <f>CONCATENATE(619118,",",ROW(BCTCR_06608!B14),"|",COLUMN(BCTCR_06608!B14),",0",",0")</f>
        <v>619118,14|2,0,0</v>
      </c>
      <c r="C14" t="str">
        <f>CONCATENATE(619360,",",ROW(BCTCR_06608!C14),"|",COLUMN(BCTCR_06608!C14),",0",",0")</f>
        <v>619360,14|3,0,0</v>
      </c>
      <c r="D14" t="str">
        <f>CONCATENATE(618974,",",ROW(BCTCR_06608!D14),"|",COLUMN(BCTCR_06608!D14),",0",",0")</f>
        <v>618974,14|4,0,0</v>
      </c>
      <c r="E14" t="str">
        <f>CONCATENATE(619228,",",ROW(BCTCR_06608!E14),"|",COLUMN(BCTCR_06608!E14),",0",",0")</f>
        <v>619228,14|5,0,0</v>
      </c>
    </row>
    <row r="15" spans="1:5" x14ac:dyDescent="0.25">
      <c r="A15" t="str">
        <f>CONCATENATE(619213,",",ROW(BCTCR_06608!A15),"|",COLUMN(BCTCR_06608!A15),",0",",0")</f>
        <v>619213,15|1,0,0</v>
      </c>
      <c r="B15" t="str">
        <f>CONCATENATE(619016,",",ROW(BCTCR_06608!B15),"|",COLUMN(BCTCR_06608!B15),",0",",0")</f>
        <v>619016,15|2,0,0</v>
      </c>
      <c r="C15" t="str">
        <f>CONCATENATE(619049,",",ROW(BCTCR_06608!C15),"|",COLUMN(BCTCR_06608!C15),",0",",0")</f>
        <v>619049,15|3,0,0</v>
      </c>
      <c r="D15" t="str">
        <f>CONCATENATE(619459,",",ROW(BCTCR_06608!D15),"|",COLUMN(BCTCR_06608!D15),",0",",0")</f>
        <v>619459,15|4,0,0</v>
      </c>
      <c r="E15" t="str">
        <f>CONCATENATE(618918,",",ROW(BCTCR_06608!E15),"|",COLUMN(BCTCR_06608!E15),",0",",0")</f>
        <v>618918,15|5,0,0</v>
      </c>
    </row>
    <row r="16" spans="1:5" x14ac:dyDescent="0.25">
      <c r="A16" t="str">
        <f>CONCATENATE(619132,",",ROW(BCTCR_06608!A16),"|",COLUMN(BCTCR_06608!A16),",0",",0")</f>
        <v>619132,16|1,0,0</v>
      </c>
      <c r="B16" t="str">
        <f>CONCATENATE(618955,",",ROW(BCTCR_06608!B16),"|",COLUMN(BCTCR_06608!B16),",0",",0")</f>
        <v>618955,16|2,0,0</v>
      </c>
      <c r="C16" t="str">
        <f>CONCATENATE(619361,",",ROW(BCTCR_06608!C16),"|",COLUMN(BCTCR_06608!C16),",0",",0")</f>
        <v>619361,16|3,0,0</v>
      </c>
      <c r="D16" t="str">
        <f>CONCATENATE(618975,",",ROW(BCTCR_06608!D16),"|",COLUMN(BCTCR_06608!D16),",0",",0")</f>
        <v>618975,16|4,0,0</v>
      </c>
      <c r="E16" t="str">
        <f>CONCATENATE(619161,",",ROW(BCTCR_06608!E16),"|",COLUMN(BCTCR_06608!E16),",0",",0")</f>
        <v>619161,16|5,0,0</v>
      </c>
    </row>
    <row r="17" spans="1:5" x14ac:dyDescent="0.25">
      <c r="A17" t="str">
        <f>CONCATENATE(619214,",",ROW(BCTCR_06608!A17),"|",COLUMN(BCTCR_06608!A17),",0",",0")</f>
        <v>619214,17|1,0,0</v>
      </c>
      <c r="B17" t="str">
        <f>CONCATENATE(619119,",",ROW(BCTCR_06608!B17),"|",COLUMN(BCTCR_06608!B17),",0",",0")</f>
        <v>619119,17|2,0,0</v>
      </c>
      <c r="C17" t="str">
        <f>CONCATENATE(619050,",",ROW(BCTCR_06608!C17),"|",COLUMN(BCTCR_06608!C17),",0",",0")</f>
        <v>619050,17|3,0,0</v>
      </c>
      <c r="D17" t="str">
        <f>CONCATENATE(619460,",",ROW(BCTCR_06608!D17),"|",COLUMN(BCTCR_06608!D17),",0",",0")</f>
        <v>619460,17|4,0,0</v>
      </c>
      <c r="E17" t="str">
        <f>CONCATENATE(618920,",",ROW(BCTCR_06608!E17),"|",COLUMN(BCTCR_06608!E17),",0",",0")</f>
        <v>618920,17|5,0,0</v>
      </c>
    </row>
    <row r="18" spans="1:5" x14ac:dyDescent="0.25">
      <c r="A18" t="str">
        <f>CONCATENATE(619215,",",ROW(BCTCR_06608!A18),"|",COLUMN(BCTCR_06608!A18),",0",",0")</f>
        <v>619215,18|1,0,0</v>
      </c>
      <c r="B18" t="str">
        <f>CONCATENATE(618956,",",ROW(BCTCR_06608!B18),"|",COLUMN(BCTCR_06608!B18),",0",",0")</f>
        <v>618956,18|2,0,0</v>
      </c>
      <c r="C18" t="str">
        <f>CONCATENATE(619051,",",ROW(BCTCR_06608!C18),"|",COLUMN(BCTCR_06608!C18),",0",",0")</f>
        <v>619051,18|3,0,0</v>
      </c>
      <c r="D18" t="str">
        <f>CONCATENATE(619461,",",ROW(BCTCR_06608!D18),"|",COLUMN(BCTCR_06608!D18),",0",",0")</f>
        <v>619461,18|4,0,0</v>
      </c>
      <c r="E18" t="str">
        <f>CONCATENATE(618921,",",ROW(BCTCR_06608!E18),"|",COLUMN(BCTCR_06608!E18),",0",",0")</f>
        <v>618921,18|5,0,0</v>
      </c>
    </row>
    <row r="19" spans="1:5" x14ac:dyDescent="0.25">
      <c r="A19" t="str">
        <f>CONCATENATE(618861,",",ROW(BCTCR_06608!A19),"|",COLUMN(BCTCR_06608!A19),",0",",0")</f>
        <v>618861,19|1,0,0</v>
      </c>
      <c r="B19" t="str">
        <f>CONCATENATE(618967,",",ROW(BCTCR_06608!B19),"|",COLUMN(BCTCR_06608!B19),",0",",0")</f>
        <v>618967,19|2,0,0</v>
      </c>
      <c r="C19" t="str">
        <f>CONCATENATE(619362,",",ROW(BCTCR_06608!C19),"|",COLUMN(BCTCR_06608!C19),",0",",0")</f>
        <v>619362,19|3,0,0</v>
      </c>
      <c r="D19" t="str">
        <f>CONCATENATE(618976,",",ROW(BCTCR_06608!D19),"|",COLUMN(BCTCR_06608!D19),",0",",0")</f>
        <v>618976,19|4,0,0</v>
      </c>
      <c r="E19" t="str">
        <f>CONCATENATE(619162,",",ROW(BCTCR_06608!E19),"|",COLUMN(BCTCR_06608!E19),",0",",0")</f>
        <v>619162,19|5,0,0</v>
      </c>
    </row>
    <row r="20" spans="1:5" x14ac:dyDescent="0.25">
      <c r="A20" t="str">
        <f>CONCATENATE(619133,",",ROW(BCTCR_06608!A20),"|",COLUMN(BCTCR_06608!A20),",0",",0")</f>
        <v>619133,20|1,0,0</v>
      </c>
      <c r="B20" t="str">
        <f>CONCATENATE(619017,",",ROW(BCTCR_06608!B20),"|",COLUMN(BCTCR_06608!B20),",0",",0")</f>
        <v>619017,20|2,0,0</v>
      </c>
      <c r="C20" t="str">
        <f>CONCATENATE(619315,",",ROW(BCTCR_06608!C20),"|",COLUMN(BCTCR_06608!C20),",0",",0")</f>
        <v>619315,20|3,0,0</v>
      </c>
      <c r="D20" t="str">
        <f>CONCATENATE(619498,",",ROW(BCTCR_06608!D20),"|",COLUMN(BCTCR_06608!D20),",0",",0")</f>
        <v>619498,20|4,0,0</v>
      </c>
      <c r="E20" t="str">
        <f>CONCATENATE(619377,",",ROW(BCTCR_06608!E20),"|",COLUMN(BCTCR_06608!E20),",0",",0")</f>
        <v>619377,20|5,0,0</v>
      </c>
    </row>
    <row r="21" spans="1:5" x14ac:dyDescent="0.25">
      <c r="A21" t="str">
        <f>CONCATENATE(619190,",",ROW(BCTCR_06608!A21),"|",COLUMN(BCTCR_06608!A21),",0",",0")</f>
        <v>619190,21|1,0,0</v>
      </c>
      <c r="B21" t="str">
        <f>CONCATENATE(619414,",",ROW(BCTCR_06608!B21),"|",COLUMN(BCTCR_06608!B21),",0",",0")</f>
        <v>619414,21|2,0,0</v>
      </c>
      <c r="C21" t="str">
        <f>CONCATENATE(619363,",",ROW(BCTCR_06608!C21),"|",COLUMN(BCTCR_06608!C21),",0",",0")</f>
        <v>619363,21|3,0,0</v>
      </c>
      <c r="D21" t="str">
        <f>CONCATENATE(618977,",",ROW(BCTCR_06608!D21),"|",COLUMN(BCTCR_06608!D21),",0",",0")</f>
        <v>618977,21|4,0,0</v>
      </c>
      <c r="E21" t="str">
        <f>CONCATENATE(619163,",",ROW(BCTCR_06608!E21),"|",COLUMN(BCTCR_06608!E21),",0",",0")</f>
        <v>619163,21|5,0,0</v>
      </c>
    </row>
    <row r="22" spans="1:5" x14ac:dyDescent="0.25">
      <c r="A22" t="str">
        <f>CONCATENATE(618864,",",ROW(BCTCR_06608!A22),"|",COLUMN(BCTCR_06608!A22),",0",",0")</f>
        <v>618864,22|1,0,0</v>
      </c>
      <c r="B22" t="str">
        <f>CONCATENATE(619274,",",ROW(BCTCR_06608!B22),"|",COLUMN(BCTCR_06608!B22),",0",",0")</f>
        <v>619274,22|2,0,0</v>
      </c>
      <c r="C22" t="str">
        <f>CONCATENATE(619364,",",ROW(BCTCR_06608!C22),"|",COLUMN(BCTCR_06608!C22),",0",",0")</f>
        <v>619364,22|3,0,0</v>
      </c>
      <c r="D22" t="str">
        <f>CONCATENATE(618978,",",ROW(BCTCR_06608!D22),"|",COLUMN(BCTCR_06608!D22),",0",",0")</f>
        <v>618978,22|4,0,0</v>
      </c>
      <c r="E22" t="str">
        <f>CONCATENATE(619164,",",ROW(BCTCR_06608!E22),"|",COLUMN(BCTCR_06608!E22),",0",",0")</f>
        <v>619164,22|5,0,0</v>
      </c>
    </row>
    <row r="23" spans="1:5" x14ac:dyDescent="0.25">
      <c r="A23" t="str">
        <f>CONCATENATE(619216,",",ROW(BCTCR_06608!A23),"|",COLUMN(BCTCR_06608!A23),",0",",0")</f>
        <v>619216,23|1,0,0</v>
      </c>
      <c r="B23" t="str">
        <f>CONCATENATE(619018,",",ROW(BCTCR_06608!B23),"|",COLUMN(BCTCR_06608!B23),",0",",0")</f>
        <v>619018,23|2,0,0</v>
      </c>
      <c r="C23" t="str">
        <f>CONCATENATE(619351,",",ROW(BCTCR_06608!C23),"|",COLUMN(BCTCR_06608!C23),",0",",0")</f>
        <v>619351,23|3,0,0</v>
      </c>
      <c r="D23" t="str">
        <f>CONCATENATE(619462,",",ROW(BCTCR_06608!D23),"|",COLUMN(BCTCR_06608!D23),",0",",0")</f>
        <v>619462,23|4,0,0</v>
      </c>
      <c r="E23" t="str">
        <f>CONCATENATE(618922,",",ROW(BCTCR_06608!E23),"|",COLUMN(BCTCR_06608!E23),",0",",0")</f>
        <v>618922,23|5,0,0</v>
      </c>
    </row>
    <row r="24" spans="1:5" x14ac:dyDescent="0.25">
      <c r="A24" t="str">
        <f>CONCATENATE(619191,",",ROW(BCTCR_06608!A24),"|",COLUMN(BCTCR_06608!A24),",0",",0")</f>
        <v>619191,24|1,0,0</v>
      </c>
      <c r="B24" t="str">
        <f>CONCATENATE(619275,",",ROW(BCTCR_06608!B24),"|",COLUMN(BCTCR_06608!B24),",0",",0")</f>
        <v>619275,24|2,0,0</v>
      </c>
      <c r="C24" t="str">
        <f>CONCATENATE(619365,",",ROW(BCTCR_06608!C24),"|",COLUMN(BCTCR_06608!C24),",0",",0")</f>
        <v>619365,24|3,0,0</v>
      </c>
      <c r="D24" t="str">
        <f>CONCATENATE(618979,",",ROW(BCTCR_06608!D24),"|",COLUMN(BCTCR_06608!D24),",0",",0")</f>
        <v>618979,24|4,0,0</v>
      </c>
      <c r="E24" t="str">
        <f>CONCATENATE(619165,",",ROW(BCTCR_06608!E24),"|",COLUMN(BCTCR_06608!E24),",0",",0")</f>
        <v>619165,24|5,0,0</v>
      </c>
    </row>
    <row r="25" spans="1:5" x14ac:dyDescent="0.25">
      <c r="A25" t="str">
        <f>CONCATENATE(619217,",",ROW(BCTCR_06608!A25),"|",COLUMN(BCTCR_06608!A25),",0",",0")</f>
        <v>619217,25|1,0,0</v>
      </c>
      <c r="B25" t="str">
        <f>CONCATENATE(619276,",",ROW(BCTCR_06608!B25),"|",COLUMN(BCTCR_06608!B25),",0",",0")</f>
        <v>619276,25|2,0,0</v>
      </c>
      <c r="C25" t="str">
        <f>CONCATENATE(619052,",",ROW(BCTCR_06608!C25),"|",COLUMN(BCTCR_06608!C25),",0",",0")</f>
        <v>619052,25|3,0,0</v>
      </c>
      <c r="D25" t="str">
        <f>CONCATENATE(619463,",",ROW(BCTCR_06608!D25),"|",COLUMN(BCTCR_06608!D25),",0",",0")</f>
        <v>619463,25|4,0,0</v>
      </c>
      <c r="E25" t="str">
        <f>CONCATENATE(618923,",",ROW(BCTCR_06608!E25),"|",COLUMN(BCTCR_06608!E25),",0",",0")</f>
        <v>618923,25|5,0,0</v>
      </c>
    </row>
    <row r="26" spans="1:5" x14ac:dyDescent="0.25">
      <c r="A26" t="str">
        <f>CONCATENATE(619134,",",ROW(BCTCR_06608!A26),"|",COLUMN(BCTCR_06608!A26),",0",",0")</f>
        <v>619134,26|1,0,0</v>
      </c>
      <c r="B26" t="str">
        <f>CONCATENATE(619120,",",ROW(BCTCR_06608!B26),"|",COLUMN(BCTCR_06608!B26),",0",",0")</f>
        <v>619120,26|2,0,0</v>
      </c>
      <c r="C26" t="str">
        <f>CONCATENATE(619366,",",ROW(BCTCR_06608!C26),"|",COLUMN(BCTCR_06608!C26),",0",",0")</f>
        <v>619366,26|3,0,0</v>
      </c>
      <c r="D26" t="str">
        <f>CONCATENATE(618980,",",ROW(BCTCR_06608!D26),"|",COLUMN(BCTCR_06608!D26),",0",",0")</f>
        <v>618980,26|4,0,0</v>
      </c>
      <c r="E26" t="str">
        <f>CONCATENATE(619166,",",ROW(BCTCR_06608!E26),"|",COLUMN(BCTCR_06608!E26),",0",",0")</f>
        <v>619166,26|5,0,0</v>
      </c>
    </row>
    <row r="27" spans="1:5" x14ac:dyDescent="0.25">
      <c r="A27" t="str">
        <f>CONCATENATE(618865,",",ROW(BCTCR_06608!A27),"|",COLUMN(BCTCR_06608!A27),",0",",0")</f>
        <v>618865,27|1,0,0</v>
      </c>
      <c r="B27" t="str">
        <f>CONCATENATE(619121,",",ROW(BCTCR_06608!B27),"|",COLUMN(BCTCR_06608!B27),",0",",0")</f>
        <v>619121,27|2,0,0</v>
      </c>
      <c r="C27" t="str">
        <f>CONCATENATE(619367,",",ROW(BCTCR_06608!C27),"|",COLUMN(BCTCR_06608!C27),",0",",0")</f>
        <v>619367,27|3,0,0</v>
      </c>
      <c r="D27" t="str">
        <f>CONCATENATE(618981,",",ROW(BCTCR_06608!D27),"|",COLUMN(BCTCR_06608!D27),",0",",0")</f>
        <v>618981,27|4,0,0</v>
      </c>
      <c r="E27" t="str">
        <f>CONCATENATE(619167,",",ROW(BCTCR_06608!E27),"|",COLUMN(BCTCR_06608!E27),",0",",0")</f>
        <v>619167,27|5,0,0</v>
      </c>
    </row>
    <row r="28" spans="1:5" x14ac:dyDescent="0.25">
      <c r="A28" t="str">
        <f>CONCATENATE(618866,",",ROW(BCTCR_06608!A28),"|",COLUMN(BCTCR_06608!A28),",0",",0")</f>
        <v>618866,28|1,0,0</v>
      </c>
      <c r="B28" t="str">
        <f>CONCATENATE(618919,",",ROW(BCTCR_06608!B28),"|",COLUMN(BCTCR_06608!B28),",0",",0")</f>
        <v>618919,28|2,0,0</v>
      </c>
      <c r="C28" t="str">
        <f>CONCATENATE(619316,",",ROW(BCTCR_06608!C28),"|",COLUMN(BCTCR_06608!C28),",0",",0")</f>
        <v>619316,28|3,0,0</v>
      </c>
      <c r="D28" t="str">
        <f>CONCATENATE(619499,",",ROW(BCTCR_06608!D28),"|",COLUMN(BCTCR_06608!D28),",0",",0")</f>
        <v>619499,28|4,0,0</v>
      </c>
      <c r="E28" t="str">
        <f>CONCATENATE(619378,",",ROW(BCTCR_06608!E28),"|",COLUMN(BCTCR_06608!E28),",0",",0")</f>
        <v>619378,28|5,0,0</v>
      </c>
    </row>
    <row r="29" spans="1:5" x14ac:dyDescent="0.25">
      <c r="A29" t="str">
        <f>CONCATENATE(619192,",",ROW(BCTCR_06608!A29),"|",COLUMN(BCTCR_06608!A29),",0",",0")</f>
        <v>619192,29|1,0,0</v>
      </c>
      <c r="B29" t="str">
        <f>CONCATENATE(618968,",",ROW(BCTCR_06608!B29),"|",COLUMN(BCTCR_06608!B29),",0",",0")</f>
        <v>618968,29|2,0,0</v>
      </c>
      <c r="C29" t="str">
        <f>CONCATENATE(619035,",",ROW(BCTCR_06608!C29),"|",COLUMN(BCTCR_06608!C29),",0",",0")</f>
        <v>619035,29|3,0,0</v>
      </c>
      <c r="D29" t="str">
        <f>CONCATENATE(618982,",",ROW(BCTCR_06608!D29),"|",COLUMN(BCTCR_06608!D29),",0",",0")</f>
        <v>618982,29|4,0,0</v>
      </c>
      <c r="E29" t="str">
        <f>CONCATENATE(619168,",",ROW(BCTCR_06608!E29),"|",COLUMN(BCTCR_06608!E29),",0",",0")</f>
        <v>619168,29|5,0,0</v>
      </c>
    </row>
    <row r="30" spans="1:5" x14ac:dyDescent="0.25">
      <c r="A30" t="str">
        <f>CONCATENATE(619193,",",ROW(BCTCR_06608!A30),"|",COLUMN(BCTCR_06608!A30),",0",",0")</f>
        <v>619193,30|1,0,0</v>
      </c>
      <c r="B30" t="str">
        <f>CONCATENATE(619415,",",ROW(BCTCR_06608!B30),"|",COLUMN(BCTCR_06608!B30),",0",",0")</f>
        <v>619415,30|2,0,0</v>
      </c>
      <c r="C30" t="str">
        <f>CONCATENATE(619065,",",ROW(BCTCR_06608!C30),"|",COLUMN(BCTCR_06608!C30),",0",",0")</f>
        <v>619065,30|3,0,0</v>
      </c>
      <c r="D30" t="str">
        <f>CONCATENATE(618983,",",ROW(BCTCR_06608!D30),"|",COLUMN(BCTCR_06608!D30),",0",",0")</f>
        <v>618983,30|4,0,0</v>
      </c>
      <c r="E30" t="str">
        <f>CONCATENATE(619169,",",ROW(BCTCR_06608!E30),"|",COLUMN(BCTCR_06608!E30),",0",",0")</f>
        <v>619169,30|5,0,0</v>
      </c>
    </row>
    <row r="31" spans="1:5" x14ac:dyDescent="0.25">
      <c r="A31" t="str">
        <f>CONCATENATE(619278,",",ROW(BCTCR_06608!A31),"|",COLUMN(BCTCR_06608!A31),",0",",0")</f>
        <v>619278,31|1,0,0</v>
      </c>
      <c r="B31" t="str">
        <f>CONCATENATE(619019,",",ROW(BCTCR_06608!B31),"|",COLUMN(BCTCR_06608!B31),",0",",0")</f>
        <v>619019,31|2,0,0</v>
      </c>
      <c r="C31" t="str">
        <f>CONCATENATE(619317,",",ROW(BCTCR_06608!C31),"|",COLUMN(BCTCR_06608!C31),",0",",0")</f>
        <v>619317,31|3,0,0</v>
      </c>
      <c r="D31" t="str">
        <f>CONCATENATE(619500,",",ROW(BCTCR_06608!D31),"|",COLUMN(BCTCR_06608!D31),",0",",0")</f>
        <v>619500,31|4,0,0</v>
      </c>
      <c r="E31" t="str">
        <f>CONCATENATE(619379,",",ROW(BCTCR_06608!E31),"|",COLUMN(BCTCR_06608!E31),",0",",0")</f>
        <v>619379,31|5,0,0</v>
      </c>
    </row>
    <row r="32" spans="1:5" x14ac:dyDescent="0.25">
      <c r="A32" t="str">
        <f>CONCATENATE(619014,",",ROW(BCTCR_06608!A32),"|",COLUMN(BCTCR_06608!A32),",0",",0")</f>
        <v>619014,32|1,0,0</v>
      </c>
      <c r="B32" t="str">
        <f>CONCATENATE(619122,",",ROW(BCTCR_06608!B32),"|",COLUMN(BCTCR_06608!B32),",0",",0")</f>
        <v>619122,32|2,0,0</v>
      </c>
      <c r="C32" t="str">
        <f>CONCATENATE(619313,",",ROW(BCTCR_06608!C32),"|",COLUMN(BCTCR_06608!C32),",0",",0")</f>
        <v>619313,32|3,0,0</v>
      </c>
      <c r="D32" t="str">
        <f>CONCATENATE(619496,",",ROW(BCTCR_06608!D32),"|",COLUMN(BCTCR_06608!D32),",0",",0")</f>
        <v>619496,32|4,0,0</v>
      </c>
      <c r="E32" t="str">
        <f>CONCATENATE(619284,",",ROW(BCTCR_06608!E32),"|",COLUMN(BCTCR_06608!E32),",0",",0")</f>
        <v>619284,32|5,0,0</v>
      </c>
    </row>
    <row r="33" spans="1:5" x14ac:dyDescent="0.25">
      <c r="A33" t="str">
        <f>CONCATENATE(619194,",",ROW(BCTCR_06608!A33),"|",COLUMN(BCTCR_06608!A33),",0",",0")</f>
        <v>619194,33|1,0,0</v>
      </c>
      <c r="B33" t="str">
        <f>CONCATENATE(619416,",",ROW(BCTCR_06608!B33),"|",COLUMN(BCTCR_06608!B33),",0",",0")</f>
        <v>619416,33|2,0,0</v>
      </c>
      <c r="C33" t="str">
        <f>CONCATENATE(619066,",",ROW(BCTCR_06608!C33),"|",COLUMN(BCTCR_06608!C33),",0",",0")</f>
        <v>619066,33|3,0,0</v>
      </c>
      <c r="D33" t="str">
        <f>CONCATENATE(618984,",",ROW(BCTCR_06608!D33),"|",COLUMN(BCTCR_06608!D33),",0",",0")</f>
        <v>618984,33|4,0,0</v>
      </c>
      <c r="E33" t="str">
        <f>CONCATENATE(619170,",",ROW(BCTCR_06608!E33),"|",COLUMN(BCTCR_06608!E33),",0",",0")</f>
        <v>619170,33|5,0,0</v>
      </c>
    </row>
    <row r="34" spans="1:5" x14ac:dyDescent="0.25">
      <c r="A34" t="str">
        <f>CONCATENATE(619135,",",ROW(BCTCR_06608!A34),"|",COLUMN(BCTCR_06608!A34),",0",",0")</f>
        <v>619135,34|1,0,0</v>
      </c>
      <c r="B34" t="str">
        <f>CONCATENATE(619277,",",ROW(BCTCR_06608!B34),"|",COLUMN(BCTCR_06608!B34),",0",",0")</f>
        <v>619277,34|2,0,0</v>
      </c>
      <c r="C34" t="str">
        <f>CONCATENATE(619067,",",ROW(BCTCR_06608!C34),"|",COLUMN(BCTCR_06608!C34),",0",",0")</f>
        <v>619067,34|3,0,0</v>
      </c>
      <c r="D34" t="str">
        <f>CONCATENATE(618985,",",ROW(BCTCR_06608!D34),"|",COLUMN(BCTCR_06608!D34),",0",",0")</f>
        <v>618985,34|4,0,0</v>
      </c>
      <c r="E34" t="str">
        <f>CONCATENATE(619171,",",ROW(BCTCR_06608!E34),"|",COLUMN(BCTCR_06608!E34),",0",",0")</f>
        <v>619171,34|5,0,0</v>
      </c>
    </row>
    <row r="35" spans="1:5" x14ac:dyDescent="0.25">
      <c r="A35" t="str">
        <f>CONCATENATE(619195,",",ROW(BCTCR_06608!A35),"|",COLUMN(BCTCR_06608!A35),",0",",0")</f>
        <v>619195,35|1,0,0</v>
      </c>
      <c r="B35" t="str">
        <f>CONCATENATE(619417,",",ROW(BCTCR_06608!B35),"|",COLUMN(BCTCR_06608!B35),",0",",0")</f>
        <v>619417,35|2,0,0</v>
      </c>
      <c r="C35" t="str">
        <f>CONCATENATE(619068,",",ROW(BCTCR_06608!C35),"|",COLUMN(BCTCR_06608!C35),",0",",0")</f>
        <v>619068,35|3,0,0</v>
      </c>
      <c r="D35" t="str">
        <f>CONCATENATE(618986,",",ROW(BCTCR_06608!D35),"|",COLUMN(BCTCR_06608!D35),",0",",0")</f>
        <v>618986,35|4,0,0</v>
      </c>
      <c r="E35" t="str">
        <f>CONCATENATE(619172,",",ROW(BCTCR_06608!E35),"|",COLUMN(BCTCR_06608!E35),",0",",0")</f>
        <v>619172,35|5,0,0</v>
      </c>
    </row>
    <row r="36" spans="1:5" x14ac:dyDescent="0.25">
      <c r="A36" t="str">
        <f>CONCATENATE(619136,",",ROW(BCTCR_06608!A36),"|",COLUMN(BCTCR_06608!A36),",0",",0")</f>
        <v>619136,36|1,0,0</v>
      </c>
      <c r="B36" t="str">
        <f>CONCATENATE(618969,",",ROW(BCTCR_06608!B36),"|",COLUMN(BCTCR_06608!B36),",0",",0")</f>
        <v>618969,36|2,0,0</v>
      </c>
      <c r="C36" t="str">
        <f>CONCATENATE(619069,",",ROW(BCTCR_06608!C36),"|",COLUMN(BCTCR_06608!C36),",0",",0")</f>
        <v>619069,36|3,0,0</v>
      </c>
      <c r="D36" t="str">
        <f>CONCATENATE(618987,",",ROW(BCTCR_06608!D36),"|",COLUMN(BCTCR_06608!D36),",0",",0")</f>
        <v>618987,36|4,0,0</v>
      </c>
      <c r="E36" t="str">
        <f>CONCATENATE(619173,",",ROW(BCTCR_06608!E36),"|",COLUMN(BCTCR_06608!E36),",0",",0")</f>
        <v>619173,36|5,0,0</v>
      </c>
    </row>
    <row r="37" spans="1:5" x14ac:dyDescent="0.25">
      <c r="A37" t="str">
        <f>CONCATENATE(619279,",",ROW(BCTCR_06608!A37),"|",COLUMN(BCTCR_06608!A37),",0",",0")</f>
        <v>619279,37|1,0,0</v>
      </c>
      <c r="B37" t="str">
        <f>CONCATENATE(619020,",",ROW(BCTCR_06608!B37),"|",COLUMN(BCTCR_06608!B37),",0",",0")</f>
        <v>619020,37|2,0,0</v>
      </c>
      <c r="C37" t="str">
        <f>CONCATENATE(619319,",",ROW(BCTCR_06608!C37),"|",COLUMN(BCTCR_06608!C37),",0",",0")</f>
        <v>619319,37|3,0,0</v>
      </c>
      <c r="D37" t="str">
        <f>CONCATENATE(619477,",",ROW(BCTCR_06608!D37),"|",COLUMN(BCTCR_06608!D37),",0",",0")</f>
        <v>619477,37|4,0,0</v>
      </c>
      <c r="E37" t="str">
        <f>CONCATENATE(619380,",",ROW(BCTCR_06608!E37),"|",COLUMN(BCTCR_06608!E37),",0",",0")</f>
        <v>619380,37|5,0,0</v>
      </c>
    </row>
    <row r="38" spans="1:5" x14ac:dyDescent="0.25">
      <c r="A38" t="str">
        <f>CONCATENATE(619218,",",ROW(BCTCR_06608!A38),"|",COLUMN(BCTCR_06608!A38),",0",",0")</f>
        <v>619218,38|1,0,0</v>
      </c>
      <c r="B38" t="str">
        <f>CONCATENATE(618970,",",ROW(BCTCR_06608!B38),"|",COLUMN(BCTCR_06608!B38),",0",",0")</f>
        <v>618970,38|2,0,0</v>
      </c>
      <c r="C38" t="str">
        <f>CONCATENATE(619053,",",ROW(BCTCR_06608!C38),"|",COLUMN(BCTCR_06608!C38),",0",",0")</f>
        <v>619053,38|3,0,0</v>
      </c>
      <c r="D38" t="str">
        <f>CONCATENATE(618943,",",ROW(BCTCR_06608!D38),"|",COLUMN(BCTCR_06608!D38),",0",",0")</f>
        <v>618943,38|4,0,0</v>
      </c>
      <c r="E38" t="str">
        <f>CONCATENATE(618924,",",ROW(BCTCR_06608!E38),"|",COLUMN(BCTCR_06608!E38),",0",",0")</f>
        <v>618924,38|5,0,0</v>
      </c>
    </row>
    <row r="39" spans="1:5" x14ac:dyDescent="0.25">
      <c r="A39" t="str">
        <f>CONCATENATE(619137,",",ROW(BCTCR_06608!A39),"|",COLUMN(BCTCR_06608!A39),",0",",0")</f>
        <v>619137,39|1,0,0</v>
      </c>
      <c r="B39" t="str">
        <f>CONCATENATE(618971,",",ROW(BCTCR_06608!B39),"|",COLUMN(BCTCR_06608!B39),",0",",0")</f>
        <v>618971,39|2,0,0</v>
      </c>
      <c r="C39" t="str">
        <f>CONCATENATE(619238,",",ROW(BCTCR_06608!C39),"|",COLUMN(BCTCR_06608!C39),",0",",0")</f>
        <v>619238,39|3,0,0</v>
      </c>
      <c r="D39" t="str">
        <f>CONCATENATE(618988,",",ROW(BCTCR_06608!D39),"|",COLUMN(BCTCR_06608!D39),",0",",0")</f>
        <v>618988,39|4,0,0</v>
      </c>
      <c r="E39" t="str">
        <f>CONCATENATE(619174,",",ROW(BCTCR_06608!E39),"|",COLUMN(BCTCR_06608!E39),",0",",0")</f>
        <v>619174,39|5,0,0</v>
      </c>
    </row>
    <row r="40" spans="1:5" x14ac:dyDescent="0.25">
      <c r="A40" t="str">
        <f>CONCATENATE(619286,",",ROW(BCTCR_06608!A40),"|",COLUMN(BCTCR_06608!A40),",0",",0")</f>
        <v>619286,40|1,0,0</v>
      </c>
      <c r="B40" t="str">
        <f>CONCATENATE(619021,",",ROW(BCTCR_06608!B40),"|",COLUMN(BCTCR_06608!B40),",0",",0")</f>
        <v>619021,40|2,0,0</v>
      </c>
      <c r="C40" t="str">
        <f>CONCATENATE(619320,",",ROW(BCTCR_06608!C40),"|",COLUMN(BCTCR_06608!C40),",0",",0")</f>
        <v>619320,40|3,0,0</v>
      </c>
      <c r="D40" t="str">
        <f>CONCATENATE(619485,",",ROW(BCTCR_06608!D40),"|",COLUMN(BCTCR_06608!D40),",0",",0")</f>
        <v>619485,40|4,0,0</v>
      </c>
      <c r="E40" t="str">
        <f>CONCATENATE(619381,",",ROW(BCTCR_06608!E40),"|",COLUMN(BCTCR_06608!E40),",0",",0")</f>
        <v>619381,40|5,0,0</v>
      </c>
    </row>
    <row r="41" spans="1:5" x14ac:dyDescent="0.25">
      <c r="A41" t="str">
        <f>CONCATENATE(619138,",",ROW(BCTCR_06608!A41),"|",COLUMN(BCTCR_06608!A41),",0",",0")</f>
        <v>619138,41|1,0,0</v>
      </c>
      <c r="B41" t="str">
        <f>CONCATENATE(619027,",",ROW(BCTCR_06608!B41),"|",COLUMN(BCTCR_06608!B41),",0",",0")</f>
        <v>619027,41|2,0,0</v>
      </c>
      <c r="C41" t="str">
        <f>CONCATENATE(619070,",",ROW(BCTCR_06608!C41),"|",COLUMN(BCTCR_06608!C41),",0",",0")</f>
        <v>619070,41|3,0,0</v>
      </c>
      <c r="D41" t="str">
        <f>CONCATENATE(618989,",",ROW(BCTCR_06608!D41),"|",COLUMN(BCTCR_06608!D41),",0",",0")</f>
        <v>618989,41|4,0,0</v>
      </c>
      <c r="E41" t="str">
        <f>CONCATENATE(619175,",",ROW(BCTCR_06608!E41),"|",COLUMN(BCTCR_06608!E41),",0",",0")</f>
        <v>619175,41|5,0,0</v>
      </c>
    </row>
    <row r="42" spans="1:5" x14ac:dyDescent="0.25">
      <c r="A42" t="str">
        <f>CONCATENATE(619280,",",ROW(BCTCR_06608!A42),"|",COLUMN(BCTCR_06608!A42),",0",",0")</f>
        <v>619280,42|1,0,0</v>
      </c>
      <c r="B42" t="str">
        <f>CONCATENATE(619446,",",ROW(BCTCR_06608!B42),"|",COLUMN(BCTCR_06608!B42),",0",",0")</f>
        <v>619446,42|2,0,0</v>
      </c>
      <c r="C42" t="str">
        <f>CONCATENATE(619348,",",ROW(BCTCR_06608!C42),"|",COLUMN(BCTCR_06608!C42),",0",",0")</f>
        <v>619348,42|3,0,0</v>
      </c>
      <c r="D42" t="str">
        <f>CONCATENATE(619481,",",ROW(BCTCR_06608!D42),"|",COLUMN(BCTCR_06608!D42),",0",",0")</f>
        <v>619481,42|4,0,0</v>
      </c>
      <c r="E42" t="str">
        <f>CONCATENATE(619151,",",ROW(BCTCR_06608!E42),"|",COLUMN(BCTCR_06608!E42),",0",",0")</f>
        <v>619151,42|5,0,0</v>
      </c>
    </row>
    <row r="43" spans="1:5" x14ac:dyDescent="0.25">
      <c r="A43" t="str">
        <f>CONCATENATE(619196,",",ROW(BCTCR_06608!A43),"|",COLUMN(BCTCR_06608!A43),",0",",0")</f>
        <v>619196,43|1,0,0</v>
      </c>
      <c r="B43" t="str">
        <f>CONCATENATE(619447,",",ROW(BCTCR_06608!B43),"|",COLUMN(BCTCR_06608!B43),",0",",0")</f>
        <v>619447,43|2,0,0</v>
      </c>
      <c r="C43" t="str">
        <f>CONCATENATE(619071,",",ROW(BCTCR_06608!C43),"|",COLUMN(BCTCR_06608!C43),",0",",0")</f>
        <v>619071,43|3,0,0</v>
      </c>
      <c r="D43" t="str">
        <f>CONCATENATE(618990,",",ROW(BCTCR_06608!D43),"|",COLUMN(BCTCR_06608!D43),",0",",0")</f>
        <v>618990,43|4,0,0</v>
      </c>
      <c r="E43" t="str">
        <f>CONCATENATE(619176,",",ROW(BCTCR_06608!E43),"|",COLUMN(BCTCR_06608!E43),",0",",0")</f>
        <v>619176,43|5,0,0</v>
      </c>
    </row>
    <row r="44" spans="1:5" x14ac:dyDescent="0.25">
      <c r="A44" t="str">
        <f>CONCATENATE(619219,",",ROW(BCTCR_06608!A44),"|",COLUMN(BCTCR_06608!A44),",0",",0")</f>
        <v>619219,44|1,0,0</v>
      </c>
      <c r="B44" t="str">
        <f>CONCATENATE(619251,",",ROW(BCTCR_06608!B44),"|",COLUMN(BCTCR_06608!B44),",0",",0")</f>
        <v>619251,44|2,0,0</v>
      </c>
      <c r="C44" t="str">
        <f>CONCATENATE(619054,",",ROW(BCTCR_06608!C44),"|",COLUMN(BCTCR_06608!C44),",0",",0")</f>
        <v>619054,44|3,0,0</v>
      </c>
      <c r="D44" t="str">
        <f>CONCATENATE(618944,",",ROW(BCTCR_06608!D44),"|",COLUMN(BCTCR_06608!D44),",0",",0")</f>
        <v>618944,44|4,0,0</v>
      </c>
      <c r="E44" t="str">
        <f>CONCATENATE(618925,",",ROW(BCTCR_06608!E44),"|",COLUMN(BCTCR_06608!E44),",0",",0")</f>
        <v>618925,44|5,0,0</v>
      </c>
    </row>
    <row r="45" spans="1:5" x14ac:dyDescent="0.25">
      <c r="A45" t="str">
        <f>CONCATENATE(618973,",",ROW(BCTCR_06608!A45),"|",COLUMN(BCTCR_06608!A45),",0",",0")</f>
        <v>618973,45|1,0,0</v>
      </c>
      <c r="B45" t="str">
        <f>CONCATENATE(619418,",",ROW(BCTCR_06608!B45),"|",COLUMN(BCTCR_06608!B45),",0",",0")</f>
        <v>619418,45|2,0,0</v>
      </c>
      <c r="C45" t="str">
        <f>CONCATENATE(619349,",",ROW(BCTCR_06608!C45),"|",COLUMN(BCTCR_06608!C45),",0",",0")</f>
        <v>619349,45|3,0,0</v>
      </c>
      <c r="D45" t="str">
        <f>CONCATENATE(619482,",",ROW(BCTCR_06608!D45),"|",COLUMN(BCTCR_06608!D45),",0",",0")</f>
        <v>619482,45|4,0,0</v>
      </c>
      <c r="E45" t="str">
        <f>CONCATENATE(619152,",",ROW(BCTCR_06608!E45),"|",COLUMN(BCTCR_06608!E45),",0",",0")</f>
        <v>619152,45|5,0,0</v>
      </c>
    </row>
    <row r="46" spans="1:5" x14ac:dyDescent="0.25">
      <c r="A46" t="str">
        <f>CONCATENATE(619267,",",ROW(BCTCR_06608!A46),"|",COLUMN(BCTCR_06608!A46),",0",",0")</f>
        <v>619267,46|1,0,0</v>
      </c>
      <c r="B46" t="str">
        <f>CONCATENATE(619123,",",ROW(BCTCR_06608!B46),"|",COLUMN(BCTCR_06608!B46),",0",",0")</f>
        <v>619123,46|2,0,0</v>
      </c>
      <c r="C46" t="str">
        <f>CONCATENATE(619350,",",ROW(BCTCR_06608!C46),"|",COLUMN(BCTCR_06608!C46),",0",",0")</f>
        <v>619350,46|3,0,0</v>
      </c>
      <c r="D46" t="str">
        <f>CONCATENATE(619483,",",ROW(BCTCR_06608!D46),"|",COLUMN(BCTCR_06608!D46),",0",",0")</f>
        <v>619483,46|4,0,0</v>
      </c>
      <c r="E46" t="str">
        <f>CONCATENATE(619153,",",ROW(BCTCR_06608!E46),"|",COLUMN(BCTCR_06608!E46),",0",",0")</f>
        <v>619153,46|5,0,0</v>
      </c>
    </row>
    <row r="47" spans="1:5" x14ac:dyDescent="0.25">
      <c r="A47" t="str">
        <f>CONCATENATE(619268,",",ROW(BCTCR_06608!A47),"|",COLUMN(BCTCR_06608!A47),",0",",0")</f>
        <v>619268,47|1,0,0</v>
      </c>
      <c r="B47" t="str">
        <f>CONCATENATE(619503,",",ROW(BCTCR_06608!B47),"|",COLUMN(BCTCR_06608!B47),",0",",0")</f>
        <v>619503,47|2,0,0</v>
      </c>
      <c r="C47" t="str">
        <f>CONCATENATE(619352,",",ROW(BCTCR_06608!C47),"|",COLUMN(BCTCR_06608!C47),",0",",0")</f>
        <v>619352,47|3,0,0</v>
      </c>
      <c r="D47" t="str">
        <f>CONCATENATE(619484,",",ROW(BCTCR_06608!D47),"|",COLUMN(BCTCR_06608!D47),",0",",0")</f>
        <v>619484,47|4,0,0</v>
      </c>
      <c r="E47" t="str">
        <f>CONCATENATE(619154,",",ROW(BCTCR_06608!E47),"|",COLUMN(BCTCR_06608!E47),",0",",0")</f>
        <v>619154,47|5,0,0</v>
      </c>
    </row>
    <row r="48" spans="1:5" x14ac:dyDescent="0.25">
      <c r="A48" t="str">
        <f>CONCATENATE(619139,",",ROW(BCTCR_06608!A48),"|",COLUMN(BCTCR_06608!A48),",0",",0")</f>
        <v>619139,48|1,0,0</v>
      </c>
      <c r="B48" t="str">
        <f>CONCATENATE(618935,",",ROW(BCTCR_06608!B48),"|",COLUMN(BCTCR_06608!B48),",0",",0")</f>
        <v>618935,48|2,0,0</v>
      </c>
      <c r="C48" t="str">
        <f>CONCATENATE(619072,",",ROW(BCTCR_06608!C48),"|",COLUMN(BCTCR_06608!C48),",0",",0")</f>
        <v>619072,48|3,0,0</v>
      </c>
      <c r="D48" t="str">
        <f>CONCATENATE(618991,",",ROW(BCTCR_06608!D48),"|",COLUMN(BCTCR_06608!D48),",0",",0")</f>
        <v>618991,48|4,0,0</v>
      </c>
      <c r="E48" t="str">
        <f>CONCATENATE(619177,",",ROW(BCTCR_06608!E48),"|",COLUMN(BCTCR_06608!E48),",0",",0")</f>
        <v>619177,48|5,0,0</v>
      </c>
    </row>
    <row r="49" spans="1:5" x14ac:dyDescent="0.25">
      <c r="A49" t="str">
        <f>CONCATENATE(619229,",",ROW(BCTCR_06608!A49),"|",COLUMN(BCTCR_06608!A49),",0",",0")</f>
        <v>619229,49|1,0,0</v>
      </c>
      <c r="B49" t="str">
        <f>CONCATENATE(619504,",",ROW(BCTCR_06608!B49),"|",COLUMN(BCTCR_06608!B49),",0",",0")</f>
        <v>619504,49|2,0,0</v>
      </c>
      <c r="C49" t="str">
        <f>CONCATENATE(619073,",",ROW(BCTCR_06608!C49),"|",COLUMN(BCTCR_06608!C49),",0",",0")</f>
        <v>619073,49|3,0,0</v>
      </c>
      <c r="D49" t="str">
        <f>CONCATENATE(618992,",",ROW(BCTCR_06608!D49),"|",COLUMN(BCTCR_06608!D49),",0",",0")</f>
        <v>618992,49|4,0,0</v>
      </c>
      <c r="E49" t="str">
        <f>CONCATENATE(619178,",",ROW(BCTCR_06608!E49),"|",COLUMN(BCTCR_06608!E49),",0",",0")</f>
        <v>619178,49|5,0,0</v>
      </c>
    </row>
    <row r="50" spans="1:5" x14ac:dyDescent="0.25">
      <c r="A50" t="str">
        <f>CONCATENATE(619197,",",ROW(BCTCR_06608!A50),"|",COLUMN(BCTCR_06608!A50),",0",",0")</f>
        <v>619197,50|1,0,0</v>
      </c>
      <c r="B50" t="str">
        <f>CONCATENATE(619505,",",ROW(BCTCR_06608!B50),"|",COLUMN(BCTCR_06608!B50),",0",",0")</f>
        <v>619505,50|2,0,0</v>
      </c>
      <c r="C50" t="str">
        <f>CONCATENATE(619074,",",ROW(BCTCR_06608!C50),"|",COLUMN(BCTCR_06608!C50),",0",",0")</f>
        <v>619074,50|3,0,0</v>
      </c>
      <c r="D50" t="str">
        <f>CONCATENATE(618993,",",ROW(BCTCR_06608!D50),"|",COLUMN(BCTCR_06608!D50),",0",",0")</f>
        <v>618993,50|4,0,0</v>
      </c>
      <c r="E50" t="str">
        <f>CONCATENATE(619179,",",ROW(BCTCR_06608!E50),"|",COLUMN(BCTCR_06608!E50),",0",",0")</f>
        <v>619179,50|5,0,0</v>
      </c>
    </row>
    <row r="51" spans="1:5" x14ac:dyDescent="0.25">
      <c r="A51" t="str">
        <f>CONCATENATE(619198,",",ROW(BCTCR_06608!A51),"|",COLUMN(BCTCR_06608!A51),",0",",0")</f>
        <v>619198,51|1,0,0</v>
      </c>
      <c r="B51" t="str">
        <f>CONCATENATE(619506,",",ROW(BCTCR_06608!B51),"|",COLUMN(BCTCR_06608!B51),",0",",0")</f>
        <v>619506,51|2,0,0</v>
      </c>
      <c r="C51" t="str">
        <f>CONCATENATE(619075,",",ROW(BCTCR_06608!C51),"|",COLUMN(BCTCR_06608!C51),",0",",0")</f>
        <v>619075,51|3,0,0</v>
      </c>
      <c r="D51" t="str">
        <f>CONCATENATE(618994,",",ROW(BCTCR_06608!D51),"|",COLUMN(BCTCR_06608!D51),",0",",0")</f>
        <v>618994,51|4,0,0</v>
      </c>
      <c r="E51" t="str">
        <f>CONCATENATE(619180,",",ROW(BCTCR_06608!E51),"|",COLUMN(BCTCR_06608!E51),",0",",0")</f>
        <v>619180,51|5,0,0</v>
      </c>
    </row>
    <row r="52" spans="1:5" x14ac:dyDescent="0.25">
      <c r="A52" t="str">
        <f>CONCATENATE(619220,",",ROW(BCTCR_06608!A52),"|",COLUMN(BCTCR_06608!A52),",0",",0")</f>
        <v>619220,52|1,0,0</v>
      </c>
      <c r="B52" t="str">
        <f>CONCATENATE(619507,",",ROW(BCTCR_06608!B52),"|",COLUMN(BCTCR_06608!B52),",0",",0")</f>
        <v>619507,52|2,0,0</v>
      </c>
      <c r="C52" t="str">
        <f>CONCATENATE(619055,",",ROW(BCTCR_06608!C52),"|",COLUMN(BCTCR_06608!C52),",0",",0")</f>
        <v>619055,52|3,0,0</v>
      </c>
      <c r="D52" t="str">
        <f>CONCATENATE(618945,",",ROW(BCTCR_06608!D52),"|",COLUMN(BCTCR_06608!D52),",0",",0")</f>
        <v>618945,52|4,0,0</v>
      </c>
      <c r="E52" t="str">
        <f>CONCATENATE(618862,",",ROW(BCTCR_06608!E52),"|",COLUMN(BCTCR_06608!E52),",0",",0")</f>
        <v>618862,52|5,0,0</v>
      </c>
    </row>
    <row r="53" spans="1:5" x14ac:dyDescent="0.25">
      <c r="A53" t="str">
        <f>CONCATENATE(619221,",",ROW(BCTCR_06608!A53),"|",COLUMN(BCTCR_06608!A53),",0",",0")</f>
        <v>619221,53|1,0,0</v>
      </c>
      <c r="B53" t="str">
        <f>CONCATENATE(619022,",",ROW(BCTCR_06608!B53),"|",COLUMN(BCTCR_06608!B53),",0",",0")</f>
        <v>619022,53|2,0,0</v>
      </c>
      <c r="C53" t="str">
        <f>CONCATENATE(619056,",",ROW(BCTCR_06608!C53),"|",COLUMN(BCTCR_06608!C53),",0",",0")</f>
        <v>619056,53|3,0,0</v>
      </c>
      <c r="D53" t="str">
        <f>CONCATENATE(618946,",",ROW(BCTCR_06608!D53),"|",COLUMN(BCTCR_06608!D53),",0",",0")</f>
        <v>618946,53|4,0,0</v>
      </c>
      <c r="E53" t="str">
        <f>CONCATENATE(618863,",",ROW(BCTCR_06608!E53),"|",COLUMN(BCTCR_06608!E53),",0",",0")</f>
        <v>618863,53|5,0,0</v>
      </c>
    </row>
    <row r="54" spans="1:5" x14ac:dyDescent="0.25">
      <c r="A54" t="str">
        <f>CONCATENATE(619248,",",ROW(BCTCR_06608!A54),"|",COLUMN(BCTCR_06608!A54),",0",",0")</f>
        <v>619248,54|1,0,0</v>
      </c>
      <c r="B54" t="str">
        <f>CONCATENATE(618845,",",ROW(BCTCR_06608!B54),"|",COLUMN(BCTCR_06608!B54),",0",",0")</f>
        <v>618845,54|2,0,0</v>
      </c>
      <c r="C54" t="str">
        <f>CONCATENATE(619076,",",ROW(BCTCR_06608!C54),"|",COLUMN(BCTCR_06608!C54),",0",",0")</f>
        <v>619076,54|3,0,0</v>
      </c>
      <c r="D54" t="str">
        <f>CONCATENATE(618995,",",ROW(BCTCR_06608!D54),"|",COLUMN(BCTCR_06608!D54),",0",",0")</f>
        <v>618995,54|4,0,0</v>
      </c>
      <c r="E54" t="str">
        <f>CONCATENATE(619181,",",ROW(BCTCR_06608!E54),"|",COLUMN(BCTCR_06608!E54),",0",",0")</f>
        <v>619181,54|5,0,0</v>
      </c>
    </row>
    <row r="55" spans="1:5" x14ac:dyDescent="0.25">
      <c r="A55" t="str">
        <f>CONCATENATE(619222,",",ROW(BCTCR_06608!A55),"|",COLUMN(BCTCR_06608!A55),",0",",0")</f>
        <v>619222,55|1,0,0</v>
      </c>
      <c r="B55" t="str">
        <f>CONCATENATE(619419,",",ROW(BCTCR_06608!B55),"|",COLUMN(BCTCR_06608!B55),",0",",0")</f>
        <v>619419,55|2,0,0</v>
      </c>
      <c r="C55" t="str">
        <f>CONCATENATE(619057,",",ROW(BCTCR_06608!C55),"|",COLUMN(BCTCR_06608!C55),",0",",0")</f>
        <v>619057,55|3,0,0</v>
      </c>
      <c r="D55" t="str">
        <f>CONCATENATE(618947,",",ROW(BCTCR_06608!D55),"|",COLUMN(BCTCR_06608!D55),",0",",0")</f>
        <v>618947,55|4,0,0</v>
      </c>
      <c r="E55" t="str">
        <f>CONCATENATE(619464,",",ROW(BCTCR_06608!E55),"|",COLUMN(BCTCR_06608!E55),",0",",0")</f>
        <v>619464,55|5,0,0</v>
      </c>
    </row>
    <row r="56" spans="1:5" x14ac:dyDescent="0.25">
      <c r="A56" t="str">
        <f>CONCATENATE(619223,",",ROW(BCTCR_06608!A56),"|",COLUMN(BCTCR_06608!A56),",0",",0")</f>
        <v>619223,56|1,0,0</v>
      </c>
      <c r="B56" t="str">
        <f>CONCATENATE(619473,",",ROW(BCTCR_06608!B56),"|",COLUMN(BCTCR_06608!B56),",0",",0")</f>
        <v>619473,56|2,0,0</v>
      </c>
      <c r="C56" t="str">
        <f>CONCATENATE(619058,",",ROW(BCTCR_06608!C56),"|",COLUMN(BCTCR_06608!C56),",0",",0")</f>
        <v>619058,56|3,0,0</v>
      </c>
      <c r="D56" t="str">
        <f>CONCATENATE(618948,",",ROW(BCTCR_06608!D56),"|",COLUMN(BCTCR_06608!D56),",0",",0")</f>
        <v>618948,56|4,0,0</v>
      </c>
      <c r="E56" t="str">
        <f>CONCATENATE(619465,",",ROW(BCTCR_06608!E56),"|",COLUMN(BCTCR_06608!E56),",0",",0")</f>
        <v>619465,56|5,0,0</v>
      </c>
    </row>
    <row r="57" spans="1:5" x14ac:dyDescent="0.25">
      <c r="A57" t="str">
        <f>CONCATENATE(619224,",",ROW(BCTCR_06608!A57),"|",COLUMN(BCTCR_06608!A57),",0",",0")</f>
        <v>619224,57|1,0,0</v>
      </c>
      <c r="B57" t="str">
        <f>CONCATENATE(618846,",",ROW(BCTCR_06608!B57),"|",COLUMN(BCTCR_06608!B57),",0",",0")</f>
        <v>618846,57|2,0,0</v>
      </c>
      <c r="C57" t="str">
        <f>CONCATENATE(619059,",",ROW(BCTCR_06608!C57),"|",COLUMN(BCTCR_06608!C57),",0",",0")</f>
        <v>619059,57|3,0,0</v>
      </c>
      <c r="D57" t="str">
        <f>CONCATENATE(618949,",",ROW(BCTCR_06608!D57),"|",COLUMN(BCTCR_06608!D57),",0",",0")</f>
        <v>618949,57|4,0,0</v>
      </c>
      <c r="E57" t="str">
        <f>CONCATENATE(619466,",",ROW(BCTCR_06608!E57),"|",COLUMN(BCTCR_06608!E57),",0",",0")</f>
        <v>619466,57|5,0,0</v>
      </c>
    </row>
    <row r="58" spans="1:5" x14ac:dyDescent="0.25">
      <c r="A58" t="str">
        <f>CONCATENATE(619493,",",ROW(BCTCR_06608!A58),"|",COLUMN(BCTCR_06608!A58),",0",",0")</f>
        <v>619493,58|1,0,0</v>
      </c>
      <c r="B58" t="str">
        <f>CONCATENATE(619420,",",ROW(BCTCR_06608!B58),"|",COLUMN(BCTCR_06608!B58),",0",",0")</f>
        <v>619420,58|2,0,0</v>
      </c>
      <c r="C58" t="str">
        <f>CONCATENATE(619077,",",ROW(BCTCR_06608!C58),"|",COLUMN(BCTCR_06608!C58),",0",",0")</f>
        <v>619077,58|3,0,0</v>
      </c>
      <c r="D58" t="str">
        <f>CONCATENATE(618996,",",ROW(BCTCR_06608!D58),"|",COLUMN(BCTCR_06608!D58),",0",",0")</f>
        <v>618996,58|4,0,0</v>
      </c>
      <c r="E58" t="str">
        <f>CONCATENATE(619182,",",ROW(BCTCR_06608!E58),"|",COLUMN(BCTCR_06608!E58),",0",",0")</f>
        <v>619182,58|5,0,0</v>
      </c>
    </row>
    <row r="59" spans="1:5" x14ac:dyDescent="0.25">
      <c r="A59" t="str">
        <f>CONCATENATE(619230,",",ROW(BCTCR_06608!A59),"|",COLUMN(BCTCR_06608!A59),",0",",0")</f>
        <v>619230,59|1,0,0</v>
      </c>
      <c r="B59" t="str">
        <f>CONCATENATE(618880,",",ROW(BCTCR_06608!B59),"|",COLUMN(BCTCR_06608!B59),",0",",0")</f>
        <v>618880,59|2,0,0</v>
      </c>
      <c r="C59" t="str">
        <f>CONCATENATE(619078,",",ROW(BCTCR_06608!C59),"|",COLUMN(BCTCR_06608!C59),",0",",0")</f>
        <v>619078,59|3,0,0</v>
      </c>
      <c r="D59" t="str">
        <f>CONCATENATE(618997,",",ROW(BCTCR_06608!D59),"|",COLUMN(BCTCR_06608!D59),",0",",0")</f>
        <v>618997,59|4,0,0</v>
      </c>
      <c r="E59" t="str">
        <f>CONCATENATE(619183,",",ROW(BCTCR_06608!E59),"|",COLUMN(BCTCR_06608!E59),",0",",0")</f>
        <v>619183,59|5,0,0</v>
      </c>
    </row>
    <row r="60" spans="1:5" x14ac:dyDescent="0.25">
      <c r="A60" t="str">
        <f>CONCATENATE(619269,",",ROW(BCTCR_06608!A60),"|",COLUMN(BCTCR_06608!A60),",0",",0")</f>
        <v>619269,60|1,0,0</v>
      </c>
      <c r="B60" t="str">
        <f>CONCATENATE(618881,",",ROW(BCTCR_06608!B60),"|",COLUMN(BCTCR_06608!B60),",0",",0")</f>
        <v>618881,60|2,0,0</v>
      </c>
      <c r="C60" t="str">
        <f>CONCATENATE(619353,",",ROW(BCTCR_06608!C60),"|",COLUMN(BCTCR_06608!C60),",0",",0")</f>
        <v>619353,60|3,0,0</v>
      </c>
      <c r="D60" t="str">
        <f>CONCATENATE(619298,",",ROW(BCTCR_06608!D60),"|",COLUMN(BCTCR_06608!D60),",0",",0")</f>
        <v>619298,60|4,0,0</v>
      </c>
      <c r="E60" t="str">
        <f>CONCATENATE(619155,",",ROW(BCTCR_06608!E60),"|",COLUMN(BCTCR_06608!E60),",0",",0")</f>
        <v>619155,60|5,0,0</v>
      </c>
    </row>
    <row r="61" spans="1:5" x14ac:dyDescent="0.25">
      <c r="A61" t="str">
        <f>CONCATENATE(619225,",",ROW(BCTCR_06608!A61),"|",COLUMN(BCTCR_06608!A61),",0",",0")</f>
        <v>619225,61|1,0,0</v>
      </c>
      <c r="B61" t="str">
        <f>CONCATENATE(619421,",",ROW(BCTCR_06608!B61),"|",COLUMN(BCTCR_06608!B61),",0",",0")</f>
        <v>619421,61|2,0,0</v>
      </c>
      <c r="C61" t="str">
        <f>CONCATENATE(619060,",",ROW(BCTCR_06608!C61),"|",COLUMN(BCTCR_06608!C61),",0",",0")</f>
        <v>619060,61|3,0,0</v>
      </c>
      <c r="D61" t="str">
        <f>CONCATENATE(618950,",",ROW(BCTCR_06608!D61),"|",COLUMN(BCTCR_06608!D61),",0",",0")</f>
        <v>618950,61|4,0,0</v>
      </c>
      <c r="E61" t="str">
        <f>CONCATENATE(619467,",",ROW(BCTCR_06608!E61),"|",COLUMN(BCTCR_06608!E61),",0",",0")</f>
        <v>619467,61|5,0,0</v>
      </c>
    </row>
    <row r="62" spans="1:5" x14ac:dyDescent="0.25">
      <c r="A62" t="str">
        <f>CONCATENATE(619199,",",ROW(BCTCR_06608!A62),"|",COLUMN(BCTCR_06608!A62),",0",",0")</f>
        <v>619199,62|1,0,0</v>
      </c>
      <c r="B62" t="str">
        <f>CONCATENATE(618882,",",ROW(BCTCR_06608!B62),"|",COLUMN(BCTCR_06608!B62),",0",",0")</f>
        <v>618882,62|2,0,0</v>
      </c>
      <c r="C62" t="str">
        <f>CONCATENATE(619079,",",ROW(BCTCR_06608!C62),"|",COLUMN(BCTCR_06608!C62),",0",",0")</f>
        <v>619079,62|3,0,0</v>
      </c>
      <c r="D62" t="str">
        <f>CONCATENATE(618998,",",ROW(BCTCR_06608!D62),"|",COLUMN(BCTCR_06608!D62),",0",",0")</f>
        <v>618998,62|4,0,0</v>
      </c>
      <c r="E62" t="str">
        <f>CONCATENATE(619184,",",ROW(BCTCR_06608!E62),"|",COLUMN(BCTCR_06608!E62),",0",",0")</f>
        <v>619184,62|5,0,0</v>
      </c>
    </row>
    <row r="63" spans="1:5" x14ac:dyDescent="0.25">
      <c r="A63" t="str">
        <f>CONCATENATE(619270,",",ROW(BCTCR_06608!A63),"|",COLUMN(BCTCR_06608!A63),",0",",0")</f>
        <v>619270,63|1,0,0</v>
      </c>
      <c r="B63" t="str">
        <f>CONCATENATE(619422,",",ROW(BCTCR_06608!B63),"|",COLUMN(BCTCR_06608!B63),",0",",0")</f>
        <v>619422,63|2,0,0</v>
      </c>
      <c r="C63" t="str">
        <f>CONCATENATE(619354,",",ROW(BCTCR_06608!C63),"|",COLUMN(BCTCR_06608!C63),",0",",0")</f>
        <v>619354,63|3,0,0</v>
      </c>
      <c r="D63" t="str">
        <f>CONCATENATE(619299,",",ROW(BCTCR_06608!D63),"|",COLUMN(BCTCR_06608!D63),",0",",0")</f>
        <v>619299,63|4,0,0</v>
      </c>
      <c r="E63" t="str">
        <f>CONCATENATE(619156,",",ROW(BCTCR_06608!E63),"|",COLUMN(BCTCR_06608!E63),",0",",0")</f>
        <v>619156,63|5,0,0</v>
      </c>
    </row>
    <row r="64" spans="1:5" x14ac:dyDescent="0.25">
      <c r="A64" t="str">
        <f>CONCATENATE(619226,",",ROW(BCTCR_06608!A64),"|",COLUMN(BCTCR_06608!A64),",0",",0")</f>
        <v>619226,64|1,0,0</v>
      </c>
      <c r="B64" t="str">
        <f>CONCATENATE(619023,",",ROW(BCTCR_06608!B64),"|",COLUMN(BCTCR_06608!B64),",0",",0")</f>
        <v>619023,64|2,0,0</v>
      </c>
      <c r="C64" t="str">
        <f>CONCATENATE(619061,",",ROW(BCTCR_06608!C64),"|",COLUMN(BCTCR_06608!C64),",0",",0")</f>
        <v>619061,64|3,0,0</v>
      </c>
      <c r="D64" t="str">
        <f>CONCATENATE(618951,",",ROW(BCTCR_06608!D64),"|",COLUMN(BCTCR_06608!D64),",0",",0")</f>
        <v>618951,64|4,0,0</v>
      </c>
      <c r="E64" t="str">
        <f>CONCATENATE(619468,",",ROW(BCTCR_06608!E64),"|",COLUMN(BCTCR_06608!E64),",0",",0")</f>
        <v>619468,64|5,0,0</v>
      </c>
    </row>
    <row r="65" spans="1:5" x14ac:dyDescent="0.25">
      <c r="A65" t="str">
        <f>CONCATENATE(619271,",",ROW(BCTCR_06608!A65),"|",COLUMN(BCTCR_06608!A65),",0",",0")</f>
        <v>619271,65|1,0,0</v>
      </c>
      <c r="B65" t="str">
        <f>CONCATENATE(619474,",",ROW(BCTCR_06608!B65),"|",COLUMN(BCTCR_06608!B65),",0",",0")</f>
        <v>619474,65|2,0,0</v>
      </c>
      <c r="C65" t="str">
        <f>CONCATENATE(619355,",",ROW(BCTCR_06608!C65),"|",COLUMN(BCTCR_06608!C65),",0",",0")</f>
        <v>619355,65|3,0,0</v>
      </c>
      <c r="D65" t="str">
        <f>CONCATENATE(619300,",",ROW(BCTCR_06608!D65),"|",COLUMN(BCTCR_06608!D65),",0",",0")</f>
        <v>619300,65|4,0,0</v>
      </c>
      <c r="E65" t="str">
        <f>CONCATENATE(619157,",",ROW(BCTCR_06608!E65),"|",COLUMN(BCTCR_06608!E65),",0",",0")</f>
        <v>619157,65|5,0,0</v>
      </c>
    </row>
    <row r="66" spans="1:5" x14ac:dyDescent="0.25">
      <c r="A66" t="str">
        <f>CONCATENATE(619117,",",ROW(BCTCR_06608!A66),"|",COLUMN(BCTCR_06608!A66),",0",",0")</f>
        <v>619117,66|1,0,0</v>
      </c>
      <c r="B66" t="str">
        <f>CONCATENATE(618883,",",ROW(BCTCR_06608!B66),"|",COLUMN(BCTCR_06608!B66),",0",",0")</f>
        <v>618883,66|2,0,0</v>
      </c>
      <c r="C66" t="str">
        <f>CONCATENATE(619062,",",ROW(BCTCR_06608!C66),"|",COLUMN(BCTCR_06608!C66),",0",",0")</f>
        <v>619062,66|3,0,0</v>
      </c>
      <c r="D66" t="str">
        <f>CONCATENATE(618952,",",ROW(BCTCR_06608!D66),"|",COLUMN(BCTCR_06608!D66),",0",",0")</f>
        <v>618952,66|4,0,0</v>
      </c>
      <c r="E66" t="str">
        <f>CONCATENATE(619469,",",ROW(BCTCR_06608!E66),"|",COLUMN(BCTCR_06608!E66),",0",",0")</f>
        <v>619469,66|5,0,0</v>
      </c>
    </row>
    <row r="67" spans="1:5" x14ac:dyDescent="0.25">
      <c r="A67" t="str">
        <f>CONCATENATE(619205,",",ROW(BCTCR_06608!A67),"|",COLUMN(BCTCR_06608!A67),",0",",0")</f>
        <v>619205,67|1,0,0</v>
      </c>
      <c r="B67" t="str">
        <f>CONCATENATE(619423,",",ROW(BCTCR_06608!B67),"|",COLUMN(BCTCR_06608!B67),",0",",0")</f>
        <v>619423,67|2,0,0</v>
      </c>
      <c r="C67" t="str">
        <f>CONCATENATE(619080,",",ROW(BCTCR_06608!C67),"|",COLUMN(BCTCR_06608!C67),",0",",0")</f>
        <v>619080,67|3,0,0</v>
      </c>
      <c r="D67" t="str">
        <f>CONCATENATE(618999,",",ROW(BCTCR_06608!D67),"|",COLUMN(BCTCR_06608!D67),",0",",0")</f>
        <v>618999,67|4,0,0</v>
      </c>
      <c r="E67" t="str">
        <f>CONCATENATE(619185,",",ROW(BCTCR_06608!E67),"|",COLUMN(BCTCR_06608!E67),",0",",0")</f>
        <v>619185,67|5,0,0</v>
      </c>
    </row>
    <row r="68" spans="1:5" x14ac:dyDescent="0.25">
      <c r="A68" t="str">
        <f>CONCATENATE(619240,",",ROW(BCTCR_06608!A68),"|",COLUMN(BCTCR_06608!A68),",0",",0")</f>
        <v>619240,68|1,0,0</v>
      </c>
      <c r="B68" t="str">
        <f>CONCATENATE(618884,",",ROW(BCTCR_06608!B68),"|",COLUMN(BCTCR_06608!B68),",0",",0")</f>
        <v>618884,68|2,0,0</v>
      </c>
      <c r="C68" t="str">
        <f>CONCATENATE(619081,",",ROW(BCTCR_06608!C68),"|",COLUMN(BCTCR_06608!C68),",0",",0")</f>
        <v>619081,68|3,0,0</v>
      </c>
      <c r="D68" t="str">
        <f>CONCATENATE(619000,",",ROW(BCTCR_06608!D68),"|",COLUMN(BCTCR_06608!D68),",0",",0")</f>
        <v>619000,68|4,0,0</v>
      </c>
      <c r="E68" t="str">
        <f>CONCATENATE(619186,",",ROW(BCTCR_06608!E68),"|",COLUMN(BCTCR_06608!E68),",0",",0")</f>
        <v>619186,68|5,0,0</v>
      </c>
    </row>
    <row r="69" spans="1:5" x14ac:dyDescent="0.25">
      <c r="A69" t="str">
        <f>CONCATENATE(619206,",",ROW(BCTCR_06608!A69),"|",COLUMN(BCTCR_06608!A69),",0",",0")</f>
        <v>619206,69|1,0,0</v>
      </c>
      <c r="B69" t="str">
        <f>CONCATENATE(618885,",",ROW(BCTCR_06608!B69),"|",COLUMN(BCTCR_06608!B69),",0",",0")</f>
        <v>618885,69|2,0,0</v>
      </c>
      <c r="C69" t="str">
        <f>CONCATENATE(619082,",",ROW(BCTCR_06608!C69),"|",COLUMN(BCTCR_06608!C69),",0",",0")</f>
        <v>619082,69|3,0,0</v>
      </c>
      <c r="D69" t="str">
        <f>CONCATENATE(619001,",",ROW(BCTCR_06608!D69),"|",COLUMN(BCTCR_06608!D69),",0",",0")</f>
        <v>619001,69|4,0,0</v>
      </c>
      <c r="E69" t="str">
        <f>CONCATENATE(619187,",",ROW(BCTCR_06608!E69),"|",COLUMN(BCTCR_06608!E69),",0",",0")</f>
        <v>619187,69|5,0,0</v>
      </c>
    </row>
    <row r="70" spans="1:5" x14ac:dyDescent="0.25">
      <c r="A70" t="str">
        <f>CONCATENATE(619231,",",ROW(BCTCR_06608!A70),"|",COLUMN(BCTCR_06608!A70),",0",",0")</f>
        <v>619231,70|1,0,0</v>
      </c>
      <c r="B70" t="str">
        <f>CONCATENATE(619475,",",ROW(BCTCR_06608!B70),"|",COLUMN(BCTCR_06608!B70),",0",",0")</f>
        <v>619475,70|2,0,0</v>
      </c>
      <c r="C70" t="str">
        <f>CONCATENATE(619083,",",ROW(BCTCR_06608!C70),"|",COLUMN(BCTCR_06608!C70),",0",",0")</f>
        <v>619083,70|3,0,0</v>
      </c>
      <c r="D70" t="str">
        <f>CONCATENATE(619002,",",ROW(BCTCR_06608!D70),"|",COLUMN(BCTCR_06608!D70),",0",",0")</f>
        <v>619002,70|4,0,0</v>
      </c>
      <c r="E70" t="str">
        <f>CONCATENATE(619188,",",ROW(BCTCR_06608!E70),"|",COLUMN(BCTCR_06608!E70),",0",",0")</f>
        <v>619188,70|5,0,0</v>
      </c>
    </row>
    <row r="71" spans="1:5" x14ac:dyDescent="0.25">
      <c r="A71" t="str">
        <f>CONCATENATE(619272,",",ROW(BCTCR_06608!A71),"|",COLUMN(BCTCR_06608!A71),",0",",0")</f>
        <v>619272,71|1,0,0</v>
      </c>
      <c r="B71" t="str">
        <f>CONCATENATE(618886,",",ROW(BCTCR_06608!B71),"|",COLUMN(BCTCR_06608!B71),",0",",0")</f>
        <v>618886,71|2,0,0</v>
      </c>
      <c r="C71" t="str">
        <f>CONCATENATE(619356,",",ROW(BCTCR_06608!C71),"|",COLUMN(BCTCR_06608!C71),",0",",0")</f>
        <v>619356,71|3,0,0</v>
      </c>
      <c r="D71" t="str">
        <f>CONCATENATE(619301,",",ROW(BCTCR_06608!D71),"|",COLUMN(BCTCR_06608!D71),",0",",0")</f>
        <v>619301,71|4,0,0</v>
      </c>
      <c r="E71" t="str">
        <f>CONCATENATE(619158,",",ROW(BCTCR_06608!E71),"|",COLUMN(BCTCR_06608!E71),",0",",0")</f>
        <v>619158,71|5,0,0</v>
      </c>
    </row>
    <row r="72" spans="1:5" x14ac:dyDescent="0.25">
      <c r="A72" t="str">
        <f>CONCATENATE(619033,",",ROW(BCTCR_06608!A72),"|",COLUMN(BCTCR_06608!A72),",0",",0")</f>
        <v>619033,72|1,0,0</v>
      </c>
      <c r="B72" t="str">
        <f>CONCATENATE(619263,",",ROW(BCTCR_06608!B72),"|",COLUMN(BCTCR_06608!B72),",0",",0")</f>
        <v>619263,72|2,0,0</v>
      </c>
      <c r="C72" t="str">
        <f>CONCATENATE(619201,",",ROW(BCTCR_06608!C72),"|",COLUMN(BCTCR_06608!C72),",0",",0")</f>
        <v>619201,72|3,0,0</v>
      </c>
      <c r="D72" t="str">
        <f>CONCATENATE(619264,",",ROW(BCTCR_06608!D72),"|",COLUMN(BCTCR_06608!D72),",0",",0")</f>
        <v>619264,72|4,0,0</v>
      </c>
      <c r="E72" t="str">
        <f>CONCATENATE(619265,",",ROW(BCTCR_06608!E72),"|",COLUMN(BCTCR_06608!E72),",0",",0")</f>
        <v>619265,72|5,0,0</v>
      </c>
    </row>
    <row r="73" spans="1:5" x14ac:dyDescent="0.25">
      <c r="A73" t="str">
        <f>CONCATENATE(619207,",",ROW(BCTCR_06608!A73),"|",COLUMN(BCTCR_06608!A73),",0",",0")</f>
        <v>619207,73|1,0,0</v>
      </c>
      <c r="B73" t="str">
        <f>CONCATENATE(619424,",",ROW(BCTCR_06608!B73),"|",COLUMN(BCTCR_06608!B73),",0",",0")</f>
        <v>619424,73|2,0,0</v>
      </c>
      <c r="C73" t="str">
        <f>CONCATENATE(619084,",",ROW(BCTCR_06608!C73),"|",COLUMN(BCTCR_06608!C73),",0",",0")</f>
        <v>619084,73|3,0,0</v>
      </c>
      <c r="D73" t="str">
        <f>CONCATENATE(619003,",",ROW(BCTCR_06608!D73),"|",COLUMN(BCTCR_06608!D73),",0",",0")</f>
        <v>619003,73|4,0,0</v>
      </c>
      <c r="E73" t="str">
        <f>CONCATENATE(618936,",",ROW(BCTCR_06608!E73),"|",COLUMN(BCTCR_06608!E73),",0",",0")</f>
        <v>618936,73|5,0,0</v>
      </c>
    </row>
    <row r="74" spans="1:5" x14ac:dyDescent="0.25">
      <c r="A74" t="str">
        <f>CONCATENATE(619208,",",ROW(BCTCR_06608!A74),"|",COLUMN(BCTCR_06608!A74),",0",",0")</f>
        <v>619208,74|1,0,0</v>
      </c>
      <c r="B74" t="str">
        <f>CONCATENATE(619425,",",ROW(BCTCR_06608!B74),"|",COLUMN(BCTCR_06608!B74),",0",",0")</f>
        <v>619425,74|2,0,0</v>
      </c>
      <c r="C74" t="str">
        <f>CONCATENATE(619085,",",ROW(BCTCR_06608!C74),"|",COLUMN(BCTCR_06608!C74),",0",",0")</f>
        <v>619085,74|3,0,0</v>
      </c>
      <c r="D74" t="str">
        <f>CONCATENATE(619004,",",ROW(BCTCR_06608!D74),"|",COLUMN(BCTCR_06608!D74),",0",",0")</f>
        <v>619004,74|4,0,0</v>
      </c>
      <c r="E74" t="str">
        <f>CONCATENATE(618937,",",ROW(BCTCR_06608!E74),"|",COLUMN(BCTCR_06608!E74),",0",",0")</f>
        <v>618937,74|5,0,0</v>
      </c>
    </row>
    <row r="75" spans="1:5" x14ac:dyDescent="0.25">
      <c r="A75" t="str">
        <f>CONCATENATE(619241,",",ROW(BCTCR_06608!A75),"|",COLUMN(BCTCR_06608!A75),",0",",0")</f>
        <v>619241,75|1,0,0</v>
      </c>
      <c r="B75" t="str">
        <f>CONCATENATE(618887,",",ROW(BCTCR_06608!B75),"|",COLUMN(BCTCR_06608!B75),",0",",0")</f>
        <v>618887,75|2,0,0</v>
      </c>
      <c r="C75" t="str">
        <f>CONCATENATE(619086,",",ROW(BCTCR_06608!C75),"|",COLUMN(BCTCR_06608!C75),",0",",0")</f>
        <v>619086,75|3,0,0</v>
      </c>
      <c r="D75" t="str">
        <f>CONCATENATE(619036,",",ROW(BCTCR_06608!D75),"|",COLUMN(BCTCR_06608!D75),",0",",0")</f>
        <v>619036,75|4,0,0</v>
      </c>
      <c r="E75" t="str">
        <f>CONCATENATE(618938,",",ROW(BCTCR_06608!E75),"|",COLUMN(BCTCR_06608!E75),",0",",0")</f>
        <v>618938,75|5,0,0</v>
      </c>
    </row>
    <row r="76" spans="1:5" x14ac:dyDescent="0.25">
      <c r="A76" t="str">
        <f>CONCATENATE(619273,",",ROW(BCTCR_06608!A76),"|",COLUMN(BCTCR_06608!A76),",0",",0")</f>
        <v>619273,76|1,0,0</v>
      </c>
      <c r="B76" t="str">
        <f>CONCATENATE(619426,",",ROW(BCTCR_06608!B76),"|",COLUMN(BCTCR_06608!B76),",0",",0")</f>
        <v>619426,76|2,0,0</v>
      </c>
      <c r="C76" t="str">
        <f>CONCATENATE(619357,",",ROW(BCTCR_06608!C76),"|",COLUMN(BCTCR_06608!C76),",0",",0")</f>
        <v>619357,76|3,0,0</v>
      </c>
      <c r="D76" t="str">
        <f>CONCATENATE(619451,",",ROW(BCTCR_06608!D76),"|",COLUMN(BCTCR_06608!D76),",0",",0")</f>
        <v>619451,76|4,0,0</v>
      </c>
      <c r="E76" t="str">
        <f>CONCATENATE(619159,",",ROW(BCTCR_06608!E76),"|",COLUMN(BCTCR_06608!E76),",0",",0")</f>
        <v>619159,76|5,0,0</v>
      </c>
    </row>
    <row r="77" spans="1:5" x14ac:dyDescent="0.25">
      <c r="A77" t="str">
        <f>CONCATENATE(619242,",",ROW(BCTCR_06608!A77),"|",COLUMN(BCTCR_06608!A77),",0",",0")</f>
        <v>619242,77|1,0,0</v>
      </c>
      <c r="B77" t="str">
        <f>CONCATENATE(618888,",",ROW(BCTCR_06608!B77),"|",COLUMN(BCTCR_06608!B77),",0",",0")</f>
        <v>618888,77|2,0,0</v>
      </c>
      <c r="C77" t="str">
        <f>CONCATENATE(619087,",",ROW(BCTCR_06608!C77),"|",COLUMN(BCTCR_06608!C77),",0",",0")</f>
        <v>619087,77|3,0,0</v>
      </c>
      <c r="D77" t="str">
        <f>CONCATENATE(619037,",",ROW(BCTCR_06608!D77),"|",COLUMN(BCTCR_06608!D77),",0",",0")</f>
        <v>619037,77|4,0,0</v>
      </c>
      <c r="E77" t="str">
        <f>CONCATENATE(618939,",",ROW(BCTCR_06608!E77),"|",COLUMN(BCTCR_06608!E77),",0",",0")</f>
        <v>618939,77|5,0,0</v>
      </c>
    </row>
    <row r="78" spans="1:5" x14ac:dyDescent="0.25">
      <c r="A78" t="str">
        <f>CONCATENATE(619235,",",ROW(BCTCR_06608!A78),"|",COLUMN(BCTCR_06608!A78),",0",",0")</f>
        <v>619235,78|1,0,0</v>
      </c>
      <c r="B78" t="str">
        <f>CONCATENATE(619427,",",ROW(BCTCR_06608!B78),"|",COLUMN(BCTCR_06608!B78),",0",",0")</f>
        <v>619427,78|2,0,0</v>
      </c>
      <c r="C78" t="str">
        <f>CONCATENATE(619088,",",ROW(BCTCR_06608!C78),"|",COLUMN(BCTCR_06608!C78),",0",",0")</f>
        <v>619088,78|3,0,0</v>
      </c>
      <c r="D78" t="str">
        <f>CONCATENATE(619038,",",ROW(BCTCR_06608!D78),"|",COLUMN(BCTCR_06608!D78),",0",",0")</f>
        <v>619038,78|4,0,0</v>
      </c>
      <c r="E78" t="str">
        <f>CONCATENATE(618940,",",ROW(BCTCR_06608!E78),"|",COLUMN(BCTCR_06608!E78),",0",",0")</f>
        <v>618940,78|5,0,0</v>
      </c>
    </row>
    <row r="79" spans="1:5" x14ac:dyDescent="0.25">
      <c r="A79" t="str">
        <f>CONCATENATE(618867,",",ROW(BCTCR_06608!A79),"|",COLUMN(BCTCR_06608!A79),",0",",0")</f>
        <v>618867,79|1,0,0</v>
      </c>
      <c r="B79" t="str">
        <f>CONCATENATE(619428,",",ROW(BCTCR_06608!B79),"|",COLUMN(BCTCR_06608!B79),",0",",0")</f>
        <v>619428,79|2,0,0</v>
      </c>
      <c r="C79" t="str">
        <f>CONCATENATE(619089,",",ROW(BCTCR_06608!C79),"|",COLUMN(BCTCR_06608!C79),",0",",0")</f>
        <v>619089,79|3,0,0</v>
      </c>
      <c r="D79" t="str">
        <f>CONCATENATE(619039,",",ROW(BCTCR_06608!D79),"|",COLUMN(BCTCR_06608!D79),",0",",0")</f>
        <v>619039,79|4,0,0</v>
      </c>
      <c r="E79" t="str">
        <f>CONCATENATE(618941,",",ROW(BCTCR_06608!E79),"|",COLUMN(BCTCR_06608!E79),",0",",0")</f>
        <v>618941,79|5,0,0</v>
      </c>
    </row>
    <row r="80" spans="1:5" x14ac:dyDescent="0.25">
      <c r="A80" t="str">
        <f>CONCATENATE(618894,",",ROW(BCTCR_06608!A80),"|",COLUMN(BCTCR_06608!A80),",0",",0")</f>
        <v>618894,80|1,0,0</v>
      </c>
      <c r="B80" t="str">
        <f>CONCATENATE(619124,",",ROW(BCTCR_06608!B80),"|",COLUMN(BCTCR_06608!B80),",0",",0")</f>
        <v>619124,80|2,0,0</v>
      </c>
      <c r="C80" t="str">
        <f>CONCATENATE(619370,",",ROW(BCTCR_06608!C80),"|",COLUMN(BCTCR_06608!C80),",0",",0")</f>
        <v>619370,80|3,0,0</v>
      </c>
      <c r="D80" t="str">
        <f>CONCATENATE(619371,",",ROW(BCTCR_06608!D80),"|",COLUMN(BCTCR_06608!D80),",0",",0")</f>
        <v>619371,80|4,0,0</v>
      </c>
      <c r="E80" t="str">
        <f>CONCATENATE(619147,",",ROW(BCTCR_06608!E80),"|",COLUMN(BCTCR_06608!E80),",0",",0")</f>
        <v>619147,80|5,0,0</v>
      </c>
    </row>
    <row r="81" spans="1:5" x14ac:dyDescent="0.25">
      <c r="A81" t="str">
        <f>CONCATENATE(618895,",",ROW(BCTCR_06608!A81),"|",COLUMN(BCTCR_06608!A81),",0",",0")</f>
        <v>618895,81|1,0,0</v>
      </c>
      <c r="B81" t="str">
        <f>CONCATENATE(619429,",",ROW(BCTCR_06608!B81),"|",COLUMN(BCTCR_06608!B81),",0",",0")</f>
        <v>619429,81|2,0,0</v>
      </c>
      <c r="C81" t="str">
        <f>CONCATENATE(619345,",",ROW(BCTCR_06608!C81),"|",COLUMN(BCTCR_06608!C81),",0",",0")</f>
        <v>619345,81|3,0,0</v>
      </c>
      <c r="D81" t="str">
        <f>CONCATENATE(619478,",",ROW(BCTCR_06608!D81),"|",COLUMN(BCTCR_06608!D81),",0",",0")</f>
        <v>619478,81|4,0,0</v>
      </c>
      <c r="E81" t="str">
        <f>CONCATENATE(619148,",",ROW(BCTCR_06608!E81),"|",COLUMN(BCTCR_06608!E81),",0",",0")</f>
        <v>619148,81|5,0,0</v>
      </c>
    </row>
    <row r="82" spans="1:5" x14ac:dyDescent="0.25">
      <c r="A82" t="str">
        <f>CONCATENATE(618896,",",ROW(BCTCR_06608!A82),"|",COLUMN(BCTCR_06608!A82),",0",",0")</f>
        <v>618896,82|1,0,0</v>
      </c>
      <c r="B82" t="str">
        <f>CONCATENATE(619125,",",ROW(BCTCR_06608!B82),"|",COLUMN(BCTCR_06608!B82),",0",",0")</f>
        <v>619125,82|2,0,0</v>
      </c>
      <c r="C82" t="str">
        <f>CONCATENATE(619346,",",ROW(BCTCR_06608!C82),"|",COLUMN(BCTCR_06608!C82),",0",",0")</f>
        <v>619346,82|3,0,0</v>
      </c>
      <c r="D82" t="str">
        <f>CONCATENATE(619479,",",ROW(BCTCR_06608!D82),"|",COLUMN(BCTCR_06608!D82),",0",",0")</f>
        <v>619479,82|4,0,0</v>
      </c>
      <c r="E82" t="str">
        <f>CONCATENATE(619149,",",ROW(BCTCR_06608!E82),"|",COLUMN(BCTCR_06608!E82),",0",",0")</f>
        <v>619149,82|5,0,0</v>
      </c>
    </row>
    <row r="83" spans="1:5" x14ac:dyDescent="0.25">
      <c r="A83" t="str">
        <f>CONCATENATE(618897,",",ROW(BCTCR_06608!A83),"|",COLUMN(BCTCR_06608!A83),",0",",0")</f>
        <v>618897,83|1,0,0</v>
      </c>
      <c r="B83" t="str">
        <f>CONCATENATE(618889,",",ROW(BCTCR_06608!B83),"|",COLUMN(BCTCR_06608!B83),",0",",0")</f>
        <v>618889,83|2,0,0</v>
      </c>
      <c r="C83" t="str">
        <f>CONCATENATE(619090,",",ROW(BCTCR_06608!C83),"|",COLUMN(BCTCR_06608!C83),",0",",0")</f>
        <v>619090,83|3,0,0</v>
      </c>
      <c r="D83" t="str">
        <f>CONCATENATE(619040,",",ROW(BCTCR_06608!D83),"|",COLUMN(BCTCR_06608!D83),",0",",0")</f>
        <v>619040,83|4,0,0</v>
      </c>
      <c r="E83" t="str">
        <f>CONCATENATE(619252,",",ROW(BCTCR_06608!E83),"|",COLUMN(BCTCR_06608!E83),",0",",0")</f>
        <v>619252,83|5,0,0</v>
      </c>
    </row>
    <row r="84" spans="1:5" x14ac:dyDescent="0.25">
      <c r="A84" t="str">
        <f>CONCATENATE(619249,",",ROW(BCTCR_06608!A84),"|",COLUMN(BCTCR_06608!A84),",0",",0")</f>
        <v>619249,84|1,0,0</v>
      </c>
      <c r="B84" t="str">
        <f>CONCATENATE(618890,",",ROW(BCTCR_06608!B84),"|",COLUMN(BCTCR_06608!B84),",0",",0")</f>
        <v>618890,84|2,0,0</v>
      </c>
      <c r="C84" t="str">
        <f>CONCATENATE(619091,",",ROW(BCTCR_06608!C84),"|",COLUMN(BCTCR_06608!C84),",0",",0")</f>
        <v>619091,84|3,0,0</v>
      </c>
      <c r="D84" t="str">
        <f>CONCATENATE(619041,",",ROW(BCTCR_06608!D84),"|",COLUMN(BCTCR_06608!D84),",0",",0")</f>
        <v>619041,84|4,0,0</v>
      </c>
      <c r="E84" t="str">
        <f>CONCATENATE(619253,",",ROW(BCTCR_06608!E84),"|",COLUMN(BCTCR_06608!E84),",0",",0")</f>
        <v>619253,84|5,0,0</v>
      </c>
    </row>
    <row r="85" spans="1:5" x14ac:dyDescent="0.25">
      <c r="A85" t="str">
        <f>CONCATENATE(619250,",",ROW(BCTCR_06608!A85),"|",COLUMN(BCTCR_06608!A85),",0",",0")</f>
        <v>619250,85|1,0,0</v>
      </c>
      <c r="B85" t="str">
        <f>CONCATENATE(618891,",",ROW(BCTCR_06608!B85),"|",COLUMN(BCTCR_06608!B85),",0",",0")</f>
        <v>618891,85|2,0,0</v>
      </c>
      <c r="C85" t="str">
        <f>CONCATENATE(619092,",",ROW(BCTCR_06608!C85),"|",COLUMN(BCTCR_06608!C85),",0",",0")</f>
        <v>619092,85|3,0,0</v>
      </c>
      <c r="D85" t="str">
        <f>CONCATENATE(619140,",",ROW(BCTCR_06608!D85),"|",COLUMN(BCTCR_06608!D85),",0",",0")</f>
        <v>619140,85|4,0,0</v>
      </c>
      <c r="E85" t="str">
        <f>CONCATENATE(619254,",",ROW(BCTCR_06608!E85),"|",COLUMN(BCTCR_06608!E85),",0",",0")</f>
        <v>619254,85|5,0,0</v>
      </c>
    </row>
    <row r="86" spans="1:5" x14ac:dyDescent="0.25">
      <c r="A86" t="str">
        <f>CONCATENATE(619304,",",ROW(BCTCR_06608!A86),"|",COLUMN(BCTCR_06608!A86),",0",",0")</f>
        <v>619304,86|1,0,0</v>
      </c>
      <c r="B86" t="str">
        <f>CONCATENATE(619430,",",ROW(BCTCR_06608!B86),"|",COLUMN(BCTCR_06608!B86),",0",",0")</f>
        <v>619430,86|2,0,0</v>
      </c>
      <c r="C86" t="str">
        <f>CONCATENATE(619093,",",ROW(BCTCR_06608!C86),"|",COLUMN(BCTCR_06608!C86),",0",",0")</f>
        <v>619093,86|3,0,0</v>
      </c>
      <c r="D86" t="str">
        <f>CONCATENATE(618868,",",ROW(BCTCR_06608!D86),"|",COLUMN(BCTCR_06608!D86),",0",",0")</f>
        <v>618868,86|4,0,0</v>
      </c>
      <c r="E86" t="str">
        <f>CONCATENATE(619255,",",ROW(BCTCR_06608!E86),"|",COLUMN(BCTCR_06608!E86),",0",",0")</f>
        <v>619255,86|5,0,0</v>
      </c>
    </row>
    <row r="87" spans="1:5" x14ac:dyDescent="0.25">
      <c r="A87" t="str">
        <f>CONCATENATE(619302,",",ROW(BCTCR_06608!A87),"|",COLUMN(BCTCR_06608!A87),",0",",0")</f>
        <v>619302,87|1,0,0</v>
      </c>
      <c r="B87" t="str">
        <f>CONCATENATE(618892,",",ROW(BCTCR_06608!B87),"|",COLUMN(BCTCR_06608!B87),",0",",0")</f>
        <v>618892,87|2,0,0</v>
      </c>
      <c r="C87" t="str">
        <f>CONCATENATE(619094,",",ROW(BCTCR_06608!C87),"|",COLUMN(BCTCR_06608!C87),",0",",0")</f>
        <v>619094,87|3,0,0</v>
      </c>
      <c r="D87" t="str">
        <f>CONCATENATE(618869,",",ROW(BCTCR_06608!D87),"|",COLUMN(BCTCR_06608!D87),",0",",0")</f>
        <v>618869,87|4,0,0</v>
      </c>
      <c r="E87" t="str">
        <f>CONCATENATE(619256,",",ROW(BCTCR_06608!E87),"|",COLUMN(BCTCR_06608!E87),",0",",0")</f>
        <v>619256,87|5,0,0</v>
      </c>
    </row>
    <row r="88" spans="1:5" x14ac:dyDescent="0.25">
      <c r="A88" t="str">
        <f>CONCATENATE(619303,",",ROW(BCTCR_06608!A88),"|",COLUMN(BCTCR_06608!A88),",0",",0")</f>
        <v>619303,88|1,0,0</v>
      </c>
      <c r="B88" t="str">
        <f>CONCATENATE(618893,",",ROW(BCTCR_06608!B88),"|",COLUMN(BCTCR_06608!B88),",0",",0")</f>
        <v>618893,88|2,0,0</v>
      </c>
      <c r="C88" t="str">
        <f>CONCATENATE(619095,",",ROW(BCTCR_06608!C88),"|",COLUMN(BCTCR_06608!C88),",0",",0")</f>
        <v>619095,88|3,0,0</v>
      </c>
      <c r="D88" t="str">
        <f>CONCATENATE(618870,",",ROW(BCTCR_06608!D88),"|",COLUMN(BCTCR_06608!D88),",0",",0")</f>
        <v>618870,88|4,0,0</v>
      </c>
      <c r="E88" t="str">
        <f>CONCATENATE(619257,",",ROW(BCTCR_06608!E88),"|",COLUMN(BCTCR_06608!E88),",0",",0")</f>
        <v>619257,88|5,0,0</v>
      </c>
    </row>
    <row r="89" spans="1:5" x14ac:dyDescent="0.25">
      <c r="A89" t="str">
        <f>CONCATENATE(619305,",",ROW(BCTCR_06608!A89),"|",COLUMN(BCTCR_06608!A89),",0",",0")</f>
        <v>619305,89|1,0,0</v>
      </c>
      <c r="B89" t="str">
        <f>CONCATENATE(618898,",",ROW(BCTCR_06608!B89),"|",COLUMN(BCTCR_06608!B89),",0",",0")</f>
        <v>618898,89|2,0,0</v>
      </c>
      <c r="C89" t="str">
        <f>CONCATENATE(619239,",",ROW(BCTCR_06608!C89),"|",COLUMN(BCTCR_06608!C89),",0",",0")</f>
        <v>619239,89|3,0,0</v>
      </c>
      <c r="D89" t="str">
        <f>CONCATENATE(618871,",",ROW(BCTCR_06608!D89),"|",COLUMN(BCTCR_06608!D89),",0",",0")</f>
        <v>618871,89|4,0,0</v>
      </c>
      <c r="E89" t="str">
        <f>CONCATENATE(619258,",",ROW(BCTCR_06608!E89),"|",COLUMN(BCTCR_06608!E89),",0",",0")</f>
        <v>619258,89|5,0,0</v>
      </c>
    </row>
    <row r="90" spans="1:5" x14ac:dyDescent="0.25">
      <c r="A90" t="str">
        <f>CONCATENATE(619306,",",ROW(BCTCR_06608!A90),"|",COLUMN(BCTCR_06608!A90),",0",",0")</f>
        <v>619306,90|1,0,0</v>
      </c>
      <c r="B90" t="str">
        <f>CONCATENATE(618899,",",ROW(BCTCR_06608!B90),"|",COLUMN(BCTCR_06608!B90),",0",",0")</f>
        <v>618899,90|2,0,0</v>
      </c>
      <c r="C90" t="str">
        <f>CONCATENATE(618851,",",ROW(BCTCR_06608!C90),"|",COLUMN(BCTCR_06608!C90),",0",",0")</f>
        <v>618851,90|3,0,0</v>
      </c>
      <c r="D90" t="str">
        <f>CONCATENATE(618872,",",ROW(BCTCR_06608!D90),"|",COLUMN(BCTCR_06608!D90),",0",",0")</f>
        <v>618872,90|4,0,0</v>
      </c>
      <c r="E90" t="str">
        <f>CONCATENATE(619288,",",ROW(BCTCR_06608!E90),"|",COLUMN(BCTCR_06608!E90),",0",",0")</f>
        <v>619288,90|5,0,0</v>
      </c>
    </row>
    <row r="91" spans="1:5" x14ac:dyDescent="0.25">
      <c r="A91" t="str">
        <f>CONCATENATE(619307,",",ROW(BCTCR_06608!A91),"|",COLUMN(BCTCR_06608!A91),",0",",0")</f>
        <v>619307,91|1,0,0</v>
      </c>
      <c r="B91" t="str">
        <f>CONCATENATE(619431,",",ROW(BCTCR_06608!B91),"|",COLUMN(BCTCR_06608!B91),",0",",0")</f>
        <v>619431,91|2,0,0</v>
      </c>
      <c r="C91" t="str">
        <f>CONCATENATE(618852,",",ROW(BCTCR_06608!C91),"|",COLUMN(BCTCR_06608!C91),",0",",0")</f>
        <v>618852,91|3,0,0</v>
      </c>
      <c r="D91" t="str">
        <f>CONCATENATE(618873,",",ROW(BCTCR_06608!D91),"|",COLUMN(BCTCR_06608!D91),",0",",0")</f>
        <v>618873,91|4,0,0</v>
      </c>
      <c r="E91" t="str">
        <f>CONCATENATE(619289,",",ROW(BCTCR_06608!E91),"|",COLUMN(BCTCR_06608!E91),",0",",0")</f>
        <v>619289,91|5,0,0</v>
      </c>
    </row>
    <row r="92" spans="1:5" x14ac:dyDescent="0.25">
      <c r="A92" t="str">
        <f>CONCATENATE(619028,",",ROW(BCTCR_06608!A92),"|",COLUMN(BCTCR_06608!A92),",0",",0")</f>
        <v>619028,92|1,0,0</v>
      </c>
      <c r="B92" t="str">
        <f>CONCATENATE(618900,",",ROW(BCTCR_06608!B92),"|",COLUMN(BCTCR_06608!B92),",0",",0")</f>
        <v>618900,92|2,0,0</v>
      </c>
      <c r="C92" t="str">
        <f>CONCATENATE(619063,",",ROW(BCTCR_06608!C92),"|",COLUMN(BCTCR_06608!C92),",0",",0")</f>
        <v>619063,92|3,0,0</v>
      </c>
      <c r="D92" t="str">
        <f>CONCATENATE(618953,",",ROW(BCTCR_06608!D92),"|",COLUMN(BCTCR_06608!D92),",0",",0")</f>
        <v>618953,92|4,0,0</v>
      </c>
      <c r="E92" t="str">
        <f>CONCATENATE(619470,",",ROW(BCTCR_06608!E92),"|",COLUMN(BCTCR_06608!E92),",0",",0")</f>
        <v>619470,92|5,0,0</v>
      </c>
    </row>
    <row r="93" spans="1:5" x14ac:dyDescent="0.25">
      <c r="A93" t="str">
        <f>CONCATENATE(619029,",",ROW(BCTCR_06608!A93),"|",COLUMN(BCTCR_06608!A93),",0",",0")</f>
        <v>619029,93|1,0,0</v>
      </c>
      <c r="B93" t="str">
        <f>CONCATENATE(619024,",",ROW(BCTCR_06608!B93),"|",COLUMN(BCTCR_06608!B93),",0",",0")</f>
        <v>619024,93|2,0,0</v>
      </c>
      <c r="C93" t="str">
        <f>CONCATENATE(619064,",",ROW(BCTCR_06608!C93),"|",COLUMN(BCTCR_06608!C93),",0",",0")</f>
        <v>619064,93|3,0,0</v>
      </c>
      <c r="D93" t="str">
        <f>CONCATENATE(618958,",",ROW(BCTCR_06608!D93),"|",COLUMN(BCTCR_06608!D93),",0",",0")</f>
        <v>618958,93|4,0,0</v>
      </c>
      <c r="E93" t="str">
        <f>CONCATENATE(619471,",",ROW(BCTCR_06608!E93),"|",COLUMN(BCTCR_06608!E93),",0",",0")</f>
        <v>619471,93|5,0,0</v>
      </c>
    </row>
    <row r="94" spans="1:5" x14ac:dyDescent="0.25">
      <c r="A94" t="str">
        <f>CONCATENATE(619243,",",ROW(BCTCR_06608!A94),"|",COLUMN(BCTCR_06608!A94),",0",",0")</f>
        <v>619243,94|1,0,0</v>
      </c>
      <c r="B94" t="str">
        <f>CONCATENATE(618901,",",ROW(BCTCR_06608!B94),"|",COLUMN(BCTCR_06608!B94),",0",",0")</f>
        <v>618901,94|2,0,0</v>
      </c>
      <c r="C94" t="str">
        <f>CONCATENATE(618853,",",ROW(BCTCR_06608!C94),"|",COLUMN(BCTCR_06608!C94),",0",",0")</f>
        <v>618853,94|3,0,0</v>
      </c>
      <c r="D94" t="str">
        <f>CONCATENATE(618874,",",ROW(BCTCR_06608!D94),"|",COLUMN(BCTCR_06608!D94),",0",",0")</f>
        <v>618874,94|4,0,0</v>
      </c>
      <c r="E94" t="str">
        <f>CONCATENATE(619290,",",ROW(BCTCR_06608!E94),"|",COLUMN(BCTCR_06608!E94),",0",",0")</f>
        <v>619290,94|5,0,0</v>
      </c>
    </row>
    <row r="95" spans="1:5" x14ac:dyDescent="0.25">
      <c r="A95" t="str">
        <f>CONCATENATE(619308,",",ROW(BCTCR_06608!A95),"|",COLUMN(BCTCR_06608!A95),",0",",0")</f>
        <v>619308,95|1,0,0</v>
      </c>
      <c r="B95" t="str">
        <f>CONCATENATE(619025,",",ROW(BCTCR_06608!B95),"|",COLUMN(BCTCR_06608!B95),",0",",0")</f>
        <v>619025,95|2,0,0</v>
      </c>
      <c r="C95" t="str">
        <f>CONCATENATE(619321,",",ROW(BCTCR_06608!C95),"|",COLUMN(BCTCR_06608!C95),",0",",0")</f>
        <v>619321,95|3,0,0</v>
      </c>
      <c r="D95" t="str">
        <f>CONCATENATE(619486,",",ROW(BCTCR_06608!D95),"|",COLUMN(BCTCR_06608!D95),",0",",0")</f>
        <v>619486,95|4,0,0</v>
      </c>
      <c r="E95" t="str">
        <f>CONCATENATE(619382,",",ROW(BCTCR_06608!E95),"|",COLUMN(BCTCR_06608!E95),",0",",0")</f>
        <v>619382,95|5,0,0</v>
      </c>
    </row>
    <row r="96" spans="1:5" x14ac:dyDescent="0.25">
      <c r="A96" t="str">
        <f>CONCATENATE(619030,",",ROW(BCTCR_06608!A96),"|",COLUMN(BCTCR_06608!A96),",0",",0")</f>
        <v>619030,96|1,0,0</v>
      </c>
      <c r="B96" t="str">
        <f>CONCATENATE(619432,",",ROW(BCTCR_06608!B96),"|",COLUMN(BCTCR_06608!B96),",0",",0")</f>
        <v>619432,96|2,0,0</v>
      </c>
      <c r="C96" t="str">
        <f>CONCATENATE(619096,",",ROW(BCTCR_06608!C96),"|",COLUMN(BCTCR_06608!C96),",0",",0")</f>
        <v>619096,96|3,0,0</v>
      </c>
      <c r="D96" t="str">
        <f>CONCATENATE(618959,",",ROW(BCTCR_06608!D96),"|",COLUMN(BCTCR_06608!D96),",0",",0")</f>
        <v>618959,96|4,0,0</v>
      </c>
      <c r="E96" t="str">
        <f>CONCATENATE(619472,",",ROW(BCTCR_06608!E96),"|",COLUMN(BCTCR_06608!E96),",0",",0")</f>
        <v>619472,96|5,0,0</v>
      </c>
    </row>
    <row r="97" spans="1:5" x14ac:dyDescent="0.25">
      <c r="A97" t="str">
        <f>CONCATENATE(619309,",",ROW(BCTCR_06608!A97),"|",COLUMN(BCTCR_06608!A97),",0",",0")</f>
        <v>619309,97|1,0,0</v>
      </c>
      <c r="B97" t="str">
        <f>CONCATENATE(619501,",",ROW(BCTCR_06608!B97),"|",COLUMN(BCTCR_06608!B97),",0",",0")</f>
        <v>619501,97|2,0,0</v>
      </c>
      <c r="C97" t="str">
        <f>CONCATENATE(619322,",",ROW(BCTCR_06608!C97),"|",COLUMN(BCTCR_06608!C97),",0",",0")</f>
        <v>619322,97|3,0,0</v>
      </c>
      <c r="D97" t="str">
        <f>CONCATENATE(619487,",",ROW(BCTCR_06608!D97),"|",COLUMN(BCTCR_06608!D97),",0",",0")</f>
        <v>619487,97|4,0,0</v>
      </c>
      <c r="E97" t="str">
        <f>CONCATENATE(619383,",",ROW(BCTCR_06608!E97),"|",COLUMN(BCTCR_06608!E97),",0",",0")</f>
        <v>619383,97|5,0,0</v>
      </c>
    </row>
    <row r="98" spans="1:5" x14ac:dyDescent="0.25">
      <c r="A98" t="str">
        <f>CONCATENATE(619398,",",ROW(BCTCR_06608!A98),"|",COLUMN(BCTCR_06608!A98),",0",",0")</f>
        <v>619398,98|1,0,0</v>
      </c>
      <c r="B98" t="str">
        <f>CONCATENATE(619433,",",ROW(BCTCR_06608!B98),"|",COLUMN(BCTCR_06608!B98),",0",",0")</f>
        <v>619433,98|2,0,0</v>
      </c>
      <c r="C98" t="str">
        <f>CONCATENATE(618854,",",ROW(BCTCR_06608!C98),"|",COLUMN(BCTCR_06608!C98),",0",",0")</f>
        <v>618854,98|3,0,0</v>
      </c>
      <c r="D98" t="str">
        <f>CONCATENATE(618875,",",ROW(BCTCR_06608!D98),"|",COLUMN(BCTCR_06608!D98),",0",",0")</f>
        <v>618875,98|4,0,0</v>
      </c>
      <c r="E98" t="str">
        <f>CONCATENATE(619291,",",ROW(BCTCR_06608!E98),"|",COLUMN(BCTCR_06608!E98),",0",",0")</f>
        <v>619291,98|5,0,0</v>
      </c>
    </row>
    <row r="99" spans="1:5" x14ac:dyDescent="0.25">
      <c r="A99" t="str">
        <f>CONCATENATE(619399,",",ROW(BCTCR_06608!A99),"|",COLUMN(BCTCR_06608!A99),",0",",0")</f>
        <v>619399,99|1,0,0</v>
      </c>
      <c r="B99" t="str">
        <f>CONCATENATE(619126,",",ROW(BCTCR_06608!B99),"|",COLUMN(BCTCR_06608!B99),",0",",0")</f>
        <v>619126,99|2,0,0</v>
      </c>
      <c r="C99" t="str">
        <f>CONCATENATE(618855,",",ROW(BCTCR_06608!C99),"|",COLUMN(BCTCR_06608!C99),",0",",0")</f>
        <v>618855,99|3,0,0</v>
      </c>
      <c r="D99" t="str">
        <f>CONCATENATE(618876,",",ROW(BCTCR_06608!D99),"|",COLUMN(BCTCR_06608!D99),",0",",0")</f>
        <v>618876,99|4,0,0</v>
      </c>
      <c r="E99" t="str">
        <f>CONCATENATE(619292,",",ROW(BCTCR_06608!E99),"|",COLUMN(BCTCR_06608!E99),",0",",0")</f>
        <v>619292,99|5,0,0</v>
      </c>
    </row>
    <row r="100" spans="1:5" x14ac:dyDescent="0.25">
      <c r="A100" t="str">
        <f>CONCATENATE(619245,",",ROW(BCTCR_06608!A100),"|",COLUMN(BCTCR_06608!A100),",0",",0")</f>
        <v>619245,100|1,0,0</v>
      </c>
      <c r="B100" t="str">
        <f>CONCATENATE(618902,",",ROW(BCTCR_06608!B100),"|",COLUMN(BCTCR_06608!B100),",0",",0")</f>
        <v>618902,100|2,0,0</v>
      </c>
      <c r="C100" t="str">
        <f>CONCATENATE(618856,",",ROW(BCTCR_06608!C100),"|",COLUMN(BCTCR_06608!C100),",0",",0")</f>
        <v>618856,100|3,0,0</v>
      </c>
      <c r="D100" t="str">
        <f>CONCATENATE(618877,",",ROW(BCTCR_06608!D100),"|",COLUMN(BCTCR_06608!D100),",0",",0")</f>
        <v>618877,100|4,0,0</v>
      </c>
      <c r="E100" t="str">
        <f>CONCATENATE(619293,",",ROW(BCTCR_06608!E100),"|",COLUMN(BCTCR_06608!E100),",0",",0")</f>
        <v>619293,100|5,0,0</v>
      </c>
    </row>
    <row r="101" spans="1:5" x14ac:dyDescent="0.25">
      <c r="A101" t="str">
        <f>CONCATENATE(619310,",",ROW(BCTCR_06608!A101),"|",COLUMN(BCTCR_06608!A101),",0",",0")</f>
        <v>619310,101|1,0,0</v>
      </c>
      <c r="B101" t="str">
        <f>CONCATENATE(618904,",",ROW(BCTCR_06608!B101),"|",COLUMN(BCTCR_06608!B101),",0",",0")</f>
        <v>618904,101|2,0,0</v>
      </c>
      <c r="C101" t="str">
        <f>CONCATENATE(619396,",",ROW(BCTCR_06608!C101),"|",COLUMN(BCTCR_06608!C101),",0",",0")</f>
        <v>619396,101|3,0,0</v>
      </c>
      <c r="D101" t="str">
        <f>CONCATENATE(619043,",",ROW(BCTCR_06608!D101),"|",COLUMN(BCTCR_06608!D101),",0",",0")</f>
        <v>619043,101|4,0,0</v>
      </c>
      <c r="E101" t="str">
        <f>CONCATENATE(619454,",",ROW(BCTCR_06608!E101),"|",COLUMN(BCTCR_06608!E101),",0",",0")</f>
        <v>619454,101|5,0,0</v>
      </c>
    </row>
    <row r="102" spans="1:5" x14ac:dyDescent="0.25">
      <c r="A102" t="str">
        <f>CONCATENATE(619311,",",ROW(BCTCR_06608!A102),"|",COLUMN(BCTCR_06608!A102),",0",",0")</f>
        <v>619311,102|1,0,0</v>
      </c>
      <c r="B102" t="str">
        <f>CONCATENATE(619502,",",ROW(BCTCR_06608!B102),"|",COLUMN(BCTCR_06608!B102),",0",",0")</f>
        <v>619502,102|2,0,0</v>
      </c>
      <c r="C102" t="str">
        <f>CONCATENATE(619323,",",ROW(BCTCR_06608!C102),"|",COLUMN(BCTCR_06608!C102),",0",",0")</f>
        <v>619323,102|3,0,0</v>
      </c>
      <c r="D102" t="str">
        <f>CONCATENATE(619097,",",ROW(BCTCR_06608!D102),"|",COLUMN(BCTCR_06608!D102),",0",",0")</f>
        <v>619097,102|4,0,0</v>
      </c>
      <c r="E102" t="str">
        <f>CONCATENATE(619384,",",ROW(BCTCR_06608!E102),"|",COLUMN(BCTCR_06608!E102),",0",",0")</f>
        <v>619384,102|5,0,0</v>
      </c>
    </row>
    <row r="103" spans="1:5" x14ac:dyDescent="0.25">
      <c r="A103" t="str">
        <f>CONCATENATE(619031,",",ROW(BCTCR_06608!A103),"|",COLUMN(BCTCR_06608!A103),",0",",0")</f>
        <v>619031,103|1,0,0</v>
      </c>
      <c r="B103" t="str">
        <f>CONCATENATE(619434,",",ROW(BCTCR_06608!B103),"|",COLUMN(BCTCR_06608!B103),",0",",0")</f>
        <v>619434,103|2,0,0</v>
      </c>
      <c r="C103" t="str">
        <f>CONCATENATE(619005,",",ROW(BCTCR_06608!C103),"|",COLUMN(BCTCR_06608!C103),",0",",0")</f>
        <v>619005,103|3,0,0</v>
      </c>
      <c r="D103" t="str">
        <f>CONCATENATE(618960,",",ROW(BCTCR_06608!D103),"|",COLUMN(BCTCR_06608!D103),",0",",0")</f>
        <v>618960,103|4,0,0</v>
      </c>
      <c r="E103" t="str">
        <f>CONCATENATE(618847,",",ROW(BCTCR_06608!E103),"|",COLUMN(BCTCR_06608!E103),",0",",0")</f>
        <v>618847,103|5,0,0</v>
      </c>
    </row>
    <row r="104" spans="1:5" x14ac:dyDescent="0.25">
      <c r="A104" t="str">
        <f>CONCATENATE(619400,",",ROW(BCTCR_06608!A104),"|",COLUMN(BCTCR_06608!A104),",0",",0")</f>
        <v>619400,104|1,0,0</v>
      </c>
      <c r="B104" t="str">
        <f>CONCATENATE(618905,",",ROW(BCTCR_06608!B104),"|",COLUMN(BCTCR_06608!B104),",0",",0")</f>
        <v>618905,104|2,0,0</v>
      </c>
      <c r="C104" t="str">
        <f>CONCATENATE(618857,",",ROW(BCTCR_06608!C104),"|",COLUMN(BCTCR_06608!C104),",0",",0")</f>
        <v>618857,104|3,0,0</v>
      </c>
      <c r="D104" t="str">
        <f>CONCATENATE(618878,",",ROW(BCTCR_06608!D104),"|",COLUMN(BCTCR_06608!D104),",0",",0")</f>
        <v>618878,104|4,0,0</v>
      </c>
      <c r="E104" t="str">
        <f>CONCATENATE(619294,",",ROW(BCTCR_06608!E104),"|",COLUMN(BCTCR_06608!E104),",0",",0")</f>
        <v>619294,104|5,0,0</v>
      </c>
    </row>
    <row r="105" spans="1:5" x14ac:dyDescent="0.25">
      <c r="A105" t="str">
        <f>CONCATENATE(619401,",",ROW(BCTCR_06608!A105),"|",COLUMN(BCTCR_06608!A105),",0",",0")</f>
        <v>619401,105|1,0,0</v>
      </c>
      <c r="B105" t="str">
        <f>CONCATENATE(619435,",",ROW(BCTCR_06608!B105),"|",COLUMN(BCTCR_06608!B105),",0",",0")</f>
        <v>619435,105|2,0,0</v>
      </c>
      <c r="C105" t="str">
        <f>CONCATENATE(618858,",",ROW(BCTCR_06608!C105),"|",COLUMN(BCTCR_06608!C105),",0",",0")</f>
        <v>618858,105|3,0,0</v>
      </c>
      <c r="D105" t="str">
        <f>CONCATENATE(618879,",",ROW(BCTCR_06608!D105),"|",COLUMN(BCTCR_06608!D105),",0",",0")</f>
        <v>618879,105|4,0,0</v>
      </c>
      <c r="E105" t="str">
        <f>CONCATENATE(619295,",",ROW(BCTCR_06608!E105),"|",COLUMN(BCTCR_06608!E105),",0",",0")</f>
        <v>619295,105|5,0,0</v>
      </c>
    </row>
    <row r="106" spans="1:5" x14ac:dyDescent="0.25">
      <c r="A106" t="str">
        <f>CONCATENATE(619246,",",ROW(BCTCR_06608!A106),"|",COLUMN(BCTCR_06608!A106),",0",",0")</f>
        <v>619246,106|1,0,0</v>
      </c>
      <c r="B106" t="str">
        <f>CONCATENATE(618906,",",ROW(BCTCR_06608!B106),"|",COLUMN(BCTCR_06608!B106),",0",",0")</f>
        <v>618906,106|2,0,0</v>
      </c>
      <c r="C106" t="str">
        <f>CONCATENATE(619395,",",ROW(BCTCR_06608!C106),"|",COLUMN(BCTCR_06608!C106),",0",",0")</f>
        <v>619395,106|3,0,0</v>
      </c>
      <c r="D106" t="str">
        <f>CONCATENATE(619042,",",ROW(BCTCR_06608!D106),"|",COLUMN(BCTCR_06608!D106),",0",",0")</f>
        <v>619042,106|4,0,0</v>
      </c>
      <c r="E106" t="str">
        <f>CONCATENATE(619297,",",ROW(BCTCR_06608!E106),"|",COLUMN(BCTCR_06608!E106),",0",",0")</f>
        <v>619297,106|5,0,0</v>
      </c>
    </row>
    <row r="107" spans="1:5" x14ac:dyDescent="0.25">
      <c r="A107" t="str">
        <f>CONCATENATE(619209,",",ROW(BCTCR_06608!A107),"|",COLUMN(BCTCR_06608!A107),",0",",0")</f>
        <v>619209,107|1,0,0</v>
      </c>
      <c r="B107" t="str">
        <f>CONCATENATE(619436,",",ROW(BCTCR_06608!B107),"|",COLUMN(BCTCR_06608!B107),",0",",0")</f>
        <v>619436,107|2,0,0</v>
      </c>
      <c r="C107" t="str">
        <f>CONCATENATE(619445,",",ROW(BCTCR_06608!C107),"|",COLUMN(BCTCR_06608!C107),",0",",0")</f>
        <v>619445,107|3,0,0</v>
      </c>
      <c r="D107" t="str">
        <f>CONCATENATE(618942,",",ROW(BCTCR_06608!D107),"|",COLUMN(BCTCR_06608!D107),",0",",0")</f>
        <v>618942,107|4,0,0</v>
      </c>
      <c r="E107" t="str">
        <f>CONCATENATE(619296,",",ROW(BCTCR_06608!E107),"|",COLUMN(BCTCR_06608!E107),",0",",0")</f>
        <v>619296,107|5,0,0</v>
      </c>
    </row>
    <row r="108" spans="1:5" x14ac:dyDescent="0.25">
      <c r="A108" t="str">
        <f>CONCATENATE(619488,",",ROW(BCTCR_06608!A108),"|",COLUMN(BCTCR_06608!A108),",0",",0")</f>
        <v>619488,108|1,0,0</v>
      </c>
      <c r="B108" t="str">
        <f>CONCATENATE(619437,",",ROW(BCTCR_06608!B108),"|",COLUMN(BCTCR_06608!B108),",0",",0")</f>
        <v>619437,108|2,0,0</v>
      </c>
      <c r="C108" t="str">
        <f>CONCATENATE(619006,",",ROW(BCTCR_06608!C108),"|",COLUMN(BCTCR_06608!C108),",0",",0")</f>
        <v>619006,108|3,0,0</v>
      </c>
      <c r="D108" t="str">
        <f>CONCATENATE(618961,",",ROW(BCTCR_06608!D108),"|",COLUMN(BCTCR_06608!D108),",0",",0")</f>
        <v>618961,108|4,0,0</v>
      </c>
      <c r="E108" t="str">
        <f>CONCATENATE(618848,",",ROW(BCTCR_06608!E108),"|",COLUMN(BCTCR_06608!E108),",0",",0")</f>
        <v>618848,108|5,0,0</v>
      </c>
    </row>
    <row r="109" spans="1:5" x14ac:dyDescent="0.25">
      <c r="A109" t="str">
        <f>CONCATENATE(619402,",",ROW(BCTCR_06608!A109),"|",COLUMN(BCTCR_06608!A109),",0",",0")</f>
        <v>619402,109|1,0,0</v>
      </c>
      <c r="B109" t="str">
        <f>CONCATENATE(618907,",",ROW(BCTCR_06608!B109),"|",COLUMN(BCTCR_06608!B109),",0",",0")</f>
        <v>618907,109|2,0,0</v>
      </c>
      <c r="C109" t="str">
        <f>CONCATENATE(619325,",",ROW(BCTCR_06608!C109),"|",COLUMN(BCTCR_06608!C109),",0",",0")</f>
        <v>619325,109|3,0,0</v>
      </c>
      <c r="D109" t="str">
        <f>CONCATENATE(619100,",",ROW(BCTCR_06608!D109),"|",COLUMN(BCTCR_06608!D109),",0",",0")</f>
        <v>619100,109|4,0,0</v>
      </c>
      <c r="E109" t="str">
        <f>CONCATENATE(619387,",",ROW(BCTCR_06608!E109),"|",COLUMN(BCTCR_06608!E109),",0",",0")</f>
        <v>619387,109|5,0,0</v>
      </c>
    </row>
    <row r="110" spans="1:5" x14ac:dyDescent="0.25">
      <c r="A110" t="str">
        <f>CONCATENATE(619403,",",ROW(BCTCR_06608!A110),"|",COLUMN(BCTCR_06608!A110),",0",",0")</f>
        <v>619403,110|1,0,0</v>
      </c>
      <c r="B110" t="str">
        <f>CONCATENATE(619438,",",ROW(BCTCR_06608!B110),"|",COLUMN(BCTCR_06608!B110),",0",",0")</f>
        <v>619438,110|2,0,0</v>
      </c>
      <c r="C110" t="str">
        <f>CONCATENATE(619326,",",ROW(BCTCR_06608!C110),"|",COLUMN(BCTCR_06608!C110),",0",",0")</f>
        <v>619326,110|3,0,0</v>
      </c>
      <c r="D110" t="str">
        <f>CONCATENATE(619101,",",ROW(BCTCR_06608!D110),"|",COLUMN(BCTCR_06608!D110),",0",",0")</f>
        <v>619101,110|4,0,0</v>
      </c>
      <c r="E110" t="str">
        <f>CONCATENATE(619388,",",ROW(BCTCR_06608!E110),"|",COLUMN(BCTCR_06608!E110),",0",",0")</f>
        <v>619388,110|5,0,0</v>
      </c>
    </row>
    <row r="111" spans="1:5" x14ac:dyDescent="0.25">
      <c r="A111" t="str">
        <f>CONCATENATE(619247,",",ROW(BCTCR_06608!A111),"|",COLUMN(BCTCR_06608!A111),",0",",0")</f>
        <v>619247,111|1,0,0</v>
      </c>
      <c r="B111" t="str">
        <f>CONCATENATE(619439,",",ROW(BCTCR_06608!B111),"|",COLUMN(BCTCR_06608!B111),",0",",0")</f>
        <v>619439,111|2,0,0</v>
      </c>
      <c r="C111" t="str">
        <f>CONCATENATE(619327,",",ROW(BCTCR_06608!C111),"|",COLUMN(BCTCR_06608!C111),",0",",0")</f>
        <v>619327,111|3,0,0</v>
      </c>
      <c r="D111" t="str">
        <f>CONCATENATE(619102,",",ROW(BCTCR_06608!D111),"|",COLUMN(BCTCR_06608!D111),",0",",0")</f>
        <v>619102,111|4,0,0</v>
      </c>
      <c r="E111" t="str">
        <f>CONCATENATE(619389,",",ROW(BCTCR_06608!E111),"|",COLUMN(BCTCR_06608!E111),",0",",0")</f>
        <v>619389,111|5,0,0</v>
      </c>
    </row>
    <row r="112" spans="1:5" x14ac:dyDescent="0.25">
      <c r="A112" t="str">
        <f>CONCATENATE(619491,",",ROW(BCTCR_06608!A112),"|",COLUMN(BCTCR_06608!A112),",0",",0")</f>
        <v>619491,112|1,0,0</v>
      </c>
      <c r="B112" t="str">
        <f>CONCATENATE(618908,",",ROW(BCTCR_06608!B112),"|",COLUMN(BCTCR_06608!B112),",0",",0")</f>
        <v>618908,112|2,0,0</v>
      </c>
      <c r="C112" t="str">
        <f>CONCATENATE(619328,",",ROW(BCTCR_06608!C112),"|",COLUMN(BCTCR_06608!C112),",0",",0")</f>
        <v>619328,112|3,0,0</v>
      </c>
      <c r="D112" t="str">
        <f>CONCATENATE(619103,",",ROW(BCTCR_06608!D112),"|",COLUMN(BCTCR_06608!D112),",0",",0")</f>
        <v>619103,112|4,0,0</v>
      </c>
      <c r="E112" t="str">
        <f>CONCATENATE(619392,",",ROW(BCTCR_06608!E112),"|",COLUMN(BCTCR_06608!E112),",0",",0")</f>
        <v>619392,112|5,0,0</v>
      </c>
    </row>
    <row r="113" spans="1:5" x14ac:dyDescent="0.25">
      <c r="A113" t="str">
        <f>CONCATENATE(618903,",",ROW(BCTCR_06608!A113),"|",COLUMN(BCTCR_06608!A113),",0",",0")</f>
        <v>618903,113|1,0,0</v>
      </c>
      <c r="B113" t="str">
        <f>CONCATENATE(619440,",",ROW(BCTCR_06608!B113),"|",COLUMN(BCTCR_06608!B113),",0",",0")</f>
        <v>619440,113|2,0,0</v>
      </c>
      <c r="C113" t="str">
        <f>CONCATENATE(619329,",",ROW(BCTCR_06608!C113),"|",COLUMN(BCTCR_06608!C113),",0",",0")</f>
        <v>619329,113|3,0,0</v>
      </c>
      <c r="D113" t="str">
        <f>CONCATENATE(619104,",",ROW(BCTCR_06608!D113),"|",COLUMN(BCTCR_06608!D113),",0",",0")</f>
        <v>619104,113|4,0,0</v>
      </c>
      <c r="E113" t="str">
        <f>CONCATENATE(619393,",",ROW(BCTCR_06608!E113),"|",COLUMN(BCTCR_06608!E113),",0",",0")</f>
        <v>619393,113|5,0,0</v>
      </c>
    </row>
    <row r="114" spans="1:5" x14ac:dyDescent="0.25">
      <c r="A114" t="str">
        <f>CONCATENATE(619489,",",ROW(BCTCR_06608!A114),"|",COLUMN(BCTCR_06608!A114),",0",",0")</f>
        <v>619489,114|1,0,0</v>
      </c>
      <c r="B114" t="str">
        <f>CONCATENATE(618909,",",ROW(BCTCR_06608!B114),"|",COLUMN(BCTCR_06608!B114),",0",",0")</f>
        <v>618909,114|2,0,0</v>
      </c>
      <c r="C114" t="str">
        <f>CONCATENATE(619007,",",ROW(BCTCR_06608!C114),"|",COLUMN(BCTCR_06608!C114),",0",",0")</f>
        <v>619007,114|3,0,0</v>
      </c>
      <c r="D114" t="str">
        <f>CONCATENATE(618962,",",ROW(BCTCR_06608!D114),"|",COLUMN(BCTCR_06608!D114),",0",",0")</f>
        <v>618962,114|4,0,0</v>
      </c>
      <c r="E114" t="str">
        <f>CONCATENATE(618849,",",ROW(BCTCR_06608!E114),"|",COLUMN(BCTCR_06608!E114),",0",",0")</f>
        <v>618849,114|5,0,0</v>
      </c>
    </row>
    <row r="115" spans="1:5" x14ac:dyDescent="0.25">
      <c r="A115" t="str">
        <f>CONCATENATE(619404,",",ROW(BCTCR_06608!A115),"|",COLUMN(BCTCR_06608!A115),",0",",0")</f>
        <v>619404,115|1,0,0</v>
      </c>
      <c r="B115" t="str">
        <f>CONCATENATE(619127,",",ROW(BCTCR_06608!B115),"|",COLUMN(BCTCR_06608!B115),",0",",0")</f>
        <v>619127,115|2,0,0</v>
      </c>
      <c r="C115" t="str">
        <f>CONCATENATE(619330,",",ROW(BCTCR_06608!C115),"|",COLUMN(BCTCR_06608!C115),",0",",0")</f>
        <v>619330,115|3,0,0</v>
      </c>
      <c r="D115" t="str">
        <f>CONCATENATE(619105,",",ROW(BCTCR_06608!D115),"|",COLUMN(BCTCR_06608!D115),",0",",0")</f>
        <v>619105,115|4,0,0</v>
      </c>
      <c r="E115" t="str">
        <f>CONCATENATE(619394,",",ROW(BCTCR_06608!E115),"|",COLUMN(BCTCR_06608!E115),",0",",0")</f>
        <v>619394,115|5,0,0</v>
      </c>
    </row>
    <row r="116" spans="1:5" x14ac:dyDescent="0.25">
      <c r="A116" t="str">
        <f>CONCATENATE(619034,",",ROW(BCTCR_06608!A116),"|",COLUMN(BCTCR_06608!A116),",0",",0")</f>
        <v>619034,116|1,0,0</v>
      </c>
      <c r="B116" t="s">
        <v>5</v>
      </c>
      <c r="C116" t="str">
        <f>CONCATENATE(619202,",",ROW(BCTCR_06608!C116),"|",COLUMN(BCTCR_06608!C116),",0",",0")</f>
        <v>619202,116|3,0,0</v>
      </c>
      <c r="D116" t="str">
        <f>CONCATENATE(619204,",",ROW(BCTCR_06608!D116),"|",COLUMN(BCTCR_06608!D116),",0",",0")</f>
        <v>619204,116|4,0,0</v>
      </c>
      <c r="E116" t="str">
        <f>CONCATENATE(619259,",",ROW(BCTCR_06608!E116),"|",COLUMN(BCTCR_06608!E116),",0",",0")</f>
        <v>619259,116|5,0,0</v>
      </c>
    </row>
    <row r="117" spans="1:5" x14ac:dyDescent="0.25">
      <c r="A117" t="str">
        <f>CONCATENATE(619312,",",ROW(BCTCR_06608!A117),"|",COLUMN(BCTCR_06608!A117),",0",",0")</f>
        <v>619312,117|1,0,0</v>
      </c>
      <c r="B117" t="str">
        <f>CONCATENATE(619441,",",ROW(BCTCR_06608!B117),"|",COLUMN(BCTCR_06608!B117),",0",",0")</f>
        <v>619441,117|2,0,0</v>
      </c>
      <c r="C117" t="str">
        <f>CONCATENATE(619331,",",ROW(BCTCR_06608!C117),"|",COLUMN(BCTCR_06608!C117),",0",",0")</f>
        <v>619331,117|3,0,0</v>
      </c>
      <c r="D117" t="str">
        <f>CONCATENATE(619106,",",ROW(BCTCR_06608!D117),"|",COLUMN(BCTCR_06608!D117),",0",",0")</f>
        <v>619106,117|4,0,0</v>
      </c>
      <c r="E117" t="str">
        <f>CONCATENATE(619266,",",ROW(BCTCR_06608!E117),"|",COLUMN(BCTCR_06608!E117),",0",",0")</f>
        <v>619266,117|5,0,0</v>
      </c>
    </row>
    <row r="118" spans="1:5" x14ac:dyDescent="0.25">
      <c r="A118" t="str">
        <f>CONCATENATE(619372,",",ROW(BCTCR_06608!A118),"|",COLUMN(BCTCR_06608!A118),",0",",0")</f>
        <v>619372,118|1,0,0</v>
      </c>
      <c r="B118" t="str">
        <f>CONCATENATE(618910,",",ROW(BCTCR_06608!B118),"|",COLUMN(BCTCR_06608!B118),",0",",0")</f>
        <v>618910,118|2,0,0</v>
      </c>
      <c r="C118" t="str">
        <f>CONCATENATE(619332,",",ROW(BCTCR_06608!C118),"|",COLUMN(BCTCR_06608!C118),",0",",0")</f>
        <v>619332,118|3,0,0</v>
      </c>
      <c r="D118" t="str">
        <f>CONCATENATE(619107,",",ROW(BCTCR_06608!D118),"|",COLUMN(BCTCR_06608!D118),",0",",0")</f>
        <v>619107,118|4,0,0</v>
      </c>
      <c r="E118" t="str">
        <f>CONCATENATE(618927,",",ROW(BCTCR_06608!E118),"|",COLUMN(BCTCR_06608!E118),",0",",0")</f>
        <v>618927,118|5,0,0</v>
      </c>
    </row>
    <row r="119" spans="1:5" x14ac:dyDescent="0.25">
      <c r="A119" t="str">
        <f>CONCATENATE(619490,",",ROW(BCTCR_06608!A119),"|",COLUMN(BCTCR_06608!A119),",0",",0")</f>
        <v>619490,119|1,0,0</v>
      </c>
      <c r="B119" t="str">
        <f>CONCATENATE(618911,",",ROW(BCTCR_06608!B119),"|",COLUMN(BCTCR_06608!B119),",0",",0")</f>
        <v>618911,119|2,0,0</v>
      </c>
      <c r="C119" t="str">
        <f>CONCATENATE(619008,",",ROW(BCTCR_06608!C119),"|",COLUMN(BCTCR_06608!C119),",0",",0")</f>
        <v>619008,119|3,0,0</v>
      </c>
      <c r="D119" t="str">
        <f>CONCATENATE(618963,",",ROW(BCTCR_06608!D119),"|",COLUMN(BCTCR_06608!D119),",0",",0")</f>
        <v>618963,119|4,0,0</v>
      </c>
      <c r="E119" t="str">
        <f>CONCATENATE(618850,",",ROW(BCTCR_06608!E119),"|",COLUMN(BCTCR_06608!E119),",0",",0")</f>
        <v>618850,119|5,0,0</v>
      </c>
    </row>
    <row r="120" spans="1:5" x14ac:dyDescent="0.25">
      <c r="A120" t="str">
        <f>CONCATENATE(619405,",",ROW(BCTCR_06608!A120),"|",COLUMN(BCTCR_06608!A120),",0",",0")</f>
        <v>619405,120|1,0,0</v>
      </c>
      <c r="B120" t="str">
        <f>CONCATENATE(619390,",",ROW(BCTCR_06608!B120),"|",COLUMN(BCTCR_06608!B120),",0",",0")</f>
        <v>619390,120|2,0,0</v>
      </c>
      <c r="C120" t="str">
        <f>CONCATENATE(619369,",",ROW(BCTCR_06608!C120),"|",COLUMN(BCTCR_06608!C120),",0",",0")</f>
        <v>619369,120|3,0,0</v>
      </c>
      <c r="D120" t="str">
        <f>CONCATENATE(619098,",",ROW(BCTCR_06608!D120),"|",COLUMN(BCTCR_06608!D120),",0",",0")</f>
        <v>619098,120|4,0,0</v>
      </c>
      <c r="E120" t="str">
        <f>CONCATENATE(619385,",",ROW(BCTCR_06608!E120),"|",COLUMN(BCTCR_06608!E120),",0",",0")</f>
        <v>619385,120|5,0,0</v>
      </c>
    </row>
    <row r="121" spans="1:5" x14ac:dyDescent="0.25">
      <c r="A121" t="str">
        <f>CONCATENATE(618957,",",ROW(BCTCR_06608!A121),"|",COLUMN(BCTCR_06608!A121),",0",",0")</f>
        <v>618957,121|1,0,0</v>
      </c>
      <c r="B121" t="str">
        <f>CONCATENATE(618912,",",ROW(BCTCR_06608!B121),"|",COLUMN(BCTCR_06608!B121),",0",",0")</f>
        <v>618912,121|2,0,0</v>
      </c>
      <c r="C121" t="str">
        <f>CONCATENATE(619009,",",ROW(BCTCR_06608!C121),"|",COLUMN(BCTCR_06608!C121),",0",",0")</f>
        <v>619009,121|3,0,0</v>
      </c>
      <c r="D121" t="str">
        <f>CONCATENATE(618964,",",ROW(BCTCR_06608!D121),"|",COLUMN(BCTCR_06608!D121),",0",",0")</f>
        <v>618964,121|4,0,0</v>
      </c>
      <c r="E121" t="str">
        <f>CONCATENATE(619281,",",ROW(BCTCR_06608!E121),"|",COLUMN(BCTCR_06608!E121),",0",",0")</f>
        <v>619281,121|5,0,0</v>
      </c>
    </row>
    <row r="122" spans="1:5" x14ac:dyDescent="0.25">
      <c r="A122" t="str">
        <f>CONCATENATE(619492,",",ROW(BCTCR_06608!A122),"|",COLUMN(BCTCR_06608!A122),",0",",0")</f>
        <v>619492,122|1,0,0</v>
      </c>
      <c r="B122" t="str">
        <f>CONCATENATE(619391,",",ROW(BCTCR_06608!B122),"|",COLUMN(BCTCR_06608!B122),",0",",0")</f>
        <v>619391,122|2,0,0</v>
      </c>
      <c r="C122" t="str">
        <f>CONCATENATE(619324,",",ROW(BCTCR_06608!C122),"|",COLUMN(BCTCR_06608!C122),",0",",0")</f>
        <v>619324,122|3,0,0</v>
      </c>
      <c r="D122" t="str">
        <f>CONCATENATE(619099,",",ROW(BCTCR_06608!D122),"|",COLUMN(BCTCR_06608!D122),",0",",0")</f>
        <v>619099,122|4,0,0</v>
      </c>
      <c r="E122" t="str">
        <f>CONCATENATE(619386,",",ROW(BCTCR_06608!E122),"|",COLUMN(BCTCR_06608!E122),",0",",0")</f>
        <v>619386,122|5,0,0</v>
      </c>
    </row>
    <row r="123" spans="1:5" x14ac:dyDescent="0.25">
      <c r="A123" t="str">
        <f>CONCATENATE(619373,",",ROW(BCTCR_06608!A123),"|",COLUMN(BCTCR_06608!A123),",0",",0")</f>
        <v>619373,123|1,0,0</v>
      </c>
      <c r="B123" t="str">
        <f>CONCATENATE(619442,",",ROW(BCTCR_06608!B123),"|",COLUMN(BCTCR_06608!B123),",0",",0")</f>
        <v>619442,123|2,0,0</v>
      </c>
      <c r="C123" t="str">
        <f>CONCATENATE(619333,",",ROW(BCTCR_06608!C123),"|",COLUMN(BCTCR_06608!C123),",0",",0")</f>
        <v>619333,123|3,0,0</v>
      </c>
      <c r="D123" t="str">
        <f>CONCATENATE(619108,",",ROW(BCTCR_06608!D123),"|",COLUMN(BCTCR_06608!D123),",0",",0")</f>
        <v>619108,123|4,0,0</v>
      </c>
      <c r="E123" t="str">
        <f>CONCATENATE(618928,",",ROW(BCTCR_06608!E123),"|",COLUMN(BCTCR_06608!E123),",0",",0")</f>
        <v>618928,123|5,0,0</v>
      </c>
    </row>
    <row r="124" spans="1:5" x14ac:dyDescent="0.25">
      <c r="A124" t="str">
        <f>CONCATENATE(619406,",",ROW(BCTCR_06608!A124),"|",COLUMN(BCTCR_06608!A124),",0",",0")</f>
        <v>619406,124|1,0,0</v>
      </c>
      <c r="B124" t="str">
        <f>CONCATENATE(618913,",",ROW(BCTCR_06608!B124),"|",COLUMN(BCTCR_06608!B124),",0",",0")</f>
        <v>618913,124|2,0,0</v>
      </c>
      <c r="C124" t="str">
        <f>CONCATENATE(619334,",",ROW(BCTCR_06608!C124),"|",COLUMN(BCTCR_06608!C124),",0",",0")</f>
        <v>619334,124|3,0,0</v>
      </c>
      <c r="D124" t="str">
        <f>CONCATENATE(619109,",",ROW(BCTCR_06608!D124),"|",COLUMN(BCTCR_06608!D124),",0",",0")</f>
        <v>619109,124|4,0,0</v>
      </c>
      <c r="E124" t="str">
        <f>CONCATENATE(618929,",",ROW(BCTCR_06608!E124),"|",COLUMN(BCTCR_06608!E124),",0",",0")</f>
        <v>618929,124|5,0,0</v>
      </c>
    </row>
    <row r="125" spans="1:5" x14ac:dyDescent="0.25">
      <c r="A125" t="str">
        <f>CONCATENATE(619012,",",ROW(BCTCR_06608!A125),"|",COLUMN(BCTCR_06608!A125),",0",",0")</f>
        <v>619012,125|1,0,0</v>
      </c>
      <c r="B125" t="str">
        <f>CONCATENATE(618972,",",ROW(BCTCR_06608!B125),"|",COLUMN(BCTCR_06608!B125),",0",",0")</f>
        <v>618972,125|2,0,0</v>
      </c>
      <c r="C125" t="str">
        <f>CONCATENATE(619010,",",ROW(BCTCR_06608!C125),"|",COLUMN(BCTCR_06608!C125),",0",",0")</f>
        <v>619010,125|3,0,0</v>
      </c>
      <c r="D125" t="str">
        <f>CONCATENATE(618965,",",ROW(BCTCR_06608!D125),"|",COLUMN(BCTCR_06608!D125),",0",",0")</f>
        <v>618965,125|4,0,0</v>
      </c>
      <c r="E125" t="str">
        <f>CONCATENATE(619282,",",ROW(BCTCR_06608!E125),"|",COLUMN(BCTCR_06608!E125),",0",",0")</f>
        <v>619282,125|5,0,0</v>
      </c>
    </row>
    <row r="126" spans="1:5" x14ac:dyDescent="0.25">
      <c r="A126" t="str">
        <f>CONCATENATE(619407,",",ROW(BCTCR_06608!A126),"|",COLUMN(BCTCR_06608!A126),",0",",0")</f>
        <v>619407,126|1,0,0</v>
      </c>
      <c r="B126" t="str">
        <f>CONCATENATE(619443,",",ROW(BCTCR_06608!B126),"|",COLUMN(BCTCR_06608!B126),",0",",0")</f>
        <v>619443,126|2,0,0</v>
      </c>
      <c r="C126" t="str">
        <f>CONCATENATE(619335,",",ROW(BCTCR_06608!C126),"|",COLUMN(BCTCR_06608!C126),",0",",0")</f>
        <v>619335,126|3,0,0</v>
      </c>
      <c r="D126" t="str">
        <f>CONCATENATE(619110,",",ROW(BCTCR_06608!D126),"|",COLUMN(BCTCR_06608!D126),",0",",0")</f>
        <v>619110,126|4,0,0</v>
      </c>
      <c r="E126" t="str">
        <f>CONCATENATE(618930,",",ROW(BCTCR_06608!E126),"|",COLUMN(BCTCR_06608!E126),",0",",0")</f>
        <v>618930,126|5,0,0</v>
      </c>
    </row>
    <row r="127" spans="1:5" x14ac:dyDescent="0.25">
      <c r="A127" t="str">
        <f>CONCATENATE(619374,",",ROW(BCTCR_06608!A127),"|",COLUMN(BCTCR_06608!A127),",0",",0")</f>
        <v>619374,127|1,0,0</v>
      </c>
      <c r="B127" t="str">
        <f>CONCATENATE(619444,",",ROW(BCTCR_06608!B127),"|",COLUMN(BCTCR_06608!B127),",0",",0")</f>
        <v>619444,127|2,0,0</v>
      </c>
      <c r="C127" t="str">
        <f>CONCATENATE(619336,",",ROW(BCTCR_06608!C127),"|",COLUMN(BCTCR_06608!C127),",0",",0")</f>
        <v>619336,127|3,0,0</v>
      </c>
      <c r="D127" t="str">
        <f>CONCATENATE(619111,",",ROW(BCTCR_06608!D127),"|",COLUMN(BCTCR_06608!D127),",0",",0")</f>
        <v>619111,127|4,0,0</v>
      </c>
      <c r="E127" t="str">
        <f>CONCATENATE(618931,",",ROW(BCTCR_06608!E127),"|",COLUMN(BCTCR_06608!E127),",0",",0")</f>
        <v>618931,127|5,0,0</v>
      </c>
    </row>
    <row r="128" spans="1:5" x14ac:dyDescent="0.25">
      <c r="A128" t="str">
        <f>CONCATENATE(619494,",",ROW(BCTCR_06608!A128),"|",COLUMN(BCTCR_06608!A128),",0",",0")</f>
        <v>619494,128|1,0,0</v>
      </c>
      <c r="B128" t="str">
        <f>CONCATENATE(619141,",",ROW(BCTCR_06608!B128),"|",COLUMN(BCTCR_06608!B128),",0",",0")</f>
        <v>619141,128|2,0,0</v>
      </c>
      <c r="C128" t="str">
        <f>CONCATENATE(619337,",",ROW(BCTCR_06608!C128),"|",COLUMN(BCTCR_06608!C128),",0",",0")</f>
        <v>619337,128|3,0,0</v>
      </c>
      <c r="D128" t="str">
        <f>CONCATENATE(619112,",",ROW(BCTCR_06608!D128),"|",COLUMN(BCTCR_06608!D128),",0",",0")</f>
        <v>619112,128|4,0,0</v>
      </c>
      <c r="E128" t="str">
        <f>CONCATENATE(618932,",",ROW(BCTCR_06608!E128),"|",COLUMN(BCTCR_06608!E128),",0",",0")</f>
        <v>618932,128|5,0,0</v>
      </c>
    </row>
    <row r="129" spans="1:5" x14ac:dyDescent="0.25">
      <c r="A129" t="str">
        <f>CONCATENATE(619408,",",ROW(BCTCR_06608!A129),"|",COLUMN(BCTCR_06608!A129),",0",",0")</f>
        <v>619408,129|1,0,0</v>
      </c>
      <c r="B129" t="str">
        <f>CONCATENATE(619232,",",ROW(BCTCR_06608!B129),"|",COLUMN(BCTCR_06608!B129),",0",",0")</f>
        <v>619232,129|2,0,0</v>
      </c>
      <c r="C129" t="str">
        <f>CONCATENATE(619338,",",ROW(BCTCR_06608!C129),"|",COLUMN(BCTCR_06608!C129),",0",",0")</f>
        <v>619338,129|3,0,0</v>
      </c>
      <c r="D129" t="str">
        <f>CONCATENATE(619113,",",ROW(BCTCR_06608!D129),"|",COLUMN(BCTCR_06608!D129),",0",",0")</f>
        <v>619113,129|4,0,0</v>
      </c>
      <c r="E129" t="str">
        <f>CONCATENATE(618933,",",ROW(BCTCR_06608!E129),"|",COLUMN(BCTCR_06608!E129),",0",",0")</f>
        <v>618933,129|5,0,0</v>
      </c>
    </row>
    <row r="130" spans="1:5" x14ac:dyDescent="0.25">
      <c r="A130" t="str">
        <f>CONCATENATE(619013,",",ROW(BCTCR_06608!A130),"|",COLUMN(BCTCR_06608!A130),",0",",0")</f>
        <v>619013,130|1,0,0</v>
      </c>
      <c r="B130" t="str">
        <f>CONCATENATE(619142,",",ROW(BCTCR_06608!B130),"|",COLUMN(BCTCR_06608!B130),",0",",0")</f>
        <v>619142,130|2,0,0</v>
      </c>
      <c r="C130" t="str">
        <f>CONCATENATE(619011,",",ROW(BCTCR_06608!C130),"|",COLUMN(BCTCR_06608!C130),",0",",0")</f>
        <v>619011,130|3,0,0</v>
      </c>
      <c r="D130" t="str">
        <f>CONCATENATE(618966,",",ROW(BCTCR_06608!D130),"|",COLUMN(BCTCR_06608!D130),",0",",0")</f>
        <v>618966,130|4,0,0</v>
      </c>
      <c r="E130" t="str">
        <f>CONCATENATE(619283,",",ROW(BCTCR_06608!E130),"|",COLUMN(BCTCR_06608!E130),",0",",0")</f>
        <v>619283,130|5,0,0</v>
      </c>
    </row>
    <row r="131" spans="1:5" x14ac:dyDescent="0.25">
      <c r="A131" t="str">
        <f>CONCATENATE(619375,",",ROW(BCTCR_06608!A131),"|",COLUMN(BCTCR_06608!A131),",0",",0")</f>
        <v>619375,131|1,0,0</v>
      </c>
      <c r="B131" t="str">
        <f>CONCATENATE(619233,",",ROW(BCTCR_06608!B131),"|",COLUMN(BCTCR_06608!B131),",0",",0")</f>
        <v>619233,131|2,0,0</v>
      </c>
      <c r="C131" t="str">
        <f>CONCATENATE(619339,",",ROW(BCTCR_06608!C131),"|",COLUMN(BCTCR_06608!C131),",0",",0")</f>
        <v>619339,131|3,0,0</v>
      </c>
      <c r="D131" t="str">
        <f>CONCATENATE(619114,",",ROW(BCTCR_06608!D131),"|",COLUMN(BCTCR_06608!D131),",0",",0")</f>
        <v>619114,131|4,0,0</v>
      </c>
      <c r="E131" t="str">
        <f>CONCATENATE(618934,",",ROW(BCTCR_06608!E131),"|",COLUMN(BCTCR_06608!E131),",0",",0")</f>
        <v>618934,131|5,0,0</v>
      </c>
    </row>
    <row r="132" spans="1:5" x14ac:dyDescent="0.25">
      <c r="A132" t="str">
        <f>CONCATENATE(619409,",",ROW(BCTCR_06608!A132),"|",COLUMN(BCTCR_06608!A132),",0",",0")</f>
        <v>619409,132|1,0,0</v>
      </c>
      <c r="B132" t="str">
        <f>CONCATENATE(619236,",",ROW(BCTCR_06608!B132),"|",COLUMN(BCTCR_06608!B132),",0",",0")</f>
        <v>619236,132|2,0,0</v>
      </c>
      <c r="C132" t="str">
        <f>CONCATENATE(619340,",",ROW(BCTCR_06608!C132),"|",COLUMN(BCTCR_06608!C132),",0",",0")</f>
        <v>619340,132|3,0,0</v>
      </c>
      <c r="D132" t="str">
        <f>CONCATENATE(619115,",",ROW(BCTCR_06608!D132),"|",COLUMN(BCTCR_06608!D132),",0",",0")</f>
        <v>619115,132|4,0,0</v>
      </c>
      <c r="E132" t="str">
        <f>CONCATENATE(619453,",",ROW(BCTCR_06608!E132),"|",COLUMN(BCTCR_06608!E132),",0",",0")</f>
        <v>619453,132|5,0,0</v>
      </c>
    </row>
    <row r="133" spans="1:5" x14ac:dyDescent="0.25">
      <c r="A133" t="str">
        <f>CONCATENATE(619495,",",ROW(BCTCR_06608!A133),"|",COLUMN(BCTCR_06608!A133),",0",",0")</f>
        <v>619495,133|1,0,0</v>
      </c>
      <c r="B133" t="str">
        <f>CONCATENATE(619234,",",ROW(BCTCR_06608!B133),"|",COLUMN(BCTCR_06608!B133),",0",",0")</f>
        <v>619234,133|2,0,0</v>
      </c>
      <c r="C133" t="str">
        <f>CONCATENATE(619341,",",ROW(BCTCR_06608!C133),"|",COLUMN(BCTCR_06608!C133),",0",",0")</f>
        <v>619341,133|3,0,0</v>
      </c>
      <c r="D133" t="str">
        <f>CONCATENATE(619116,",",ROW(BCTCR_06608!D133),"|",COLUMN(BCTCR_06608!D133),",0",",0")</f>
        <v>619116,133|4,0,0</v>
      </c>
      <c r="E133" t="str">
        <f>CONCATENATE(619143,",",ROW(BCTCR_06608!E133),"|",COLUMN(BCTCR_06608!E133),",0",",0")</f>
        <v>619143,133|5,0,0</v>
      </c>
    </row>
    <row r="134" spans="1:5" x14ac:dyDescent="0.25">
      <c r="A134" t="str">
        <f>CONCATENATE(619410,",",ROW(BCTCR_06608!A134),"|",COLUMN(BCTCR_06608!A134),",0",",0")</f>
        <v>619410,134|1,0,0</v>
      </c>
      <c r="B134" t="str">
        <f>CONCATENATE(619237,",",ROW(BCTCR_06608!B134),"|",COLUMN(BCTCR_06608!B134),",0",",0")</f>
        <v>619237,134|2,0,0</v>
      </c>
      <c r="C134" t="str">
        <f>CONCATENATE(619342,",",ROW(BCTCR_06608!C134),"|",COLUMN(BCTCR_06608!C134),",0",",0")</f>
        <v>619342,134|3,0,0</v>
      </c>
      <c r="D134" t="str">
        <f>CONCATENATE(619448,",",ROW(BCTCR_06608!D134),"|",COLUMN(BCTCR_06608!D134),",0",",0")</f>
        <v>619448,134|4,0,0</v>
      </c>
      <c r="E134" t="str">
        <f>CONCATENATE(619144,",",ROW(BCTCR_06608!E134),"|",COLUMN(BCTCR_06608!E134),",0",",0")</f>
        <v>619144,134|5,0,0</v>
      </c>
    </row>
    <row r="135" spans="1:5" x14ac:dyDescent="0.25">
      <c r="A135" t="str">
        <f>CONCATENATE(619376,",",ROW(BCTCR_06608!A135),"|",COLUMN(BCTCR_06608!A135),",0",",0")</f>
        <v>619376,135|1,0,0</v>
      </c>
      <c r="B135" t="str">
        <f>CONCATENATE(619476,",",ROW(BCTCR_06608!B135),"|",COLUMN(BCTCR_06608!B135),",0",",0")</f>
        <v>619476,135|2,0,0</v>
      </c>
      <c r="C135" t="str">
        <f>CONCATENATE(619343,",",ROW(BCTCR_06608!C135),"|",COLUMN(BCTCR_06608!C135),",0",",0")</f>
        <v>619343,135|3,0,0</v>
      </c>
      <c r="D135" t="str">
        <f>CONCATENATE(619449,",",ROW(BCTCR_06608!D135),"|",COLUMN(BCTCR_06608!D135),",0",",0")</f>
        <v>619449,135|4,0,0</v>
      </c>
      <c r="E135" t="str">
        <f>CONCATENATE(619145,",",ROW(BCTCR_06608!E135),"|",COLUMN(BCTCR_06608!E135),",0",",0")</f>
        <v>619145,135|5,0,0</v>
      </c>
    </row>
    <row r="136" spans="1:5" x14ac:dyDescent="0.25">
      <c r="A136" t="str">
        <f>CONCATENATE(619318,",",ROW(BCTCR_06608!A136),"|",COLUMN(BCTCR_06608!A136),",0",",0")</f>
        <v>619318,136|1,0,0</v>
      </c>
      <c r="B136" t="str">
        <f>CONCATENATE(618859,",",ROW(BCTCR_06608!B136),"|",COLUMN(BCTCR_06608!B136),",0",",0")</f>
        <v>618859,136|2,0,0</v>
      </c>
      <c r="C136" t="str">
        <f>CONCATENATE(619344,",",ROW(BCTCR_06608!C136),"|",COLUMN(BCTCR_06608!C136),",0",",0")</f>
        <v>619344,136|3,0,0</v>
      </c>
      <c r="D136" t="str">
        <f>CONCATENATE(619450,",",ROW(BCTCR_06608!D136),"|",COLUMN(BCTCR_06608!D136),",0",",0")</f>
        <v>619450,136|4,0,0</v>
      </c>
      <c r="E136" t="str">
        <f>CONCATENATE(619146,",",ROW(BCTCR_06608!E136),"|",COLUMN(BCTCR_06608!E136),",0",",0")</f>
        <v>619146,136|5,0,0</v>
      </c>
    </row>
    <row r="137" spans="1:5" x14ac:dyDescent="0.25">
      <c r="A137" t="str">
        <f>CONCATENATE(619200,",",ROW(BCTCR_06608!A137),"|",COLUMN(BCTCR_06608!A137),",0",",0")</f>
        <v>619200,137|1,0,0</v>
      </c>
      <c r="B137" t="str">
        <f>CONCATENATE(619262,",",ROW(BCTCR_06608!B137),"|",COLUMN(BCTCR_06608!B137),",0",",0")</f>
        <v>619262,137|2,0,0</v>
      </c>
      <c r="C137" t="str">
        <f>CONCATENATE(619260,",",ROW(BCTCR_06608!C137),"|",COLUMN(BCTCR_06608!C137),",0",",0")</f>
        <v>619260,137|3,0,0</v>
      </c>
      <c r="D137" t="str">
        <f>CONCATENATE(619203,",",ROW(BCTCR_06608!D137),"|",COLUMN(BCTCR_06608!D137),",0",",0")</f>
        <v>619203,137|4,0,0</v>
      </c>
      <c r="E137" t="str">
        <f>CONCATENATE(619261,",",ROW(BCTCR_06608!E137),"|",COLUMN(BCTCR_06608!E137),",0",",0")</f>
        <v>619261,137|5,0,0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zoomScale="85" zoomScaleNormal="85" workbookViewId="0">
      <selection activeCell="D4" sqref="D4:E48"/>
    </sheetView>
  </sheetViews>
  <sheetFormatPr defaultRowHeight="15" x14ac:dyDescent="0.25"/>
  <cols>
    <col min="1" max="1" width="31.28515625" bestFit="1" customWidth="1"/>
    <col min="2" max="3" width="19.7109375" bestFit="1" customWidth="1"/>
    <col min="4" max="5" width="23.5703125" customWidth="1"/>
  </cols>
  <sheetData>
    <row r="1" spans="1:5" ht="20.25" x14ac:dyDescent="0.3">
      <c r="A1" s="1621" t="s">
        <v>10</v>
      </c>
      <c r="B1" s="1621" t="s">
        <v>5</v>
      </c>
      <c r="C1" s="1621" t="s">
        <v>5</v>
      </c>
      <c r="D1" s="1621" t="s">
        <v>5</v>
      </c>
      <c r="E1" s="1621" t="s">
        <v>5</v>
      </c>
    </row>
    <row r="2" spans="1:5" ht="18.75" x14ac:dyDescent="0.25">
      <c r="A2" s="439" t="s">
        <v>30</v>
      </c>
      <c r="B2" s="439" t="s">
        <v>31</v>
      </c>
      <c r="C2" s="439" t="s">
        <v>32</v>
      </c>
      <c r="D2" s="439" t="s">
        <v>33</v>
      </c>
      <c r="E2" s="439" t="s">
        <v>34</v>
      </c>
    </row>
    <row r="3" spans="1:5" ht="16.5" x14ac:dyDescent="0.25">
      <c r="A3" s="527" t="s">
        <v>351</v>
      </c>
      <c r="B3" s="478" t="s">
        <v>114</v>
      </c>
      <c r="C3" s="509" t="s">
        <v>79</v>
      </c>
      <c r="D3" s="514" t="s">
        <v>223</v>
      </c>
      <c r="E3" s="515" t="s">
        <v>339</v>
      </c>
    </row>
    <row r="4" spans="1:5" ht="66" x14ac:dyDescent="0.25">
      <c r="A4" s="531" t="s">
        <v>355</v>
      </c>
      <c r="B4" s="438" t="s">
        <v>5</v>
      </c>
      <c r="C4" s="447"/>
      <c r="D4" s="1908" t="s">
        <v>5</v>
      </c>
      <c r="E4" s="1909" t="s">
        <v>5</v>
      </c>
    </row>
    <row r="5" spans="1:5" ht="33" x14ac:dyDescent="0.25">
      <c r="A5" s="486" t="s">
        <v>312</v>
      </c>
      <c r="B5" s="569" t="s">
        <v>223</v>
      </c>
      <c r="C5" s="557"/>
      <c r="D5" s="1910" t="s">
        <v>5</v>
      </c>
      <c r="E5" s="1911" t="s">
        <v>5</v>
      </c>
    </row>
    <row r="6" spans="1:5" ht="49.5" x14ac:dyDescent="0.25">
      <c r="A6" s="538" t="s">
        <v>362</v>
      </c>
      <c r="B6" s="480" t="s">
        <v>80</v>
      </c>
      <c r="C6" s="454"/>
      <c r="D6" s="1912" t="s">
        <v>5</v>
      </c>
      <c r="E6" s="1913" t="s">
        <v>5</v>
      </c>
    </row>
    <row r="7" spans="1:5" ht="33" x14ac:dyDescent="0.25">
      <c r="A7" s="479" t="s">
        <v>306</v>
      </c>
      <c r="B7" s="570" t="s">
        <v>380</v>
      </c>
      <c r="C7" s="558"/>
      <c r="D7" s="1914" t="s">
        <v>5</v>
      </c>
      <c r="E7" s="1915" t="s">
        <v>5</v>
      </c>
    </row>
    <row r="8" spans="1:5" ht="33" x14ac:dyDescent="0.25">
      <c r="A8" s="539" t="s">
        <v>363</v>
      </c>
      <c r="B8" s="571" t="s">
        <v>381</v>
      </c>
      <c r="C8" s="559"/>
      <c r="D8" s="1916" t="s">
        <v>5</v>
      </c>
      <c r="E8" s="1917" t="s">
        <v>5</v>
      </c>
    </row>
    <row r="9" spans="1:5" ht="33" x14ac:dyDescent="0.25">
      <c r="A9" s="540" t="s">
        <v>364</v>
      </c>
      <c r="B9" s="502" t="s">
        <v>328</v>
      </c>
      <c r="C9" s="455"/>
      <c r="D9" s="1918" t="s">
        <v>5</v>
      </c>
      <c r="E9" s="1919" t="s">
        <v>5</v>
      </c>
    </row>
    <row r="10" spans="1:5" ht="33" x14ac:dyDescent="0.25">
      <c r="A10" s="532" t="s">
        <v>356</v>
      </c>
      <c r="B10" s="574" t="s">
        <v>384</v>
      </c>
      <c r="C10" s="448"/>
      <c r="D10" s="1887">
        <v>164800618</v>
      </c>
      <c r="E10" s="1888">
        <v>164800618</v>
      </c>
    </row>
    <row r="11" spans="1:5" ht="33" x14ac:dyDescent="0.25">
      <c r="A11" s="512" t="s">
        <v>337</v>
      </c>
      <c r="B11" s="575" t="s">
        <v>385</v>
      </c>
      <c r="C11" s="456"/>
      <c r="D11" s="1920" t="s">
        <v>5</v>
      </c>
      <c r="E11" s="1921" t="s">
        <v>5</v>
      </c>
    </row>
    <row r="12" spans="1:5" ht="66" x14ac:dyDescent="0.25">
      <c r="A12" s="487" t="s">
        <v>313</v>
      </c>
      <c r="B12" s="503" t="s">
        <v>329</v>
      </c>
      <c r="C12" s="457"/>
      <c r="D12" s="1922">
        <v>817202450000</v>
      </c>
      <c r="E12" s="1923">
        <v>336650450000</v>
      </c>
    </row>
    <row r="13" spans="1:5" ht="66" x14ac:dyDescent="0.25">
      <c r="A13" s="516" t="s">
        <v>340</v>
      </c>
      <c r="B13" s="492" t="s">
        <v>318</v>
      </c>
      <c r="C13" s="458"/>
      <c r="D13" s="1924">
        <v>2110000</v>
      </c>
      <c r="E13" s="1925">
        <v>2990000</v>
      </c>
    </row>
    <row r="14" spans="1:5" ht="49.5" x14ac:dyDescent="0.25">
      <c r="A14" s="541" t="s">
        <v>365</v>
      </c>
      <c r="B14" s="572" t="s">
        <v>382</v>
      </c>
      <c r="C14" s="560"/>
      <c r="D14" s="1926">
        <v>0</v>
      </c>
      <c r="E14" s="1927">
        <v>20000000000</v>
      </c>
    </row>
    <row r="15" spans="1:5" ht="49.5" x14ac:dyDescent="0.25">
      <c r="A15" s="533" t="s">
        <v>357</v>
      </c>
      <c r="B15" s="471" t="s">
        <v>299</v>
      </c>
      <c r="C15" s="449"/>
      <c r="D15" s="1928" t="s">
        <v>5</v>
      </c>
      <c r="E15" s="1929" t="s">
        <v>5</v>
      </c>
    </row>
    <row r="16" spans="1:5" ht="49.5" x14ac:dyDescent="0.25">
      <c r="A16" s="488" t="s">
        <v>314</v>
      </c>
      <c r="B16" s="504" t="s">
        <v>330</v>
      </c>
      <c r="C16" s="459"/>
      <c r="D16" s="1889">
        <v>236381150000</v>
      </c>
      <c r="E16" s="1890">
        <v>236380270000</v>
      </c>
    </row>
    <row r="17" spans="1:5" ht="49.5" x14ac:dyDescent="0.25">
      <c r="A17" s="528" t="s">
        <v>352</v>
      </c>
      <c r="B17" s="505" t="s">
        <v>331</v>
      </c>
      <c r="C17" s="460"/>
      <c r="D17" s="1930">
        <v>0</v>
      </c>
      <c r="E17" s="1891">
        <v>380000000</v>
      </c>
    </row>
    <row r="18" spans="1:5" ht="82.5" x14ac:dyDescent="0.25">
      <c r="A18" s="534" t="s">
        <v>358</v>
      </c>
      <c r="B18" s="438" t="s">
        <v>5</v>
      </c>
      <c r="C18" s="450"/>
      <c r="D18" s="1931" t="s">
        <v>5</v>
      </c>
      <c r="E18" s="1932" t="s">
        <v>5</v>
      </c>
    </row>
    <row r="19" spans="1:5" ht="66" x14ac:dyDescent="0.25">
      <c r="A19" s="489" t="s">
        <v>315</v>
      </c>
      <c r="B19" s="573" t="s">
        <v>383</v>
      </c>
      <c r="C19" s="561"/>
      <c r="D19" s="1933">
        <v>2938821820000</v>
      </c>
      <c r="E19" s="1934">
        <v>3409299590000</v>
      </c>
    </row>
    <row r="20" spans="1:5" ht="49.5" x14ac:dyDescent="0.25">
      <c r="A20" s="529" t="s">
        <v>353</v>
      </c>
      <c r="B20" s="493" t="s">
        <v>319</v>
      </c>
      <c r="C20" s="461"/>
      <c r="D20" s="1935">
        <v>2378743320000</v>
      </c>
      <c r="E20" s="1936">
        <v>2381714690000</v>
      </c>
    </row>
    <row r="21" spans="1:5" ht="49.5" x14ac:dyDescent="0.25">
      <c r="A21" s="542" t="s">
        <v>366</v>
      </c>
      <c r="B21" s="517" t="s">
        <v>341</v>
      </c>
      <c r="C21" s="562"/>
      <c r="D21" s="1937">
        <v>20000000</v>
      </c>
      <c r="E21" s="1938">
        <v>20000000</v>
      </c>
    </row>
    <row r="22" spans="1:5" ht="49.5" x14ac:dyDescent="0.25">
      <c r="A22" s="530" t="s">
        <v>354</v>
      </c>
      <c r="B22" s="518" t="s">
        <v>342</v>
      </c>
      <c r="C22" s="440"/>
      <c r="D22" s="1939">
        <v>485553300000</v>
      </c>
      <c r="E22" s="1940">
        <v>933453300000</v>
      </c>
    </row>
    <row r="23" spans="1:5" ht="49.5" x14ac:dyDescent="0.25">
      <c r="A23" s="513" t="s">
        <v>338</v>
      </c>
      <c r="B23" s="506" t="s">
        <v>332</v>
      </c>
      <c r="C23" s="462"/>
      <c r="D23" s="1941">
        <v>73012600000</v>
      </c>
      <c r="E23" s="1942">
        <v>73012600000</v>
      </c>
    </row>
    <row r="24" spans="1:5" ht="49.5" x14ac:dyDescent="0.25">
      <c r="A24" s="510" t="s">
        <v>335</v>
      </c>
      <c r="B24" s="519" t="s">
        <v>343</v>
      </c>
      <c r="C24" s="441"/>
      <c r="D24" s="1943">
        <v>1492600000</v>
      </c>
      <c r="E24" s="1944">
        <v>21099000000</v>
      </c>
    </row>
    <row r="25" spans="1:5" ht="49.5" x14ac:dyDescent="0.25">
      <c r="A25" s="535" t="s">
        <v>359</v>
      </c>
      <c r="B25" s="520" t="s">
        <v>344</v>
      </c>
      <c r="C25" s="442"/>
      <c r="D25" s="1945" t="s">
        <v>5</v>
      </c>
      <c r="E25" s="1946" t="s">
        <v>5</v>
      </c>
    </row>
    <row r="26" spans="1:5" ht="66" x14ac:dyDescent="0.25">
      <c r="A26" s="536" t="s">
        <v>360</v>
      </c>
      <c r="B26" s="494" t="s">
        <v>320</v>
      </c>
      <c r="C26" s="463"/>
      <c r="D26" s="1892">
        <v>47864340000</v>
      </c>
      <c r="E26" s="1893">
        <v>59220950000</v>
      </c>
    </row>
    <row r="27" spans="1:5" ht="66" x14ac:dyDescent="0.25">
      <c r="A27" s="537" t="s">
        <v>361</v>
      </c>
      <c r="B27" s="495" t="s">
        <v>321</v>
      </c>
      <c r="C27" s="464"/>
      <c r="D27" s="1894">
        <v>47714340000</v>
      </c>
      <c r="E27" s="1895">
        <v>59070950000</v>
      </c>
    </row>
    <row r="28" spans="1:5" ht="66" x14ac:dyDescent="0.25">
      <c r="A28" s="490" t="s">
        <v>316</v>
      </c>
      <c r="B28" s="521" t="s">
        <v>345</v>
      </c>
      <c r="C28" s="443"/>
      <c r="D28" s="1947" t="s">
        <v>5</v>
      </c>
      <c r="E28" s="1948" t="s">
        <v>5</v>
      </c>
    </row>
    <row r="29" spans="1:5" ht="66" x14ac:dyDescent="0.25">
      <c r="A29" s="498" t="s">
        <v>324</v>
      </c>
      <c r="B29" s="472" t="s">
        <v>300</v>
      </c>
      <c r="C29" s="465"/>
      <c r="D29" s="1949" t="s">
        <v>5</v>
      </c>
      <c r="E29" s="1950" t="s">
        <v>5</v>
      </c>
    </row>
    <row r="30" spans="1:5" ht="66" x14ac:dyDescent="0.25">
      <c r="A30" s="499" t="s">
        <v>325</v>
      </c>
      <c r="B30" s="473" t="s">
        <v>301</v>
      </c>
      <c r="C30" s="466"/>
      <c r="D30" s="1896">
        <v>150000000</v>
      </c>
      <c r="E30" s="1897">
        <v>150000000</v>
      </c>
    </row>
    <row r="31" spans="1:5" ht="49.5" x14ac:dyDescent="0.25">
      <c r="A31" s="500" t="s">
        <v>326</v>
      </c>
      <c r="B31" s="522" t="s">
        <v>346</v>
      </c>
      <c r="C31" s="444"/>
      <c r="D31" s="1898">
        <v>4239900000</v>
      </c>
      <c r="E31" s="1899">
        <v>3584990000</v>
      </c>
    </row>
    <row r="32" spans="1:5" ht="49.5" x14ac:dyDescent="0.25">
      <c r="A32" s="543" t="s">
        <v>367</v>
      </c>
      <c r="B32" s="496" t="s">
        <v>322</v>
      </c>
      <c r="C32" s="467"/>
      <c r="D32" s="1951" t="s">
        <v>5</v>
      </c>
      <c r="E32" s="1952" t="s">
        <v>5</v>
      </c>
    </row>
    <row r="33" spans="1:5" ht="49.5" x14ac:dyDescent="0.25">
      <c r="A33" s="544" t="s">
        <v>368</v>
      </c>
      <c r="B33" s="523" t="s">
        <v>347</v>
      </c>
      <c r="C33" s="576"/>
      <c r="D33" s="1953" t="s">
        <v>5</v>
      </c>
      <c r="E33" s="1954" t="s">
        <v>5</v>
      </c>
    </row>
    <row r="34" spans="1:5" ht="49.5" x14ac:dyDescent="0.25">
      <c r="A34" s="545" t="s">
        <v>369</v>
      </c>
      <c r="B34" s="481" t="s">
        <v>307</v>
      </c>
      <c r="C34" s="468"/>
      <c r="D34" s="1955" t="s">
        <v>5</v>
      </c>
      <c r="E34" s="1956" t="s">
        <v>5</v>
      </c>
    </row>
    <row r="35" spans="1:5" ht="33" x14ac:dyDescent="0.25">
      <c r="A35" s="546" t="s">
        <v>370</v>
      </c>
      <c r="B35" s="524" t="s">
        <v>348</v>
      </c>
      <c r="C35" s="577"/>
      <c r="D35" s="1900">
        <v>61782827019</v>
      </c>
      <c r="E35" s="1901">
        <v>47448284830</v>
      </c>
    </row>
    <row r="36" spans="1:5" ht="66" x14ac:dyDescent="0.25">
      <c r="A36" s="547" t="s">
        <v>371</v>
      </c>
      <c r="B36" s="482" t="s">
        <v>308</v>
      </c>
      <c r="C36" s="469"/>
      <c r="D36" s="1902">
        <v>52140120469</v>
      </c>
      <c r="E36" s="1903">
        <v>38006071730</v>
      </c>
    </row>
    <row r="37" spans="1:5" ht="66" x14ac:dyDescent="0.25">
      <c r="A37" s="548" t="s">
        <v>372</v>
      </c>
      <c r="B37" s="483" t="s">
        <v>309</v>
      </c>
      <c r="C37" s="451"/>
      <c r="D37" s="1957" t="s">
        <v>5</v>
      </c>
      <c r="E37" s="1958" t="s">
        <v>5</v>
      </c>
    </row>
    <row r="38" spans="1:5" ht="49.5" x14ac:dyDescent="0.25">
      <c r="A38" s="470" t="s">
        <v>298</v>
      </c>
      <c r="B38" s="497" t="s">
        <v>323</v>
      </c>
      <c r="C38" s="550"/>
      <c r="D38" s="1904">
        <v>9641706550</v>
      </c>
      <c r="E38" s="1905">
        <v>9441213100</v>
      </c>
    </row>
    <row r="39" spans="1:5" ht="66" x14ac:dyDescent="0.25">
      <c r="A39" s="501" t="s">
        <v>327</v>
      </c>
      <c r="B39" s="511" t="s">
        <v>336</v>
      </c>
      <c r="C39" s="452"/>
      <c r="D39" s="1906">
        <v>9641706550</v>
      </c>
      <c r="E39" s="1907">
        <v>9441213100</v>
      </c>
    </row>
    <row r="40" spans="1:5" ht="66" x14ac:dyDescent="0.25">
      <c r="A40" s="563" t="s">
        <v>374</v>
      </c>
      <c r="B40" s="474" t="s">
        <v>302</v>
      </c>
      <c r="C40" s="551"/>
      <c r="D40" s="1959" t="s">
        <v>5</v>
      </c>
      <c r="E40" s="1960" t="s">
        <v>5</v>
      </c>
    </row>
    <row r="41" spans="1:5" ht="49.5" x14ac:dyDescent="0.25">
      <c r="A41" s="564" t="s">
        <v>375</v>
      </c>
      <c r="B41" s="476" t="s">
        <v>304</v>
      </c>
      <c r="C41" s="552"/>
      <c r="D41" s="1961">
        <v>1000000</v>
      </c>
      <c r="E41" s="1962">
        <v>1000000</v>
      </c>
    </row>
    <row r="42" spans="1:5" ht="82.5" x14ac:dyDescent="0.25">
      <c r="A42" s="491" t="s">
        <v>317</v>
      </c>
      <c r="B42" s="525" t="s">
        <v>349</v>
      </c>
      <c r="C42" s="445"/>
      <c r="D42" s="1963">
        <v>61781827019</v>
      </c>
      <c r="E42" s="1964">
        <v>47447284830</v>
      </c>
    </row>
    <row r="43" spans="1:5" ht="82.5" x14ac:dyDescent="0.25">
      <c r="A43" s="565" t="s">
        <v>376</v>
      </c>
      <c r="B43" s="477" t="s">
        <v>305</v>
      </c>
      <c r="C43" s="553"/>
      <c r="D43" s="1965">
        <v>61654117145</v>
      </c>
      <c r="E43" s="1966">
        <v>47306526881</v>
      </c>
    </row>
    <row r="44" spans="1:5" ht="82.5" x14ac:dyDescent="0.25">
      <c r="A44" s="566" t="s">
        <v>377</v>
      </c>
      <c r="B44" s="484" t="s">
        <v>310</v>
      </c>
      <c r="C44" s="554"/>
      <c r="D44" s="1967">
        <v>127709874</v>
      </c>
      <c r="E44" s="1968">
        <v>140757949</v>
      </c>
    </row>
    <row r="45" spans="1:5" ht="49.5" x14ac:dyDescent="0.25">
      <c r="A45" s="549" t="s">
        <v>373</v>
      </c>
      <c r="B45" s="485" t="s">
        <v>311</v>
      </c>
      <c r="C45" s="453"/>
      <c r="D45" s="1969" t="s">
        <v>5</v>
      </c>
      <c r="E45" s="1970" t="s">
        <v>5</v>
      </c>
    </row>
    <row r="46" spans="1:5" ht="66" x14ac:dyDescent="0.25">
      <c r="A46" s="567" t="s">
        <v>378</v>
      </c>
      <c r="B46" s="507" t="s">
        <v>333</v>
      </c>
      <c r="C46" s="555"/>
      <c r="D46" s="1971" t="s">
        <v>5</v>
      </c>
      <c r="E46" s="1972" t="s">
        <v>5</v>
      </c>
    </row>
    <row r="47" spans="1:5" ht="66" x14ac:dyDescent="0.25">
      <c r="A47" s="475" t="s">
        <v>303</v>
      </c>
      <c r="B47" s="526" t="s">
        <v>350</v>
      </c>
      <c r="C47" s="446"/>
      <c r="D47" s="1973" t="s">
        <v>5</v>
      </c>
      <c r="E47" s="1974" t="s">
        <v>5</v>
      </c>
    </row>
    <row r="48" spans="1:5" ht="49.5" x14ac:dyDescent="0.25">
      <c r="A48" s="568" t="s">
        <v>379</v>
      </c>
      <c r="B48" s="508" t="s">
        <v>334</v>
      </c>
      <c r="C48" s="556"/>
      <c r="D48" s="1660">
        <v>1000000</v>
      </c>
      <c r="E48" s="1660">
        <v>1000000</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48"/>
  <sheetViews>
    <sheetView workbookViewId="0"/>
  </sheetViews>
  <sheetFormatPr defaultRowHeight="15" x14ac:dyDescent="0.25"/>
  <cols>
    <col min="1" max="1" width="1" style="437" bestFit="1" customWidth="1"/>
    <col min="2" max="5" width="1" bestFit="1" customWidth="1"/>
  </cols>
  <sheetData>
    <row r="3" spans="1:5" x14ac:dyDescent="0.25">
      <c r="A3" t="str">
        <f>CONCATENATE(617881,",",ROW(CCTTCR_06609!A3),"|",COLUMN(CCTTCR_06609!A3),",0",",0")</f>
        <v>617881,3|1,0,0</v>
      </c>
      <c r="B3" t="str">
        <f>CONCATENATE(617814,",",ROW(CCTTCR_06609!B3),"|",COLUMN(CCTTCR_06609!B3),",0",",0")</f>
        <v>617814,3|2,0,0</v>
      </c>
      <c r="C3" t="str">
        <f>CONCATENATE(617863,",",ROW(CCTTCR_06609!C3),"|",COLUMN(CCTTCR_06609!C3),",0",",0")</f>
        <v>617863,3|3,0,0</v>
      </c>
      <c r="D3" t="str">
        <f>CONCATENATE(617868,",",ROW(CCTTCR_06609!D3),"|",COLUMN(CCTTCR_06609!D3),",0",",0")</f>
        <v>617868,3|4,0,0</v>
      </c>
      <c r="E3" t="str">
        <f>CONCATENATE(617869,",",ROW(CCTTCR_06609!E3),"|",COLUMN(CCTTCR_06609!E3),",0",",0")</f>
        <v>617869,3|5,0,0</v>
      </c>
    </row>
    <row r="4" spans="1:5" x14ac:dyDescent="0.25">
      <c r="A4" t="str">
        <f>CONCATENATE(617885,",",ROW(CCTTCR_06609!A4),"|",COLUMN(CCTTCR_06609!A4),",0",",0")</f>
        <v>617885,4|1,0,0</v>
      </c>
      <c r="B4" t="s">
        <v>5</v>
      </c>
      <c r="C4" t="str">
        <f>CONCATENATE(617777,",",ROW(CCTTCR_06609!C4),"|",COLUMN(CCTTCR_06609!C4),",0",",0")</f>
        <v>617777,4|3,0,0</v>
      </c>
      <c r="D4" t="str">
        <f>CONCATENATE(617980,",",ROW(CCTTCR_06609!D4),"|",COLUMN(CCTTCR_06609!D4),",0",",0")</f>
        <v>617980,4|4,0,0</v>
      </c>
      <c r="E4" t="str">
        <f>CONCATENATE(617917,",",ROW(CCTTCR_06609!E4),"|",COLUMN(CCTTCR_06609!E4),",0",",0")</f>
        <v>617917,4|5,0,0</v>
      </c>
    </row>
    <row r="5" spans="1:5" x14ac:dyDescent="0.25">
      <c r="A5" t="str">
        <f>CONCATENATE(617822,",",ROW(CCTTCR_06609!A5),"|",COLUMN(CCTTCR_06609!A5),",0",",0")</f>
        <v>617822,5|1,0,0</v>
      </c>
      <c r="B5" t="str">
        <f>CONCATENATE(617963,",",ROW(CCTTCR_06609!B5),"|",COLUMN(CCTTCR_06609!B5),",0",",0")</f>
        <v>617963,5|2,0,0</v>
      </c>
      <c r="C5" t="str">
        <f>CONCATENATE(617950,",",ROW(CCTTCR_06609!C5),"|",COLUMN(CCTTCR_06609!C5),",0",",0")</f>
        <v>617950,5|3,0,0</v>
      </c>
      <c r="D5" t="str">
        <f>CONCATENATE(617896,",",ROW(CCTTCR_06609!D5),"|",COLUMN(CCTTCR_06609!D5),",0",",0")</f>
        <v>617896,5|4,0,0</v>
      </c>
      <c r="E5" t="str">
        <f>CONCATENATE(617990,",",ROW(CCTTCR_06609!E5),"|",COLUMN(CCTTCR_06609!E5),",0",",0")</f>
        <v>617990,5|5,0,0</v>
      </c>
    </row>
    <row r="6" spans="1:5" x14ac:dyDescent="0.25">
      <c r="A6" t="str">
        <f>CONCATENATE(617903,",",ROW(CCTTCR_06609!A6),"|",COLUMN(CCTTCR_06609!A6),",0",",0")</f>
        <v>617903,6|1,0,0</v>
      </c>
      <c r="B6" t="str">
        <f>CONCATENATE(617816,",",ROW(CCTTCR_06609!B6),"|",COLUMN(CCTTCR_06609!B6),",0",",0")</f>
        <v>617816,6|2,0,0</v>
      </c>
      <c r="C6" t="str">
        <f>CONCATENATE(617784,",",ROW(CCTTCR_06609!C6),"|",COLUMN(CCTTCR_06609!C6),",0",",0")</f>
        <v>617784,6|3,0,0</v>
      </c>
      <c r="D6" t="str">
        <f>CONCATENATE(617996,",",ROW(CCTTCR_06609!D6),"|",COLUMN(CCTTCR_06609!D6),",0",",0")</f>
        <v>617996,6|4,0,0</v>
      </c>
      <c r="E6" t="str">
        <f>CONCATENATE(617921,",",ROW(CCTTCR_06609!E6),"|",COLUMN(CCTTCR_06609!E6),",0",",0")</f>
        <v>617921,6|5,0,0</v>
      </c>
    </row>
    <row r="7" spans="1:5" x14ac:dyDescent="0.25">
      <c r="A7" t="str">
        <f>CONCATENATE(617815,",",ROW(CCTTCR_06609!A7),"|",COLUMN(CCTTCR_06609!A7),",0",",0")</f>
        <v>617815,7|1,0,0</v>
      </c>
      <c r="B7" t="str">
        <f>CONCATENATE(617964,",",ROW(CCTTCR_06609!B7),"|",COLUMN(CCTTCR_06609!B7),",0",",0")</f>
        <v>617964,7|2,0,0</v>
      </c>
      <c r="C7" t="str">
        <f>CONCATENATE(617951,",",ROW(CCTTCR_06609!C7),"|",COLUMN(CCTTCR_06609!C7),",0",",0")</f>
        <v>617951,7|3,0,0</v>
      </c>
      <c r="D7" t="str">
        <f>CONCATENATE(617897,",",ROW(CCTTCR_06609!D7),"|",COLUMN(CCTTCR_06609!D7),",0",",0")</f>
        <v>617897,7|4,0,0</v>
      </c>
      <c r="E7" t="str">
        <f>CONCATENATE(617991,",",ROW(CCTTCR_06609!E7),"|",COLUMN(CCTTCR_06609!E7),",0",",0")</f>
        <v>617991,7|5,0,0</v>
      </c>
    </row>
    <row r="8" spans="1:5" x14ac:dyDescent="0.25">
      <c r="A8" t="str">
        <f>CONCATENATE(617904,",",ROW(CCTTCR_06609!A8),"|",COLUMN(CCTTCR_06609!A8),",0",",0")</f>
        <v>617904,8|1,0,0</v>
      </c>
      <c r="B8" t="str">
        <f>CONCATENATE(617965,",",ROW(CCTTCR_06609!B8),"|",COLUMN(CCTTCR_06609!B8),",0",",0")</f>
        <v>617965,8|2,0,0</v>
      </c>
      <c r="C8" t="str">
        <f>CONCATENATE(617952,",",ROW(CCTTCR_06609!C8),"|",COLUMN(CCTTCR_06609!C8),",0",",0")</f>
        <v>617952,8|3,0,0</v>
      </c>
      <c r="D8" t="str">
        <f>CONCATENATE(617898,",",ROW(CCTTCR_06609!D8),"|",COLUMN(CCTTCR_06609!D8),",0",",0")</f>
        <v>617898,8|4,0,0</v>
      </c>
      <c r="E8" t="str">
        <f>CONCATENATE(617992,",",ROW(CCTTCR_06609!E8),"|",COLUMN(CCTTCR_06609!E8),",0",",0")</f>
        <v>617992,8|5,0,0</v>
      </c>
    </row>
    <row r="9" spans="1:5" x14ac:dyDescent="0.25">
      <c r="A9" t="str">
        <f>CONCATENATE(617933,",",ROW(CCTTCR_06609!A9),"|",COLUMN(CCTTCR_06609!A9),",0",",0")</f>
        <v>617933,9|1,0,0</v>
      </c>
      <c r="B9" t="str">
        <f>CONCATENATE(617856,",",ROW(CCTTCR_06609!B9),"|",COLUMN(CCTTCR_06609!B9),",0",",0")</f>
        <v>617856,9|2,0,0</v>
      </c>
      <c r="C9" t="str">
        <f>CONCATENATE(617785,",",ROW(CCTTCR_06609!C9),"|",COLUMN(CCTTCR_06609!C9),",0",",0")</f>
        <v>617785,9|3,0,0</v>
      </c>
      <c r="D9" t="str">
        <f>CONCATENATE(617997,",",ROW(CCTTCR_06609!D9),"|",COLUMN(CCTTCR_06609!D9),",0",",0")</f>
        <v>617997,9|4,0,0</v>
      </c>
      <c r="E9" t="str">
        <f>CONCATENATE(617922,",",ROW(CCTTCR_06609!E9),"|",COLUMN(CCTTCR_06609!E9),",0",",0")</f>
        <v>617922,9|5,0,0</v>
      </c>
    </row>
    <row r="10" spans="1:5" x14ac:dyDescent="0.25">
      <c r="A10" t="str">
        <f>CONCATENATE(617886,",",ROW(CCTTCR_06609!A10),"|",COLUMN(CCTTCR_06609!A10),",0",",0")</f>
        <v>617886,10|1,0,0</v>
      </c>
      <c r="B10" t="str">
        <f>CONCATENATE(617968,",",ROW(CCTTCR_06609!B10),"|",COLUMN(CCTTCR_06609!B10),",0",",0")</f>
        <v>617968,10|2,0,0</v>
      </c>
      <c r="C10" t="str">
        <f>CONCATENATE(617778,",",ROW(CCTTCR_06609!C10),"|",COLUMN(CCTTCR_06609!C10),",0",",0")</f>
        <v>617778,10|3,0,0</v>
      </c>
      <c r="D10" t="str">
        <f>CONCATENATE(617993,",",ROW(CCTTCR_06609!D10),"|",COLUMN(CCTTCR_06609!D10),",0",",0")</f>
        <v>617993,10|4,0,0</v>
      </c>
      <c r="E10" t="str">
        <f>CONCATENATE(617918,",",ROW(CCTTCR_06609!E10),"|",COLUMN(CCTTCR_06609!E10),",0",",0")</f>
        <v>617918,10|5,0,0</v>
      </c>
    </row>
    <row r="11" spans="1:5" x14ac:dyDescent="0.25">
      <c r="A11" t="str">
        <f>CONCATENATE(617866,",",ROW(CCTTCR_06609!A11),"|",COLUMN(CCTTCR_06609!A11),",0",",0")</f>
        <v>617866,11|1,0,0</v>
      </c>
      <c r="B11" t="str">
        <f>CONCATENATE(617969,",",ROW(CCTTCR_06609!B11),"|",COLUMN(CCTTCR_06609!B11),",0",",0")</f>
        <v>617969,11|2,0,0</v>
      </c>
      <c r="C11" t="str">
        <f>CONCATENATE(617786,",",ROW(CCTTCR_06609!C11),"|",COLUMN(CCTTCR_06609!C11),",0",",0")</f>
        <v>617786,11|3,0,0</v>
      </c>
      <c r="D11" t="str">
        <f>CONCATENATE(617837,",",ROW(CCTTCR_06609!D11),"|",COLUMN(CCTTCR_06609!D11),",0",",0")</f>
        <v>617837,11|4,0,0</v>
      </c>
      <c r="E11" t="str">
        <f>CONCATENATE(617855,",",ROW(CCTTCR_06609!E11),"|",COLUMN(CCTTCR_06609!E11),",0",",0")</f>
        <v>617855,11|5,0,0</v>
      </c>
    </row>
    <row r="12" spans="1:5" x14ac:dyDescent="0.25">
      <c r="A12" t="str">
        <f>CONCATENATE(617823,",",ROW(CCTTCR_06609!A12),"|",COLUMN(CCTTCR_06609!A12),",0",",0")</f>
        <v>617823,12|1,0,0</v>
      </c>
      <c r="B12" t="str">
        <f>CONCATENATE(617857,",",ROW(CCTTCR_06609!B12),"|",COLUMN(CCTTCR_06609!B12),",0",",0")</f>
        <v>617857,12|2,0,0</v>
      </c>
      <c r="C12" t="str">
        <f>CONCATENATE(617787,",",ROW(CCTTCR_06609!C12),"|",COLUMN(CCTTCR_06609!C12),",0",",0")</f>
        <v>617787,12|3,0,0</v>
      </c>
      <c r="D12" t="str">
        <f>CONCATENATE(617838,",",ROW(CCTTCR_06609!D12),"|",COLUMN(CCTTCR_06609!D12),",0",",0")</f>
        <v>617838,12|4,0,0</v>
      </c>
      <c r="E12" t="str">
        <f>CONCATENATE(617923,",",ROW(CCTTCR_06609!E12),"|",COLUMN(CCTTCR_06609!E12),",0",",0")</f>
        <v>617923,12|5,0,0</v>
      </c>
    </row>
    <row r="13" spans="1:5" x14ac:dyDescent="0.25">
      <c r="A13" t="str">
        <f>CONCATENATE(617870,",",ROW(CCTTCR_06609!A13),"|",COLUMN(CCTTCR_06609!A13),",0",",0")</f>
        <v>617870,13|1,0,0</v>
      </c>
      <c r="B13" t="str">
        <f>CONCATENATE(617828,",",ROW(CCTTCR_06609!B13),"|",COLUMN(CCTTCR_06609!B13),",0",",0")</f>
        <v>617828,13|2,0,0</v>
      </c>
      <c r="C13" t="str">
        <f>CONCATENATE(617788,",",ROW(CCTTCR_06609!C13),"|",COLUMN(CCTTCR_06609!C13),",0",",0")</f>
        <v>617788,13|3,0,0</v>
      </c>
      <c r="D13" t="str">
        <f>CONCATENATE(617839,",",ROW(CCTTCR_06609!D13),"|",COLUMN(CCTTCR_06609!D13),",0",",0")</f>
        <v>617839,13|4,0,0</v>
      </c>
      <c r="E13" t="str">
        <f>CONCATENATE(617924,",",ROW(CCTTCR_06609!E13),"|",COLUMN(CCTTCR_06609!E13),",0",",0")</f>
        <v>617924,13|5,0,0</v>
      </c>
    </row>
    <row r="14" spans="1:5" x14ac:dyDescent="0.25">
      <c r="A14" t="str">
        <f>CONCATENATE(617934,",",ROW(CCTTCR_06609!A14),"|",COLUMN(CCTTCR_06609!A14),",0",",0")</f>
        <v>617934,14|1,0,0</v>
      </c>
      <c r="B14" t="str">
        <f>CONCATENATE(617966,",",ROW(CCTTCR_06609!B14),"|",COLUMN(CCTTCR_06609!B14),",0",",0")</f>
        <v>617966,14|2,0,0</v>
      </c>
      <c r="C14" t="str">
        <f>CONCATENATE(617953,",",ROW(CCTTCR_06609!C14),"|",COLUMN(CCTTCR_06609!C14),",0",",0")</f>
        <v>617953,14|3,0,0</v>
      </c>
      <c r="D14" t="str">
        <f>CONCATENATE(617899,",",ROW(CCTTCR_06609!D14),"|",COLUMN(CCTTCR_06609!D14),",0",",0")</f>
        <v>617899,14|4,0,0</v>
      </c>
      <c r="E14" t="str">
        <f>CONCATENATE(617905,",",ROW(CCTTCR_06609!E14),"|",COLUMN(CCTTCR_06609!E14),",0",",0")</f>
        <v>617905,14|5,0,0</v>
      </c>
    </row>
    <row r="15" spans="1:5" x14ac:dyDescent="0.25">
      <c r="A15" t="str">
        <f>CONCATENATE(617887,",",ROW(CCTTCR_06609!A15),"|",COLUMN(CCTTCR_06609!A15),",0",",0")</f>
        <v>617887,15|1,0,0</v>
      </c>
      <c r="B15" t="str">
        <f>CONCATENATE(617807,",",ROW(CCTTCR_06609!B15),"|",COLUMN(CCTTCR_06609!B15),",0",",0")</f>
        <v>617807,15|2,0,0</v>
      </c>
      <c r="C15" t="str">
        <f>CONCATENATE(617779,",",ROW(CCTTCR_06609!C15),"|",COLUMN(CCTTCR_06609!C15),",0",",0")</f>
        <v>617779,15|3,0,0</v>
      </c>
      <c r="D15" t="str">
        <f>CONCATENATE(617994,",",ROW(CCTTCR_06609!D15),"|",COLUMN(CCTTCR_06609!D15),",0",",0")</f>
        <v>617994,15|4,0,0</v>
      </c>
      <c r="E15" t="str">
        <f>CONCATENATE(617919,",",ROW(CCTTCR_06609!E15),"|",COLUMN(CCTTCR_06609!E15),",0",",0")</f>
        <v>617919,15|5,0,0</v>
      </c>
    </row>
    <row r="16" spans="1:5" x14ac:dyDescent="0.25">
      <c r="A16" t="str">
        <f>CONCATENATE(617824,",",ROW(CCTTCR_06609!A16),"|",COLUMN(CCTTCR_06609!A16),",0",",0")</f>
        <v>617824,16|1,0,0</v>
      </c>
      <c r="B16" t="str">
        <f>CONCATENATE(617858,",",ROW(CCTTCR_06609!B16),"|",COLUMN(CCTTCR_06609!B16),",0",",0")</f>
        <v>617858,16|2,0,0</v>
      </c>
      <c r="C16" t="str">
        <f>CONCATENATE(617789,",",ROW(CCTTCR_06609!C16),"|",COLUMN(CCTTCR_06609!C16),",0",",0")</f>
        <v>617789,16|3,0,0</v>
      </c>
      <c r="D16" t="str">
        <f>CONCATENATE(617840,",",ROW(CCTTCR_06609!D16),"|",COLUMN(CCTTCR_06609!D16),",0",",0")</f>
        <v>617840,16|4,0,0</v>
      </c>
      <c r="E16" t="str">
        <f>CONCATENATE(617925,",",ROW(CCTTCR_06609!E16),"|",COLUMN(CCTTCR_06609!E16),",0",",0")</f>
        <v>617925,16|5,0,0</v>
      </c>
    </row>
    <row r="17" spans="1:5" x14ac:dyDescent="0.25">
      <c r="A17" t="str">
        <f>CONCATENATE(617882,",",ROW(CCTTCR_06609!A17),"|",COLUMN(CCTTCR_06609!A17),",0",",0")</f>
        <v>617882,17|1,0,0</v>
      </c>
      <c r="B17" t="str">
        <f>CONCATENATE(617859,",",ROW(CCTTCR_06609!B17),"|",COLUMN(CCTTCR_06609!B17),",0",",0")</f>
        <v>617859,17|2,0,0</v>
      </c>
      <c r="C17" t="str">
        <f>CONCATENATE(617790,",",ROW(CCTTCR_06609!C17),"|",COLUMN(CCTTCR_06609!C17),",0",",0")</f>
        <v>617790,17|3,0,0</v>
      </c>
      <c r="D17" t="str">
        <f>CONCATENATE(617841,",",ROW(CCTTCR_06609!D17),"|",COLUMN(CCTTCR_06609!D17),",0",",0")</f>
        <v>617841,17|4,0,0</v>
      </c>
      <c r="E17" t="str">
        <f>CONCATENATE(617926,",",ROW(CCTTCR_06609!E17),"|",COLUMN(CCTTCR_06609!E17),",0",",0")</f>
        <v>617926,17|5,0,0</v>
      </c>
    </row>
    <row r="18" spans="1:5" x14ac:dyDescent="0.25">
      <c r="A18" t="str">
        <f>CONCATENATE(617888,",",ROW(CCTTCR_06609!A18),"|",COLUMN(CCTTCR_06609!A18),",0",",0")</f>
        <v>617888,18|1,0,0</v>
      </c>
      <c r="B18" t="s">
        <v>5</v>
      </c>
      <c r="C18" t="str">
        <f>CONCATENATE(617780,",",ROW(CCTTCR_06609!C18),"|",COLUMN(CCTTCR_06609!C18),",0",",0")</f>
        <v>617780,18|3,0,0</v>
      </c>
      <c r="D18" t="str">
        <f>CONCATENATE(617995,",",ROW(CCTTCR_06609!D18),"|",COLUMN(CCTTCR_06609!D18),",0",",0")</f>
        <v>617995,18|4,0,0</v>
      </c>
      <c r="E18" t="str">
        <f>CONCATENATE(617920,",",ROW(CCTTCR_06609!E18),"|",COLUMN(CCTTCR_06609!E18),",0",",0")</f>
        <v>617920,18|5,0,0</v>
      </c>
    </row>
    <row r="19" spans="1:5" x14ac:dyDescent="0.25">
      <c r="A19" t="str">
        <f>CONCATENATE(617825,",",ROW(CCTTCR_06609!A19),"|",COLUMN(CCTTCR_06609!A19),",0",",0")</f>
        <v>617825,19|1,0,0</v>
      </c>
      <c r="B19" t="str">
        <f>CONCATENATE(617967,",",ROW(CCTTCR_06609!B19),"|",COLUMN(CCTTCR_06609!B19),",0",",0")</f>
        <v>617967,19|2,0,0</v>
      </c>
      <c r="C19" t="str">
        <f>CONCATENATE(617954,",",ROW(CCTTCR_06609!C19),"|",COLUMN(CCTTCR_06609!C19),",0",",0")</f>
        <v>617954,19|3,0,0</v>
      </c>
      <c r="D19" t="str">
        <f>CONCATENATE(617956,",",ROW(CCTTCR_06609!D19),"|",COLUMN(CCTTCR_06609!D19),",0",",0")</f>
        <v>617956,19|4,0,0</v>
      </c>
      <c r="E19" t="str">
        <f>CONCATENATE(617906,",",ROW(CCTTCR_06609!E19),"|",COLUMN(CCTTCR_06609!E19),",0",",0")</f>
        <v>617906,19|5,0,0</v>
      </c>
    </row>
    <row r="20" spans="1:5" x14ac:dyDescent="0.25">
      <c r="A20" t="str">
        <f>CONCATENATE(617883,",",ROW(CCTTCR_06609!A20),"|",COLUMN(CCTTCR_06609!A20),",0",",0")</f>
        <v>617883,20|1,0,0</v>
      </c>
      <c r="B20" t="str">
        <f>CONCATENATE(617829,",",ROW(CCTTCR_06609!B20),"|",COLUMN(CCTTCR_06609!B20),",0",",0")</f>
        <v>617829,20|2,0,0</v>
      </c>
      <c r="C20" t="str">
        <f>CONCATENATE(617791,",",ROW(CCTTCR_06609!C20),"|",COLUMN(CCTTCR_06609!C20),",0",",0")</f>
        <v>617791,20|3,0,0</v>
      </c>
      <c r="D20" t="str">
        <f>CONCATENATE(617842,",",ROW(CCTTCR_06609!D20),"|",COLUMN(CCTTCR_06609!D20),",0",",0")</f>
        <v>617842,20|4,0,0</v>
      </c>
      <c r="E20" t="str">
        <f>CONCATENATE(617927,",",ROW(CCTTCR_06609!E20),"|",COLUMN(CCTTCR_06609!E20),",0",",0")</f>
        <v>617927,20|5,0,0</v>
      </c>
    </row>
    <row r="21" spans="1:5" x14ac:dyDescent="0.25">
      <c r="A21" t="str">
        <f>CONCATENATE(617935,",",ROW(CCTTCR_06609!A21),"|",COLUMN(CCTTCR_06609!A21),",0",",0")</f>
        <v>617935,21|1,0,0</v>
      </c>
      <c r="B21" t="str">
        <f>CONCATENATE(617871,",",ROW(CCTTCR_06609!B21),"|",COLUMN(CCTTCR_06609!B21),",0",",0")</f>
        <v>617871,21|2,0,0</v>
      </c>
      <c r="C21" t="str">
        <f>CONCATENATE(617955,",",ROW(CCTTCR_06609!C21),"|",COLUMN(CCTTCR_06609!C21),",0",",0")</f>
        <v>617955,21|3,0,0</v>
      </c>
      <c r="D21" t="str">
        <f>CONCATENATE(617970,",",ROW(CCTTCR_06609!D21),"|",COLUMN(CCTTCR_06609!D21),",0",",0")</f>
        <v>617970,21|4,0,0</v>
      </c>
      <c r="E21" t="str">
        <f>CONCATENATE(617907,",",ROW(CCTTCR_06609!E21),"|",COLUMN(CCTTCR_06609!E21),",0",",0")</f>
        <v>617907,21|5,0,0</v>
      </c>
    </row>
    <row r="22" spans="1:5" x14ac:dyDescent="0.25">
      <c r="A22" t="str">
        <f>CONCATENATE(617884,",",ROW(CCTTCR_06609!A22),"|",COLUMN(CCTTCR_06609!A22),",0",",0")</f>
        <v>617884,22|1,0,0</v>
      </c>
      <c r="B22" t="str">
        <f>CONCATENATE(617872,",",ROW(CCTTCR_06609!B22),"|",COLUMN(CCTTCR_06609!B22),",0",",0")</f>
        <v>617872,22|2,0,0</v>
      </c>
      <c r="C22" t="str">
        <f>CONCATENATE(617770,",",ROW(CCTTCR_06609!C22),"|",COLUMN(CCTTCR_06609!C22),",0",",0")</f>
        <v>617770,22|3,0,0</v>
      </c>
      <c r="D22" t="str">
        <f>CONCATENATE(617971,",",ROW(CCTTCR_06609!D22),"|",COLUMN(CCTTCR_06609!D22),",0",",0")</f>
        <v>617971,22|4,0,0</v>
      </c>
      <c r="E22" t="str">
        <f>CONCATENATE(617908,",",ROW(CCTTCR_06609!E22),"|",COLUMN(CCTTCR_06609!E22),",0",",0")</f>
        <v>617908,22|5,0,0</v>
      </c>
    </row>
    <row r="23" spans="1:5" x14ac:dyDescent="0.25">
      <c r="A23" t="str">
        <f>CONCATENATE(617867,",",ROW(CCTTCR_06609!A23),"|",COLUMN(CCTTCR_06609!A23),",0",",0")</f>
        <v>617867,23|1,0,0</v>
      </c>
      <c r="B23" t="str">
        <f>CONCATENATE(617860,",",ROW(CCTTCR_06609!B23),"|",COLUMN(CCTTCR_06609!B23),",0",",0")</f>
        <v>617860,23|2,0,0</v>
      </c>
      <c r="C23" t="str">
        <f>CONCATENATE(617792,",",ROW(CCTTCR_06609!C23),"|",COLUMN(CCTTCR_06609!C23),",0",",0")</f>
        <v>617792,23|3,0,0</v>
      </c>
      <c r="D23" t="str">
        <f>CONCATENATE(617843,",",ROW(CCTTCR_06609!D23),"|",COLUMN(CCTTCR_06609!D23),",0",",0")</f>
        <v>617843,23|4,0,0</v>
      </c>
      <c r="E23" t="str">
        <f>CONCATENATE(617928,",",ROW(CCTTCR_06609!E23),"|",COLUMN(CCTTCR_06609!E23),",0",",0")</f>
        <v>617928,23|5,0,0</v>
      </c>
    </row>
    <row r="24" spans="1:5" x14ac:dyDescent="0.25">
      <c r="A24" t="str">
        <f>CONCATENATE(617864,",",ROW(CCTTCR_06609!A24),"|",COLUMN(CCTTCR_06609!A24),",0",",0")</f>
        <v>617864,24|1,0,0</v>
      </c>
      <c r="B24" t="str">
        <f>CONCATENATE(617873,",",ROW(CCTTCR_06609!B24),"|",COLUMN(CCTTCR_06609!B24),",0",",0")</f>
        <v>617873,24|2,0,0</v>
      </c>
      <c r="C24" t="str">
        <f>CONCATENATE(617771,",",ROW(CCTTCR_06609!C24),"|",COLUMN(CCTTCR_06609!C24),",0",",0")</f>
        <v>617771,24|3,0,0</v>
      </c>
      <c r="D24" t="str">
        <f>CONCATENATE(617972,",",ROW(CCTTCR_06609!D24),"|",COLUMN(CCTTCR_06609!D24),",0",",0")</f>
        <v>617972,24|4,0,0</v>
      </c>
      <c r="E24" t="str">
        <f>CONCATENATE(617909,",",ROW(CCTTCR_06609!E24),"|",COLUMN(CCTTCR_06609!E24),",0",",0")</f>
        <v>617909,24|5,0,0</v>
      </c>
    </row>
    <row r="25" spans="1:5" x14ac:dyDescent="0.25">
      <c r="A25" t="str">
        <f>CONCATENATE(617900,",",ROW(CCTTCR_06609!A25),"|",COLUMN(CCTTCR_06609!A25),",0",",0")</f>
        <v>617900,25|1,0,0</v>
      </c>
      <c r="B25" t="str">
        <f>CONCATENATE(617874,",",ROW(CCTTCR_06609!B25),"|",COLUMN(CCTTCR_06609!B25),",0",",0")</f>
        <v>617874,25|2,0,0</v>
      </c>
      <c r="C25" t="str">
        <f>CONCATENATE(617772,",",ROW(CCTTCR_06609!C25),"|",COLUMN(CCTTCR_06609!C25),",0",",0")</f>
        <v>617772,25|3,0,0</v>
      </c>
      <c r="D25" t="str">
        <f>CONCATENATE(617973,",",ROW(CCTTCR_06609!D25),"|",COLUMN(CCTTCR_06609!D25),",0",",0")</f>
        <v>617973,25|4,0,0</v>
      </c>
      <c r="E25" t="str">
        <f>CONCATENATE(617910,",",ROW(CCTTCR_06609!E25),"|",COLUMN(CCTTCR_06609!E25),",0",",0")</f>
        <v>617910,25|5,0,0</v>
      </c>
    </row>
    <row r="26" spans="1:5" x14ac:dyDescent="0.25">
      <c r="A26" t="str">
        <f>CONCATENATE(617901,",",ROW(CCTTCR_06609!A26),"|",COLUMN(CCTTCR_06609!A26),",0",",0")</f>
        <v>617901,26|1,0,0</v>
      </c>
      <c r="B26" t="str">
        <f>CONCATENATE(617830,",",ROW(CCTTCR_06609!B26),"|",COLUMN(CCTTCR_06609!B26),",0",",0")</f>
        <v>617830,26|2,0,0</v>
      </c>
      <c r="C26" t="str">
        <f>CONCATENATE(617793,",",ROW(CCTTCR_06609!C26),"|",COLUMN(CCTTCR_06609!C26),",0",",0")</f>
        <v>617793,26|3,0,0</v>
      </c>
      <c r="D26" t="str">
        <f>CONCATENATE(617844,",",ROW(CCTTCR_06609!D26),"|",COLUMN(CCTTCR_06609!D26),",0",",0")</f>
        <v>617844,26|4,0,0</v>
      </c>
      <c r="E26" t="str">
        <f>CONCATENATE(617929,",",ROW(CCTTCR_06609!E26),"|",COLUMN(CCTTCR_06609!E26),",0",",0")</f>
        <v>617929,26|5,0,0</v>
      </c>
    </row>
    <row r="27" spans="1:5" x14ac:dyDescent="0.25">
      <c r="A27" t="str">
        <f>CONCATENATE(617902,",",ROW(CCTTCR_06609!A27),"|",COLUMN(CCTTCR_06609!A27),",0",",0")</f>
        <v>617902,27|1,0,0</v>
      </c>
      <c r="B27" t="str">
        <f>CONCATENATE(617831,",",ROW(CCTTCR_06609!B27),"|",COLUMN(CCTTCR_06609!B27),",0",",0")</f>
        <v>617831,27|2,0,0</v>
      </c>
      <c r="C27" t="str">
        <f>CONCATENATE(617794,",",ROW(CCTTCR_06609!C27),"|",COLUMN(CCTTCR_06609!C27),",0",",0")</f>
        <v>617794,27|3,0,0</v>
      </c>
      <c r="D27" t="str">
        <f>CONCATENATE(617845,",",ROW(CCTTCR_06609!D27),"|",COLUMN(CCTTCR_06609!D27),",0",",0")</f>
        <v>617845,27|4,0,0</v>
      </c>
      <c r="E27" t="str">
        <f>CONCATENATE(617930,",",ROW(CCTTCR_06609!E27),"|",COLUMN(CCTTCR_06609!E27),",0",",0")</f>
        <v>617930,27|5,0,0</v>
      </c>
    </row>
    <row r="28" spans="1:5" x14ac:dyDescent="0.25">
      <c r="A28" t="str">
        <f>CONCATENATE(617826,",",ROW(CCTTCR_06609!A28),"|",COLUMN(CCTTCR_06609!A28),",0",",0")</f>
        <v>617826,28|1,0,0</v>
      </c>
      <c r="B28" t="str">
        <f>CONCATENATE(617875,",",ROW(CCTTCR_06609!B28),"|",COLUMN(CCTTCR_06609!B28),",0",",0")</f>
        <v>617875,28|2,0,0</v>
      </c>
      <c r="C28" t="str">
        <f>CONCATENATE(617773,",",ROW(CCTTCR_06609!C28),"|",COLUMN(CCTTCR_06609!C28),",0",",0")</f>
        <v>617773,28|3,0,0</v>
      </c>
      <c r="D28" t="str">
        <f>CONCATENATE(617974,",",ROW(CCTTCR_06609!D28),"|",COLUMN(CCTTCR_06609!D28),",0",",0")</f>
        <v>617974,28|4,0,0</v>
      </c>
      <c r="E28" t="str">
        <f>CONCATENATE(617911,",",ROW(CCTTCR_06609!E28),"|",COLUMN(CCTTCR_06609!E28),",0",",0")</f>
        <v>617911,28|5,0,0</v>
      </c>
    </row>
    <row r="29" spans="1:5" x14ac:dyDescent="0.25">
      <c r="A29" t="str">
        <f>CONCATENATE(617834,",",ROW(CCTTCR_06609!A29),"|",COLUMN(CCTTCR_06609!A29),",0",",0")</f>
        <v>617834,29|1,0,0</v>
      </c>
      <c r="B29" t="str">
        <f>CONCATENATE(617808,",",ROW(CCTTCR_06609!B29),"|",COLUMN(CCTTCR_06609!B29),",0",",0")</f>
        <v>617808,29|2,0,0</v>
      </c>
      <c r="C29" t="str">
        <f>CONCATENATE(617795,",",ROW(CCTTCR_06609!C29),"|",COLUMN(CCTTCR_06609!C29),",0",",0")</f>
        <v>617795,29|3,0,0</v>
      </c>
      <c r="D29" t="str">
        <f>CONCATENATE(617846,",",ROW(CCTTCR_06609!D29),"|",COLUMN(CCTTCR_06609!D29),",0",",0")</f>
        <v>617846,29|4,0,0</v>
      </c>
      <c r="E29" t="str">
        <f>CONCATENATE(617931,",",ROW(CCTTCR_06609!E29),"|",COLUMN(CCTTCR_06609!E29),",0",",0")</f>
        <v>617931,29|5,0,0</v>
      </c>
    </row>
    <row r="30" spans="1:5" x14ac:dyDescent="0.25">
      <c r="A30" t="str">
        <f>CONCATENATE(617835,",",ROW(CCTTCR_06609!A30),"|",COLUMN(CCTTCR_06609!A30),",0",",0")</f>
        <v>617835,30|1,0,0</v>
      </c>
      <c r="B30" t="str">
        <f>CONCATENATE(617809,",",ROW(CCTTCR_06609!B30),"|",COLUMN(CCTTCR_06609!B30),",0",",0")</f>
        <v>617809,30|2,0,0</v>
      </c>
      <c r="C30" t="str">
        <f>CONCATENATE(617796,",",ROW(CCTTCR_06609!C30),"|",COLUMN(CCTTCR_06609!C30),",0",",0")</f>
        <v>617796,30|3,0,0</v>
      </c>
      <c r="D30" t="str">
        <f>CONCATENATE(617847,",",ROW(CCTTCR_06609!D30),"|",COLUMN(CCTTCR_06609!D30),",0",",0")</f>
        <v>617847,30|4,0,0</v>
      </c>
      <c r="E30" t="str">
        <f>CONCATENATE(617932,",",ROW(CCTTCR_06609!E30),"|",COLUMN(CCTTCR_06609!E30),",0",",0")</f>
        <v>617932,30|5,0,0</v>
      </c>
    </row>
    <row r="31" spans="1:5" x14ac:dyDescent="0.25">
      <c r="A31" t="str">
        <f>CONCATENATE(617836,",",ROW(CCTTCR_06609!A31),"|",COLUMN(CCTTCR_06609!A31),",0",",0")</f>
        <v>617836,31|1,0,0</v>
      </c>
      <c r="B31" t="str">
        <f>CONCATENATE(617876,",",ROW(CCTTCR_06609!B31),"|",COLUMN(CCTTCR_06609!B31),",0",",0")</f>
        <v>617876,31|2,0,0</v>
      </c>
      <c r="C31" t="str">
        <f>CONCATENATE(617774,",",ROW(CCTTCR_06609!C31),"|",COLUMN(CCTTCR_06609!C31),",0",",0")</f>
        <v>617774,31|3,0,0</v>
      </c>
      <c r="D31" t="str">
        <f>CONCATENATE(617975,",",ROW(CCTTCR_06609!D31),"|",COLUMN(CCTTCR_06609!D31),",0",",0")</f>
        <v>617975,31|4,0,0</v>
      </c>
      <c r="E31" t="str">
        <f>CONCATENATE(617912,",",ROW(CCTTCR_06609!E31),"|",COLUMN(CCTTCR_06609!E31),",0",",0")</f>
        <v>617912,31|5,0,0</v>
      </c>
    </row>
    <row r="32" spans="1:5" x14ac:dyDescent="0.25">
      <c r="A32" t="str">
        <f>CONCATENATE(617936,",",ROW(CCTTCR_06609!A32),"|",COLUMN(CCTTCR_06609!A32),",0",",0")</f>
        <v>617936,32|1,0,0</v>
      </c>
      <c r="B32" t="str">
        <f>CONCATENATE(617832,",",ROW(CCTTCR_06609!B32),"|",COLUMN(CCTTCR_06609!B32),",0",",0")</f>
        <v>617832,32|2,0,0</v>
      </c>
      <c r="C32" t="str">
        <f>CONCATENATE(617797,",",ROW(CCTTCR_06609!C32),"|",COLUMN(CCTTCR_06609!C32),",0",",0")</f>
        <v>617797,32|3,0,0</v>
      </c>
      <c r="D32" t="str">
        <f>CONCATENATE(617848,",",ROW(CCTTCR_06609!D32),"|",COLUMN(CCTTCR_06609!D32),",0",",0")</f>
        <v>617848,32|4,0,0</v>
      </c>
      <c r="E32" t="str">
        <f>CONCATENATE(617800,",",ROW(CCTTCR_06609!E32),"|",COLUMN(CCTTCR_06609!E32),",0",",0")</f>
        <v>617800,32|5,0,0</v>
      </c>
    </row>
    <row r="33" spans="1:5" x14ac:dyDescent="0.25">
      <c r="A33" t="str">
        <f>CONCATENATE(617937,",",ROW(CCTTCR_06609!A33),"|",COLUMN(CCTTCR_06609!A33),",0",",0")</f>
        <v>617937,33|1,0,0</v>
      </c>
      <c r="B33" t="str">
        <f>CONCATENATE(617877,",",ROW(CCTTCR_06609!B33),"|",COLUMN(CCTTCR_06609!B33),",0",",0")</f>
        <v>617877,33|2,0,0</v>
      </c>
      <c r="C33" t="str">
        <f>CONCATENATE(617981,",",ROW(CCTTCR_06609!C33),"|",COLUMN(CCTTCR_06609!C33),",0",",0")</f>
        <v>617981,33|3,0,0</v>
      </c>
      <c r="D33" t="str">
        <f>CONCATENATE(617976,",",ROW(CCTTCR_06609!D33),"|",COLUMN(CCTTCR_06609!D33),",0",",0")</f>
        <v>617976,33|4,0,0</v>
      </c>
      <c r="E33" t="str">
        <f>CONCATENATE(617913,",",ROW(CCTTCR_06609!E33),"|",COLUMN(CCTTCR_06609!E33),",0",",0")</f>
        <v>617913,33|5,0,0</v>
      </c>
    </row>
    <row r="34" spans="1:5" x14ac:dyDescent="0.25">
      <c r="A34" t="str">
        <f>CONCATENATE(617938,",",ROW(CCTTCR_06609!A34),"|",COLUMN(CCTTCR_06609!A34),",0",",0")</f>
        <v>617938,34|1,0,0</v>
      </c>
      <c r="B34" t="str">
        <f>CONCATENATE(617817,",",ROW(CCTTCR_06609!B34),"|",COLUMN(CCTTCR_06609!B34),",0",",0")</f>
        <v>617817,34|2,0,0</v>
      </c>
      <c r="C34" t="str">
        <f>CONCATENATE(617798,",",ROW(CCTTCR_06609!C34),"|",COLUMN(CCTTCR_06609!C34),",0",",0")</f>
        <v>617798,34|3,0,0</v>
      </c>
      <c r="D34" t="str">
        <f>CONCATENATE(617849,",",ROW(CCTTCR_06609!D34),"|",COLUMN(CCTTCR_06609!D34),",0",",0")</f>
        <v>617849,34|4,0,0</v>
      </c>
      <c r="E34" t="str">
        <f>CONCATENATE(617801,",",ROW(CCTTCR_06609!E34),"|",COLUMN(CCTTCR_06609!E34),",0",",0")</f>
        <v>617801,34|5,0,0</v>
      </c>
    </row>
    <row r="35" spans="1:5" x14ac:dyDescent="0.25">
      <c r="A35" t="str">
        <f>CONCATENATE(617939,",",ROW(CCTTCR_06609!A35),"|",COLUMN(CCTTCR_06609!A35),",0",",0")</f>
        <v>617939,35|1,0,0</v>
      </c>
      <c r="B35" t="str">
        <f>CONCATENATE(617878,",",ROW(CCTTCR_06609!B35),"|",COLUMN(CCTTCR_06609!B35),",0",",0")</f>
        <v>617878,35|2,0,0</v>
      </c>
      <c r="C35" t="str">
        <f>CONCATENATE(617982,",",ROW(CCTTCR_06609!C35),"|",COLUMN(CCTTCR_06609!C35),",0",",0")</f>
        <v>617982,35|3,0,0</v>
      </c>
      <c r="D35" t="str">
        <f>CONCATENATE(617977,",",ROW(CCTTCR_06609!D35),"|",COLUMN(CCTTCR_06609!D35),",0",",0")</f>
        <v>617977,35|4,0,0</v>
      </c>
      <c r="E35" t="str">
        <f>CONCATENATE(617914,",",ROW(CCTTCR_06609!E35),"|",COLUMN(CCTTCR_06609!E35),",0",",0")</f>
        <v>617914,35|5,0,0</v>
      </c>
    </row>
    <row r="36" spans="1:5" x14ac:dyDescent="0.25">
      <c r="A36" t="str">
        <f>CONCATENATE(617940,",",ROW(CCTTCR_06609!A36),"|",COLUMN(CCTTCR_06609!A36),",0",",0")</f>
        <v>617940,36|1,0,0</v>
      </c>
      <c r="B36" t="str">
        <f>CONCATENATE(617818,",",ROW(CCTTCR_06609!B36),"|",COLUMN(CCTTCR_06609!B36),",0",",0")</f>
        <v>617818,36|2,0,0</v>
      </c>
      <c r="C36" t="str">
        <f>CONCATENATE(617799,",",ROW(CCTTCR_06609!C36),"|",COLUMN(CCTTCR_06609!C36),",0",",0")</f>
        <v>617799,36|3,0,0</v>
      </c>
      <c r="D36" t="str">
        <f>CONCATENATE(617850,",",ROW(CCTTCR_06609!D36),"|",COLUMN(CCTTCR_06609!D36),",0",",0")</f>
        <v>617850,36|4,0,0</v>
      </c>
      <c r="E36" t="str">
        <f>CONCATENATE(617802,",",ROW(CCTTCR_06609!E36),"|",COLUMN(CCTTCR_06609!E36),",0",",0")</f>
        <v>617802,36|5,0,0</v>
      </c>
    </row>
    <row r="37" spans="1:5" x14ac:dyDescent="0.25">
      <c r="A37" t="str">
        <f>CONCATENATE(617941,",",ROW(CCTTCR_06609!A37),"|",COLUMN(CCTTCR_06609!A37),",0",",0")</f>
        <v>617941,37|1,0,0</v>
      </c>
      <c r="B37" t="str">
        <f>CONCATENATE(617819,",",ROW(CCTTCR_06609!B37),"|",COLUMN(CCTTCR_06609!B37),",0",",0")</f>
        <v>617819,37|2,0,0</v>
      </c>
      <c r="C37" t="str">
        <f>CONCATENATE(617781,",",ROW(CCTTCR_06609!C37),"|",COLUMN(CCTTCR_06609!C37),",0",",0")</f>
        <v>617781,37|3,0,0</v>
      </c>
      <c r="D37" t="str">
        <f>CONCATENATE(617851,",",ROW(CCTTCR_06609!D37),"|",COLUMN(CCTTCR_06609!D37),",0",",0")</f>
        <v>617851,37|4,0,0</v>
      </c>
      <c r="E37" t="str">
        <f>CONCATENATE(617803,",",ROW(CCTTCR_06609!E37),"|",COLUMN(CCTTCR_06609!E37),",0",",0")</f>
        <v>617803,37|5,0,0</v>
      </c>
    </row>
    <row r="38" spans="1:5" x14ac:dyDescent="0.25">
      <c r="A38" t="str">
        <f>CONCATENATE(617806,",",ROW(CCTTCR_06609!A38),"|",COLUMN(CCTTCR_06609!A38),",0",",0")</f>
        <v>617806,38|1,0,0</v>
      </c>
      <c r="B38" t="str">
        <f>CONCATENATE(617833,",",ROW(CCTTCR_06609!B38),"|",COLUMN(CCTTCR_06609!B38),",0",",0")</f>
        <v>617833,38|2,0,0</v>
      </c>
      <c r="C38" t="str">
        <f>CONCATENATE(617943,",",ROW(CCTTCR_06609!C38),"|",COLUMN(CCTTCR_06609!C38),",0",",0")</f>
        <v>617943,38|3,0,0</v>
      </c>
      <c r="D38" t="str">
        <f>CONCATENATE(617889,",",ROW(CCTTCR_06609!D38),"|",COLUMN(CCTTCR_06609!D38),",0",",0")</f>
        <v>617889,38|4,0,0</v>
      </c>
      <c r="E38" t="str">
        <f>CONCATENATE(617983,",",ROW(CCTTCR_06609!E38),"|",COLUMN(CCTTCR_06609!E38),",0",",0")</f>
        <v>617983,38|5,0,0</v>
      </c>
    </row>
    <row r="39" spans="1:5" x14ac:dyDescent="0.25">
      <c r="A39" t="str">
        <f>CONCATENATE(617854,",",ROW(CCTTCR_06609!A39),"|",COLUMN(CCTTCR_06609!A39),",0",",0")</f>
        <v>617854,39|1,0,0</v>
      </c>
      <c r="B39" t="str">
        <f>CONCATENATE(617865,",",ROW(CCTTCR_06609!B39),"|",COLUMN(CCTTCR_06609!B39),",0",",0")</f>
        <v>617865,39|2,0,0</v>
      </c>
      <c r="C39" t="str">
        <f>CONCATENATE(617782,",",ROW(CCTTCR_06609!C39),"|",COLUMN(CCTTCR_06609!C39),",0",",0")</f>
        <v>617782,39|3,0,0</v>
      </c>
      <c r="D39" t="str">
        <f>CONCATENATE(617852,",",ROW(CCTTCR_06609!D39),"|",COLUMN(CCTTCR_06609!D39),",0",",0")</f>
        <v>617852,39|4,0,0</v>
      </c>
      <c r="E39" t="str">
        <f>CONCATENATE(617804,",",ROW(CCTTCR_06609!E39),"|",COLUMN(CCTTCR_06609!E39),",0",",0")</f>
        <v>617804,39|5,0,0</v>
      </c>
    </row>
    <row r="40" spans="1:5" x14ac:dyDescent="0.25">
      <c r="A40" t="str">
        <f>CONCATENATE(617957,",",ROW(CCTTCR_06609!A40),"|",COLUMN(CCTTCR_06609!A40),",0",",0")</f>
        <v>617957,40|1,0,0</v>
      </c>
      <c r="B40" t="str">
        <f>CONCATENATE(617810,",",ROW(CCTTCR_06609!B40),"|",COLUMN(CCTTCR_06609!B40),",0",",0")</f>
        <v>617810,40|2,0,0</v>
      </c>
      <c r="C40" t="str">
        <f>CONCATENATE(617944,",",ROW(CCTTCR_06609!C40),"|",COLUMN(CCTTCR_06609!C40),",0",",0")</f>
        <v>617944,40|3,0,0</v>
      </c>
      <c r="D40" t="str">
        <f>CONCATENATE(617890,",",ROW(CCTTCR_06609!D40),"|",COLUMN(CCTTCR_06609!D40),",0",",0")</f>
        <v>617890,40|4,0,0</v>
      </c>
      <c r="E40" t="str">
        <f>CONCATENATE(617984,",",ROW(CCTTCR_06609!E40),"|",COLUMN(CCTTCR_06609!E40),",0",",0")</f>
        <v>617984,40|5,0,0</v>
      </c>
    </row>
    <row r="41" spans="1:5" x14ac:dyDescent="0.25">
      <c r="A41" t="str">
        <f>CONCATENATE(617958,",",ROW(CCTTCR_06609!A41),"|",COLUMN(CCTTCR_06609!A41),",0",",0")</f>
        <v>617958,41|1,0,0</v>
      </c>
      <c r="B41" t="str">
        <f>CONCATENATE(617812,",",ROW(CCTTCR_06609!B41),"|",COLUMN(CCTTCR_06609!B41),",0",",0")</f>
        <v>617812,41|2,0,0</v>
      </c>
      <c r="C41" t="str">
        <f>CONCATENATE(617945,",",ROW(CCTTCR_06609!C41),"|",COLUMN(CCTTCR_06609!C41),",0",",0")</f>
        <v>617945,41|3,0,0</v>
      </c>
      <c r="D41" t="str">
        <f>CONCATENATE(617891,",",ROW(CCTTCR_06609!D41),"|",COLUMN(CCTTCR_06609!D41),",0",",0")</f>
        <v>617891,41|4,0,0</v>
      </c>
      <c r="E41" t="str">
        <f>CONCATENATE(617985,",",ROW(CCTTCR_06609!E41),"|",COLUMN(CCTTCR_06609!E41),",0",",0")</f>
        <v>617985,41|5,0,0</v>
      </c>
    </row>
    <row r="42" spans="1:5" x14ac:dyDescent="0.25">
      <c r="A42" t="str">
        <f>CONCATENATE(617827,",",ROW(CCTTCR_06609!A42),"|",COLUMN(CCTTCR_06609!A42),",0",",0")</f>
        <v>617827,42|1,0,0</v>
      </c>
      <c r="B42" t="str">
        <f>CONCATENATE(617879,",",ROW(CCTTCR_06609!B42),"|",COLUMN(CCTTCR_06609!B42),",0",",0")</f>
        <v>617879,42|2,0,0</v>
      </c>
      <c r="C42" t="str">
        <f>CONCATENATE(617775,",",ROW(CCTTCR_06609!C42),"|",COLUMN(CCTTCR_06609!C42),",0",",0")</f>
        <v>617775,42|3,0,0</v>
      </c>
      <c r="D42" t="str">
        <f>CONCATENATE(617978,",",ROW(CCTTCR_06609!D42),"|",COLUMN(CCTTCR_06609!D42),",0",",0")</f>
        <v>617978,42|4,0,0</v>
      </c>
      <c r="E42" t="str">
        <f>CONCATENATE(617915,",",ROW(CCTTCR_06609!E42),"|",COLUMN(CCTTCR_06609!E42),",0",",0")</f>
        <v>617915,42|5,0,0</v>
      </c>
    </row>
    <row r="43" spans="1:5" x14ac:dyDescent="0.25">
      <c r="A43" t="str">
        <f>CONCATENATE(617959,",",ROW(CCTTCR_06609!A43),"|",COLUMN(CCTTCR_06609!A43),",0",",0")</f>
        <v>617959,43|1,0,0</v>
      </c>
      <c r="B43" t="str">
        <f>CONCATENATE(617813,",",ROW(CCTTCR_06609!B43),"|",COLUMN(CCTTCR_06609!B43),",0",",0")</f>
        <v>617813,43|2,0,0</v>
      </c>
      <c r="C43" t="str">
        <f>CONCATENATE(617946,",",ROW(CCTTCR_06609!C43),"|",COLUMN(CCTTCR_06609!C43),",0",",0")</f>
        <v>617946,43|3,0,0</v>
      </c>
      <c r="D43" t="str">
        <f>CONCATENATE(617892,",",ROW(CCTTCR_06609!D43),"|",COLUMN(CCTTCR_06609!D43),",0",",0")</f>
        <v>617892,43|4,0,0</v>
      </c>
      <c r="E43" t="str">
        <f>CONCATENATE(617986,",",ROW(CCTTCR_06609!E43),"|",COLUMN(CCTTCR_06609!E43),",0",",0")</f>
        <v>617986,43|5,0,0</v>
      </c>
    </row>
    <row r="44" spans="1:5" x14ac:dyDescent="0.25">
      <c r="A44" t="str">
        <f>CONCATENATE(617960,",",ROW(CCTTCR_06609!A44),"|",COLUMN(CCTTCR_06609!A44),",0",",0")</f>
        <v>617960,44|1,0,0</v>
      </c>
      <c r="B44" t="str">
        <f>CONCATENATE(617820,",",ROW(CCTTCR_06609!B44),"|",COLUMN(CCTTCR_06609!B44),",0",",0")</f>
        <v>617820,44|2,0,0</v>
      </c>
      <c r="C44" t="str">
        <f>CONCATENATE(617947,",",ROW(CCTTCR_06609!C44),"|",COLUMN(CCTTCR_06609!C44),",0",",0")</f>
        <v>617947,44|3,0,0</v>
      </c>
      <c r="D44" t="str">
        <f>CONCATENATE(617893,",",ROW(CCTTCR_06609!D44),"|",COLUMN(CCTTCR_06609!D44),",0",",0")</f>
        <v>617893,44|4,0,0</v>
      </c>
      <c r="E44" t="str">
        <f>CONCATENATE(617987,",",ROW(CCTTCR_06609!E44),"|",COLUMN(CCTTCR_06609!E44),",0",",0")</f>
        <v>617987,44|5,0,0</v>
      </c>
    </row>
    <row r="45" spans="1:5" x14ac:dyDescent="0.25">
      <c r="A45" t="str">
        <f>CONCATENATE(617942,",",ROW(CCTTCR_06609!A45),"|",COLUMN(CCTTCR_06609!A45),",0",",0")</f>
        <v>617942,45|1,0,0</v>
      </c>
      <c r="B45" t="str">
        <f>CONCATENATE(617821,",",ROW(CCTTCR_06609!B45),"|",COLUMN(CCTTCR_06609!B45),",0",",0")</f>
        <v>617821,45|2,0,0</v>
      </c>
      <c r="C45" t="str">
        <f>CONCATENATE(617783,",",ROW(CCTTCR_06609!C45),"|",COLUMN(CCTTCR_06609!C45),",0",",0")</f>
        <v>617783,45|3,0,0</v>
      </c>
      <c r="D45" t="str">
        <f>CONCATENATE(617853,",",ROW(CCTTCR_06609!D45),"|",COLUMN(CCTTCR_06609!D45),",0",",0")</f>
        <v>617853,45|4,0,0</v>
      </c>
      <c r="E45" t="str">
        <f>CONCATENATE(617805,",",ROW(CCTTCR_06609!E45),"|",COLUMN(CCTTCR_06609!E45),",0",",0")</f>
        <v>617805,45|5,0,0</v>
      </c>
    </row>
    <row r="46" spans="1:5" x14ac:dyDescent="0.25">
      <c r="A46" t="str">
        <f>CONCATENATE(617961,",",ROW(CCTTCR_06609!A46),"|",COLUMN(CCTTCR_06609!A46),",0",",0")</f>
        <v>617961,46|1,0,0</v>
      </c>
      <c r="B46" t="str">
        <f>CONCATENATE(617861,",",ROW(CCTTCR_06609!B46),"|",COLUMN(CCTTCR_06609!B46),",0",",0")</f>
        <v>617861,46|2,0,0</v>
      </c>
      <c r="C46" t="str">
        <f>CONCATENATE(617948,",",ROW(CCTTCR_06609!C46),"|",COLUMN(CCTTCR_06609!C46),",0",",0")</f>
        <v>617948,46|3,0,0</v>
      </c>
      <c r="D46" t="str">
        <f>CONCATENATE(617894,",",ROW(CCTTCR_06609!D46),"|",COLUMN(CCTTCR_06609!D46),",0",",0")</f>
        <v>617894,46|4,0,0</v>
      </c>
      <c r="E46" t="str">
        <f>CONCATENATE(617988,",",ROW(CCTTCR_06609!E46),"|",COLUMN(CCTTCR_06609!E46),",0",",0")</f>
        <v>617988,46|5,0,0</v>
      </c>
    </row>
    <row r="47" spans="1:5" x14ac:dyDescent="0.25">
      <c r="A47" t="str">
        <f>CONCATENATE(617811,",",ROW(CCTTCR_06609!A47),"|",COLUMN(CCTTCR_06609!A47),",0",",0")</f>
        <v>617811,47|1,0,0</v>
      </c>
      <c r="B47" t="str">
        <f>CONCATENATE(617880,",",ROW(CCTTCR_06609!B47),"|",COLUMN(CCTTCR_06609!B47),",0",",0")</f>
        <v>617880,47|2,0,0</v>
      </c>
      <c r="C47" t="str">
        <f>CONCATENATE(617776,",",ROW(CCTTCR_06609!C47),"|",COLUMN(CCTTCR_06609!C47),",0",",0")</f>
        <v>617776,47|3,0,0</v>
      </c>
      <c r="D47" t="str">
        <f>CONCATENATE(617979,",",ROW(CCTTCR_06609!D47),"|",COLUMN(CCTTCR_06609!D47),",0",",0")</f>
        <v>617979,47|4,0,0</v>
      </c>
      <c r="E47" t="str">
        <f>CONCATENATE(617916,",",ROW(CCTTCR_06609!E47),"|",COLUMN(CCTTCR_06609!E47),",0",",0")</f>
        <v>617916,47|5,0,0</v>
      </c>
    </row>
    <row r="48" spans="1:5" x14ac:dyDescent="0.25">
      <c r="A48" t="str">
        <f>CONCATENATE(617962,",",ROW(CCTTCR_06609!A48),"|",COLUMN(CCTTCR_06609!A48),",0",",0")</f>
        <v>617962,48|1,0,0</v>
      </c>
      <c r="B48" t="str">
        <f>CONCATENATE(617862,",",ROW(CCTTCR_06609!B48),"|",COLUMN(CCTTCR_06609!B48),",0",",0")</f>
        <v>617862,48|2,0,0</v>
      </c>
      <c r="C48" t="str">
        <f>CONCATENATE(617949,",",ROW(CCTTCR_06609!C48),"|",COLUMN(CCTTCR_06609!C48),",0",",0")</f>
        <v>617949,48|3,0,0</v>
      </c>
      <c r="D48" t="str">
        <f>CONCATENATE(617895,",",ROW(CCTTCR_06609!D48),"|",COLUMN(CCTTCR_06609!D48),",0",",0")</f>
        <v>617895,48|4,0,0</v>
      </c>
      <c r="E48" t="str">
        <f>CONCATENATE(617989,",",ROW(CCTTCR_06609!E48),"|",COLUMN(CCTTCR_06609!E48),",0",",0")</f>
        <v>617989,48|5,0,0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4"/>
  <sheetViews>
    <sheetView topLeftCell="A28" zoomScale="90" zoomScaleNormal="90" workbookViewId="0">
      <selection activeCell="A2" sqref="A2:E2"/>
    </sheetView>
  </sheetViews>
  <sheetFormatPr defaultRowHeight="15" x14ac:dyDescent="0.25"/>
  <cols>
    <col min="1" max="1" width="31.28515625" bestFit="1" customWidth="1"/>
    <col min="2" max="2" width="12.7109375" bestFit="1" customWidth="1"/>
    <col min="3" max="3" width="16.7109375" bestFit="1" customWidth="1"/>
    <col min="4" max="5" width="19.42578125" customWidth="1"/>
  </cols>
  <sheetData>
    <row r="1" spans="1:5" ht="20.25" x14ac:dyDescent="0.3">
      <c r="A1" s="1622" t="s">
        <v>12</v>
      </c>
      <c r="B1" s="1622" t="s">
        <v>5</v>
      </c>
      <c r="C1" s="1622" t="s">
        <v>5</v>
      </c>
      <c r="D1" s="1622" t="s">
        <v>5</v>
      </c>
      <c r="E1" s="1622" t="s">
        <v>5</v>
      </c>
    </row>
    <row r="2" spans="1:5" ht="16.5" x14ac:dyDescent="0.25">
      <c r="A2" s="2336" t="s">
        <v>767</v>
      </c>
      <c r="B2" s="1975" t="s">
        <v>5</v>
      </c>
      <c r="C2" s="1975" t="s">
        <v>5</v>
      </c>
      <c r="D2" s="1975" t="s">
        <v>5</v>
      </c>
      <c r="E2" s="1975" t="s">
        <v>5</v>
      </c>
    </row>
    <row r="3" spans="1:5" ht="18.75" x14ac:dyDescent="0.3">
      <c r="A3" s="1623" t="s">
        <v>389</v>
      </c>
      <c r="B3" s="1623" t="s">
        <v>5</v>
      </c>
      <c r="C3" s="1623" t="s">
        <v>5</v>
      </c>
      <c r="D3" s="1623" t="s">
        <v>5</v>
      </c>
      <c r="E3" s="1623" t="s">
        <v>5</v>
      </c>
    </row>
    <row r="4" spans="1:5" ht="18.75" x14ac:dyDescent="0.25">
      <c r="A4" s="579" t="s">
        <v>386</v>
      </c>
      <c r="B4" s="579" t="s">
        <v>31</v>
      </c>
      <c r="C4" s="579" t="s">
        <v>32</v>
      </c>
      <c r="D4" s="579" t="s">
        <v>387</v>
      </c>
      <c r="E4" s="579" t="s">
        <v>388</v>
      </c>
    </row>
    <row r="5" spans="1:5" ht="16.5" x14ac:dyDescent="0.25">
      <c r="A5" s="599" t="s">
        <v>39</v>
      </c>
      <c r="B5" s="635" t="s">
        <v>114</v>
      </c>
      <c r="C5" s="787" t="s">
        <v>79</v>
      </c>
      <c r="D5" s="636" t="s">
        <v>223</v>
      </c>
      <c r="E5" s="788" t="s">
        <v>80</v>
      </c>
    </row>
    <row r="6" spans="1:5" ht="49.5" x14ac:dyDescent="0.25">
      <c r="A6" s="710" t="s">
        <v>455</v>
      </c>
      <c r="B6" s="583"/>
      <c r="C6" s="744"/>
      <c r="D6" s="617" t="s">
        <v>5</v>
      </c>
      <c r="E6" s="742" t="s">
        <v>5</v>
      </c>
    </row>
    <row r="7" spans="1:5" ht="66" x14ac:dyDescent="0.25">
      <c r="A7" s="789" t="s">
        <v>503</v>
      </c>
      <c r="B7" s="738" t="s">
        <v>223</v>
      </c>
      <c r="C7" s="644"/>
      <c r="D7" s="2003">
        <v>2451244872</v>
      </c>
      <c r="E7" s="2004">
        <v>75053832395</v>
      </c>
    </row>
    <row r="8" spans="1:5" ht="49.5" x14ac:dyDescent="0.25">
      <c r="A8" s="731" t="s">
        <v>470</v>
      </c>
      <c r="B8" s="739" t="s">
        <v>477</v>
      </c>
      <c r="C8" s="776"/>
      <c r="D8" s="2005">
        <v>2006845636</v>
      </c>
      <c r="E8" s="2006">
        <v>918158042</v>
      </c>
    </row>
    <row r="9" spans="1:5" ht="49.5" x14ac:dyDescent="0.25">
      <c r="A9" s="711" t="s">
        <v>456</v>
      </c>
      <c r="B9" s="614" t="s">
        <v>414</v>
      </c>
      <c r="C9" s="777"/>
      <c r="D9" s="2007">
        <v>424399236</v>
      </c>
      <c r="E9" s="2008">
        <v>71012550453</v>
      </c>
    </row>
    <row r="10" spans="1:5" ht="49.5" x14ac:dyDescent="0.25">
      <c r="A10" s="600" t="s">
        <v>402</v>
      </c>
      <c r="B10" s="677" t="s">
        <v>446</v>
      </c>
      <c r="C10" s="604"/>
      <c r="D10" s="2009">
        <v>20000000</v>
      </c>
      <c r="E10" s="2010">
        <v>3123123900</v>
      </c>
    </row>
    <row r="11" spans="1:5" ht="66" x14ac:dyDescent="0.25">
      <c r="A11" s="732" t="s">
        <v>471</v>
      </c>
      <c r="B11" s="672" t="s">
        <v>339</v>
      </c>
      <c r="C11" s="616"/>
      <c r="D11" s="2011" t="s">
        <v>5</v>
      </c>
      <c r="E11" s="2012" t="s">
        <v>5</v>
      </c>
    </row>
    <row r="12" spans="1:5" ht="66" x14ac:dyDescent="0.25">
      <c r="A12" s="772" t="s">
        <v>493</v>
      </c>
      <c r="B12" s="740" t="s">
        <v>478</v>
      </c>
      <c r="C12" s="620"/>
      <c r="D12" s="1976">
        <v>2797257450</v>
      </c>
      <c r="E12" s="1977">
        <v>6515462730</v>
      </c>
    </row>
    <row r="13" spans="1:5" ht="49.5" x14ac:dyDescent="0.25">
      <c r="A13" s="580" t="s">
        <v>390</v>
      </c>
      <c r="B13" s="741" t="s">
        <v>381</v>
      </c>
      <c r="C13" s="621"/>
      <c r="D13" s="2013" t="s">
        <v>5</v>
      </c>
      <c r="E13" s="2014" t="s">
        <v>5</v>
      </c>
    </row>
    <row r="14" spans="1:5" ht="49.5" x14ac:dyDescent="0.25">
      <c r="A14" s="581" t="s">
        <v>391</v>
      </c>
      <c r="B14" s="678" t="s">
        <v>328</v>
      </c>
      <c r="C14" s="622"/>
      <c r="D14" s="2015" t="s">
        <v>5</v>
      </c>
      <c r="E14" s="2016" t="s">
        <v>5</v>
      </c>
    </row>
    <row r="15" spans="1:5" ht="49.5" x14ac:dyDescent="0.25">
      <c r="A15" s="712" t="s">
        <v>457</v>
      </c>
      <c r="B15" s="584" t="s">
        <v>393</v>
      </c>
      <c r="C15" s="623"/>
      <c r="D15" s="1978">
        <v>2172730442</v>
      </c>
      <c r="E15" s="1979">
        <v>3804485235</v>
      </c>
    </row>
    <row r="16" spans="1:5" ht="66" x14ac:dyDescent="0.25">
      <c r="A16" s="728" t="s">
        <v>467</v>
      </c>
      <c r="B16" s="615" t="s">
        <v>415</v>
      </c>
      <c r="C16" s="624"/>
      <c r="D16" s="2017" t="s">
        <v>5</v>
      </c>
      <c r="E16" s="2018" t="s">
        <v>5</v>
      </c>
    </row>
    <row r="17" spans="1:5" ht="49.5" x14ac:dyDescent="0.25">
      <c r="A17" s="713" t="s">
        <v>458</v>
      </c>
      <c r="B17" s="585" t="s">
        <v>394</v>
      </c>
      <c r="C17" s="625"/>
      <c r="D17" s="2019" t="s">
        <v>5</v>
      </c>
      <c r="E17" s="2020" t="s">
        <v>5</v>
      </c>
    </row>
    <row r="18" spans="1:5" ht="49.5" x14ac:dyDescent="0.25">
      <c r="A18" s="637" t="s">
        <v>423</v>
      </c>
      <c r="B18" s="586" t="s">
        <v>395</v>
      </c>
      <c r="C18" s="626"/>
      <c r="D18" s="2021">
        <v>306035649</v>
      </c>
      <c r="E18" s="2022">
        <v>425602638</v>
      </c>
    </row>
    <row r="19" spans="1:5" ht="49.5" x14ac:dyDescent="0.25">
      <c r="A19" s="638" t="s">
        <v>424</v>
      </c>
      <c r="B19" s="673" t="s">
        <v>443</v>
      </c>
      <c r="C19" s="627"/>
      <c r="D19" s="2023">
        <v>416958182</v>
      </c>
      <c r="E19" s="2024">
        <v>1175454545</v>
      </c>
    </row>
    <row r="20" spans="1:5" ht="33" x14ac:dyDescent="0.25">
      <c r="A20" s="733" t="s">
        <v>472</v>
      </c>
      <c r="B20" s="759" t="s">
        <v>484</v>
      </c>
      <c r="C20" s="650"/>
      <c r="D20" s="2025">
        <v>9832000</v>
      </c>
      <c r="E20" s="2026">
        <v>9272000</v>
      </c>
    </row>
    <row r="21" spans="1:5" ht="49.5" x14ac:dyDescent="0.25">
      <c r="A21" s="745" t="s">
        <v>480</v>
      </c>
      <c r="B21" s="674" t="s">
        <v>444</v>
      </c>
      <c r="C21" s="651"/>
      <c r="D21" s="2027">
        <v>8154058595</v>
      </c>
      <c r="E21" s="2028">
        <v>86984109543</v>
      </c>
    </row>
    <row r="22" spans="1:5" ht="33" x14ac:dyDescent="0.25">
      <c r="A22" s="639" t="s">
        <v>425</v>
      </c>
      <c r="B22" s="578" t="s">
        <v>5</v>
      </c>
      <c r="C22" s="652"/>
      <c r="D22" s="2029" t="s">
        <v>5</v>
      </c>
      <c r="E22" s="2030" t="s">
        <v>5</v>
      </c>
    </row>
    <row r="23" spans="1:5" ht="66" x14ac:dyDescent="0.25">
      <c r="A23" s="640" t="s">
        <v>426</v>
      </c>
      <c r="B23" s="760" t="s">
        <v>383</v>
      </c>
      <c r="C23" s="653"/>
      <c r="D23" s="2031">
        <v>182316116150</v>
      </c>
      <c r="E23" s="2032">
        <v>37309666065</v>
      </c>
    </row>
    <row r="24" spans="1:5" ht="49.5" x14ac:dyDescent="0.25">
      <c r="A24" s="746" t="s">
        <v>481</v>
      </c>
      <c r="B24" s="761" t="s">
        <v>319</v>
      </c>
      <c r="C24" s="654"/>
      <c r="D24" s="2033">
        <v>0</v>
      </c>
      <c r="E24" s="2034">
        <v>3739474329</v>
      </c>
    </row>
    <row r="25" spans="1:5" ht="49.5" x14ac:dyDescent="0.25">
      <c r="A25" s="607" t="s">
        <v>407</v>
      </c>
      <c r="B25" s="587" t="s">
        <v>396</v>
      </c>
      <c r="C25" s="655"/>
      <c r="D25" s="2035">
        <v>182316116150</v>
      </c>
      <c r="E25" s="2036">
        <v>33570191736</v>
      </c>
    </row>
    <row r="26" spans="1:5" ht="49.5" x14ac:dyDescent="0.25">
      <c r="A26" s="734" t="s">
        <v>473</v>
      </c>
      <c r="B26" s="588" t="s">
        <v>342</v>
      </c>
      <c r="C26" s="656"/>
      <c r="D26" s="2037" t="s">
        <v>5</v>
      </c>
      <c r="E26" s="2038" t="s">
        <v>5</v>
      </c>
    </row>
    <row r="27" spans="1:5" ht="49.5" x14ac:dyDescent="0.25">
      <c r="A27" s="757" t="s">
        <v>482</v>
      </c>
      <c r="B27" s="589" t="s">
        <v>320</v>
      </c>
      <c r="C27" s="657"/>
      <c r="D27" s="2039" t="s">
        <v>5</v>
      </c>
      <c r="E27" s="2040" t="s">
        <v>5</v>
      </c>
    </row>
    <row r="28" spans="1:5" ht="82.5" x14ac:dyDescent="0.25">
      <c r="A28" s="735" t="s">
        <v>474</v>
      </c>
      <c r="B28" s="675" t="s">
        <v>346</v>
      </c>
      <c r="C28" s="658"/>
      <c r="D28" s="2041" t="s">
        <v>5</v>
      </c>
      <c r="E28" s="2042" t="s">
        <v>5</v>
      </c>
    </row>
    <row r="29" spans="1:5" ht="115.5" x14ac:dyDescent="0.25">
      <c r="A29" s="601" t="s">
        <v>403</v>
      </c>
      <c r="B29" s="773" t="s">
        <v>494</v>
      </c>
      <c r="C29" s="659"/>
      <c r="D29" s="1980">
        <v>685289435</v>
      </c>
      <c r="E29" s="1981">
        <v>14786247711</v>
      </c>
    </row>
    <row r="30" spans="1:5" ht="49.5" x14ac:dyDescent="0.25">
      <c r="A30" s="769" t="s">
        <v>490</v>
      </c>
      <c r="B30" s="774" t="s">
        <v>307</v>
      </c>
      <c r="C30" s="660"/>
      <c r="D30" s="2043" t="s">
        <v>5</v>
      </c>
      <c r="E30" s="2044" t="s">
        <v>5</v>
      </c>
    </row>
    <row r="31" spans="1:5" ht="49.5" x14ac:dyDescent="0.25">
      <c r="A31" s="770" t="s">
        <v>491</v>
      </c>
      <c r="B31" s="662" t="s">
        <v>433</v>
      </c>
      <c r="C31" s="661"/>
      <c r="D31" s="1982">
        <v>214338299</v>
      </c>
      <c r="E31" s="1983">
        <v>141359267</v>
      </c>
    </row>
    <row r="32" spans="1:5" ht="49.5" x14ac:dyDescent="0.25">
      <c r="A32" s="758" t="s">
        <v>483</v>
      </c>
      <c r="B32" s="762" t="s">
        <v>308</v>
      </c>
      <c r="C32" s="716"/>
      <c r="D32" s="1984">
        <v>3072927295</v>
      </c>
      <c r="E32" s="1985">
        <v>4901192683</v>
      </c>
    </row>
    <row r="33" spans="1:5" ht="66" x14ac:dyDescent="0.25">
      <c r="A33" s="608" t="s">
        <v>408</v>
      </c>
      <c r="B33" s="590" t="s">
        <v>309</v>
      </c>
      <c r="C33" s="717"/>
      <c r="D33" s="2045" t="s">
        <v>5</v>
      </c>
      <c r="E33" s="2046" t="s">
        <v>5</v>
      </c>
    </row>
    <row r="34" spans="1:5" ht="49.5" x14ac:dyDescent="0.25">
      <c r="A34" s="641" t="s">
        <v>427</v>
      </c>
      <c r="B34" s="591" t="s">
        <v>323</v>
      </c>
      <c r="C34" s="718"/>
      <c r="D34" s="2047" t="s">
        <v>5</v>
      </c>
      <c r="E34" s="2048" t="s">
        <v>5</v>
      </c>
    </row>
    <row r="35" spans="1:5" ht="49.5" x14ac:dyDescent="0.25">
      <c r="A35" s="602" t="s">
        <v>404</v>
      </c>
      <c r="B35" s="679" t="s">
        <v>304</v>
      </c>
      <c r="C35" s="719"/>
      <c r="D35" s="2049">
        <v>483942057</v>
      </c>
      <c r="E35" s="2050">
        <v>452232655</v>
      </c>
    </row>
    <row r="36" spans="1:5" ht="49.5" x14ac:dyDescent="0.25">
      <c r="A36" s="603" t="s">
        <v>405</v>
      </c>
      <c r="B36" s="592" t="s">
        <v>349</v>
      </c>
      <c r="C36" s="720"/>
      <c r="D36" s="2051">
        <v>604032394</v>
      </c>
      <c r="E36" s="2052">
        <v>914158849</v>
      </c>
    </row>
    <row r="37" spans="1:5" ht="33" x14ac:dyDescent="0.25">
      <c r="A37" s="736" t="s">
        <v>475</v>
      </c>
      <c r="B37" s="593" t="s">
        <v>311</v>
      </c>
      <c r="C37" s="714"/>
      <c r="D37" s="2053">
        <v>1094445024</v>
      </c>
      <c r="E37" s="2054">
        <v>1315030634</v>
      </c>
    </row>
    <row r="38" spans="1:5" ht="49.5" x14ac:dyDescent="0.25">
      <c r="A38" s="645" t="s">
        <v>428</v>
      </c>
      <c r="B38" s="680" t="s">
        <v>447</v>
      </c>
      <c r="C38" s="747"/>
      <c r="D38" s="2055">
        <v>188471090654</v>
      </c>
      <c r="E38" s="2056">
        <v>59819887864</v>
      </c>
    </row>
    <row r="39" spans="1:5" ht="49.5" x14ac:dyDescent="0.25">
      <c r="A39" s="669" t="s">
        <v>440</v>
      </c>
      <c r="B39" s="578" t="s">
        <v>5</v>
      </c>
      <c r="C39" s="748"/>
      <c r="D39" s="2057" t="s">
        <v>5</v>
      </c>
      <c r="E39" s="2058" t="s">
        <v>5</v>
      </c>
    </row>
    <row r="40" spans="1:5" ht="49.5" x14ac:dyDescent="0.25">
      <c r="A40" s="646" t="s">
        <v>429</v>
      </c>
      <c r="B40" s="681" t="s">
        <v>448</v>
      </c>
      <c r="C40" s="749"/>
      <c r="D40" s="2059" t="s">
        <v>5</v>
      </c>
      <c r="E40" s="2060" t="s">
        <v>5</v>
      </c>
    </row>
    <row r="41" spans="1:5" ht="66" x14ac:dyDescent="0.25">
      <c r="A41" s="647" t="s">
        <v>430</v>
      </c>
      <c r="B41" s="663" t="s">
        <v>434</v>
      </c>
      <c r="C41" s="750"/>
      <c r="D41" s="1986">
        <v>80940869</v>
      </c>
      <c r="E41" s="1987">
        <v>1302401237</v>
      </c>
    </row>
    <row r="42" spans="1:5" ht="66" x14ac:dyDescent="0.25">
      <c r="A42" s="670" t="s">
        <v>441</v>
      </c>
      <c r="B42" s="775" t="s">
        <v>495</v>
      </c>
      <c r="C42" s="751"/>
      <c r="D42" s="2061" t="s">
        <v>5</v>
      </c>
      <c r="E42" s="2062" t="s">
        <v>5</v>
      </c>
    </row>
    <row r="43" spans="1:5" ht="33" x14ac:dyDescent="0.25">
      <c r="A43" s="778" t="s">
        <v>496</v>
      </c>
      <c r="B43" s="763" t="s">
        <v>485</v>
      </c>
      <c r="C43" s="752"/>
      <c r="D43" s="2063">
        <v>0</v>
      </c>
      <c r="E43" s="1988">
        <v>8557614776</v>
      </c>
    </row>
    <row r="44" spans="1:5" ht="49.5" x14ac:dyDescent="0.25">
      <c r="A44" s="648" t="s">
        <v>431</v>
      </c>
      <c r="B44" s="682" t="s">
        <v>449</v>
      </c>
      <c r="C44" s="753"/>
      <c r="D44" s="1989">
        <v>80940869</v>
      </c>
      <c r="E44" s="1990">
        <v>9860016013</v>
      </c>
    </row>
    <row r="45" spans="1:5" ht="33" x14ac:dyDescent="0.25">
      <c r="A45" s="779" t="s">
        <v>497</v>
      </c>
      <c r="B45" s="578" t="s">
        <v>5</v>
      </c>
      <c r="C45" s="754"/>
      <c r="D45" s="2064" t="s">
        <v>5</v>
      </c>
      <c r="E45" s="2065" t="s">
        <v>5</v>
      </c>
    </row>
    <row r="46" spans="1:5" ht="49.5" x14ac:dyDescent="0.25">
      <c r="A46" s="715" t="s">
        <v>459</v>
      </c>
      <c r="B46" s="764" t="s">
        <v>486</v>
      </c>
      <c r="C46" s="755"/>
      <c r="D46" s="2066" t="s">
        <v>5</v>
      </c>
      <c r="E46" s="2067" t="s">
        <v>5</v>
      </c>
    </row>
    <row r="47" spans="1:5" ht="33" x14ac:dyDescent="0.25">
      <c r="A47" s="629" t="s">
        <v>417</v>
      </c>
      <c r="B47" s="683" t="s">
        <v>450</v>
      </c>
      <c r="C47" s="756"/>
      <c r="D47" s="1991">
        <v>6677652485</v>
      </c>
      <c r="E47" s="1992">
        <v>9058190700</v>
      </c>
    </row>
    <row r="48" spans="1:5" ht="66" x14ac:dyDescent="0.25">
      <c r="A48" s="609" t="s">
        <v>409</v>
      </c>
      <c r="B48" s="684" t="s">
        <v>451</v>
      </c>
      <c r="C48" s="618"/>
      <c r="D48" s="2068" t="s">
        <v>5</v>
      </c>
      <c r="E48" s="2069" t="s">
        <v>5</v>
      </c>
    </row>
    <row r="49" spans="1:5" ht="66" x14ac:dyDescent="0.25">
      <c r="A49" s="780" t="s">
        <v>498</v>
      </c>
      <c r="B49" s="666" t="s">
        <v>437</v>
      </c>
      <c r="C49" s="619"/>
      <c r="D49" s="2070" t="s">
        <v>5</v>
      </c>
      <c r="E49" s="2071" t="s">
        <v>5</v>
      </c>
    </row>
    <row r="50" spans="1:5" ht="33" x14ac:dyDescent="0.25">
      <c r="A50" s="630" t="s">
        <v>418</v>
      </c>
      <c r="B50" s="664" t="s">
        <v>435</v>
      </c>
      <c r="C50" s="605"/>
      <c r="D50" s="2072" t="s">
        <v>5</v>
      </c>
      <c r="E50" s="2073" t="s">
        <v>5</v>
      </c>
    </row>
    <row r="51" spans="1:5" ht="49.5" x14ac:dyDescent="0.25">
      <c r="A51" s="610" t="s">
        <v>410</v>
      </c>
      <c r="B51" s="665" t="s">
        <v>436</v>
      </c>
      <c r="C51" s="686"/>
      <c r="D51" s="1993">
        <v>6677652485</v>
      </c>
      <c r="E51" s="1994">
        <v>9058190700</v>
      </c>
    </row>
    <row r="52" spans="1:5" ht="33" x14ac:dyDescent="0.25">
      <c r="A52" s="631" t="s">
        <v>419</v>
      </c>
      <c r="B52" s="594" t="s">
        <v>397</v>
      </c>
      <c r="C52" s="687"/>
      <c r="D52" s="2074" t="s">
        <v>5</v>
      </c>
      <c r="E52" s="2075" t="s">
        <v>5</v>
      </c>
    </row>
    <row r="53" spans="1:5" ht="66" x14ac:dyDescent="0.25">
      <c r="A53" s="724" t="s">
        <v>463</v>
      </c>
      <c r="B53" s="765" t="s">
        <v>487</v>
      </c>
      <c r="C53" s="688"/>
      <c r="D53" s="1995">
        <v>9502445580</v>
      </c>
      <c r="E53" s="1996">
        <v>9978279758</v>
      </c>
    </row>
    <row r="54" spans="1:5" ht="66" x14ac:dyDescent="0.25">
      <c r="A54" s="743" t="s">
        <v>479</v>
      </c>
      <c r="B54" s="721" t="s">
        <v>460</v>
      </c>
      <c r="C54" s="689"/>
      <c r="D54" s="1997">
        <v>-196416189255</v>
      </c>
      <c r="E54" s="1998">
        <v>17987767234</v>
      </c>
    </row>
    <row r="55" spans="1:5" ht="49.5" x14ac:dyDescent="0.25">
      <c r="A55" s="725" t="s">
        <v>464</v>
      </c>
      <c r="B55" s="578" t="s">
        <v>5</v>
      </c>
      <c r="C55" s="690"/>
      <c r="D55" s="2076" t="s">
        <v>5</v>
      </c>
      <c r="E55" s="2077" t="s">
        <v>5</v>
      </c>
    </row>
    <row r="56" spans="1:5" ht="33" x14ac:dyDescent="0.25">
      <c r="A56" s="649" t="s">
        <v>432</v>
      </c>
      <c r="B56" s="722" t="s">
        <v>461</v>
      </c>
      <c r="C56" s="691"/>
      <c r="D56" s="2078">
        <v>0</v>
      </c>
      <c r="E56" s="2079">
        <v>52309091</v>
      </c>
    </row>
    <row r="57" spans="1:5" ht="33" x14ac:dyDescent="0.25">
      <c r="A57" s="726" t="s">
        <v>465</v>
      </c>
      <c r="B57" s="685" t="s">
        <v>452</v>
      </c>
      <c r="C57" s="692"/>
      <c r="D57" s="2080">
        <v>326960219</v>
      </c>
      <c r="E57" s="2081">
        <v>177500000</v>
      </c>
    </row>
    <row r="58" spans="1:5" ht="49.5" x14ac:dyDescent="0.25">
      <c r="A58" s="628" t="s">
        <v>416</v>
      </c>
      <c r="B58" s="782" t="s">
        <v>500</v>
      </c>
      <c r="C58" s="693"/>
      <c r="D58" s="2082">
        <v>-326960219</v>
      </c>
      <c r="E58" s="2083">
        <v>-125190909</v>
      </c>
    </row>
    <row r="59" spans="1:5" ht="66" x14ac:dyDescent="0.25">
      <c r="A59" s="606" t="s">
        <v>406</v>
      </c>
      <c r="B59" s="783" t="s">
        <v>501</v>
      </c>
      <c r="C59" s="694"/>
      <c r="D59" s="2084">
        <v>-196743149474</v>
      </c>
      <c r="E59" s="2085">
        <v>17862576325</v>
      </c>
    </row>
    <row r="60" spans="1:5" ht="33" x14ac:dyDescent="0.25">
      <c r="A60" s="697" t="s">
        <v>453</v>
      </c>
      <c r="B60" s="595" t="s">
        <v>398</v>
      </c>
      <c r="C60" s="695"/>
      <c r="D60" s="2086">
        <v>-14851432560</v>
      </c>
      <c r="E60" s="2087">
        <v>-19579782392</v>
      </c>
    </row>
    <row r="61" spans="1:5" ht="33" x14ac:dyDescent="0.25">
      <c r="A61" s="611" t="s">
        <v>411</v>
      </c>
      <c r="B61" s="667" t="s">
        <v>438</v>
      </c>
      <c r="C61" s="696"/>
      <c r="D61" s="2088">
        <v>-181891716914</v>
      </c>
      <c r="E61" s="2089">
        <v>37442358717</v>
      </c>
    </row>
    <row r="62" spans="1:5" ht="33" x14ac:dyDescent="0.25">
      <c r="A62" s="676" t="s">
        <v>445</v>
      </c>
      <c r="B62" s="766" t="s">
        <v>488</v>
      </c>
      <c r="C62" s="698"/>
      <c r="D62" s="2090">
        <v>-39257099913</v>
      </c>
      <c r="E62" s="2091">
        <v>7488471743.4000006</v>
      </c>
    </row>
    <row r="63" spans="1:5" ht="49.5" x14ac:dyDescent="0.25">
      <c r="A63" s="632" t="s">
        <v>420</v>
      </c>
      <c r="B63" s="596" t="s">
        <v>399</v>
      </c>
      <c r="C63" s="699"/>
      <c r="D63" s="2092" t="s">
        <v>5</v>
      </c>
      <c r="E63" s="2093" t="s">
        <v>5</v>
      </c>
    </row>
    <row r="64" spans="1:5" ht="49.5" x14ac:dyDescent="0.25">
      <c r="A64" s="727" t="s">
        <v>466</v>
      </c>
      <c r="B64" s="723" t="s">
        <v>462</v>
      </c>
      <c r="C64" s="700"/>
      <c r="D64" s="1999">
        <v>-39257099913</v>
      </c>
      <c r="E64" s="2000">
        <v>7488471743</v>
      </c>
    </row>
    <row r="65" spans="1:5" ht="66" x14ac:dyDescent="0.25">
      <c r="A65" s="729" t="s">
        <v>468</v>
      </c>
      <c r="B65" s="767" t="s">
        <v>90</v>
      </c>
      <c r="C65" s="701"/>
      <c r="D65" s="2001">
        <v>-157486049561</v>
      </c>
      <c r="E65" s="2002">
        <v>10374104582</v>
      </c>
    </row>
    <row r="66" spans="1:5" ht="66" x14ac:dyDescent="0.25">
      <c r="A66" s="633" t="s">
        <v>421</v>
      </c>
      <c r="B66" s="784" t="s">
        <v>258</v>
      </c>
      <c r="C66" s="702"/>
      <c r="D66" s="2094" t="s">
        <v>5</v>
      </c>
      <c r="E66" s="2095" t="s">
        <v>5</v>
      </c>
    </row>
    <row r="67" spans="1:5" ht="66" x14ac:dyDescent="0.25">
      <c r="A67" s="730" t="s">
        <v>469</v>
      </c>
      <c r="B67" s="597" t="s">
        <v>400</v>
      </c>
      <c r="C67" s="703"/>
      <c r="D67" s="2096" t="s">
        <v>5</v>
      </c>
      <c r="E67" s="2097" t="s">
        <v>5</v>
      </c>
    </row>
    <row r="68" spans="1:5" ht="66" x14ac:dyDescent="0.25">
      <c r="A68" s="771" t="s">
        <v>492</v>
      </c>
      <c r="B68" s="668" t="s">
        <v>439</v>
      </c>
      <c r="C68" s="704"/>
      <c r="D68" s="2098" t="s">
        <v>5</v>
      </c>
      <c r="E68" s="2099" t="s">
        <v>5</v>
      </c>
    </row>
    <row r="69" spans="1:5" ht="66" x14ac:dyDescent="0.25">
      <c r="A69" s="612" t="s">
        <v>412</v>
      </c>
      <c r="B69" s="768" t="s">
        <v>489</v>
      </c>
      <c r="C69" s="705"/>
      <c r="D69" s="2100" t="s">
        <v>5</v>
      </c>
      <c r="E69" s="2101" t="s">
        <v>5</v>
      </c>
    </row>
    <row r="70" spans="1:5" ht="33" x14ac:dyDescent="0.25">
      <c r="A70" s="634" t="s">
        <v>422</v>
      </c>
      <c r="B70" s="709" t="s">
        <v>454</v>
      </c>
      <c r="C70" s="706"/>
      <c r="D70" s="2102" t="s">
        <v>5</v>
      </c>
      <c r="E70" s="2103" t="s">
        <v>5</v>
      </c>
    </row>
    <row r="71" spans="1:5" ht="49.5" x14ac:dyDescent="0.25">
      <c r="A71" s="737" t="s">
        <v>476</v>
      </c>
      <c r="B71" s="785" t="s">
        <v>274</v>
      </c>
      <c r="C71" s="707"/>
      <c r="D71" s="2104" t="s">
        <v>5</v>
      </c>
      <c r="E71" s="2105" t="s">
        <v>5</v>
      </c>
    </row>
    <row r="72" spans="1:5" ht="82.5" x14ac:dyDescent="0.25">
      <c r="A72" s="613" t="s">
        <v>413</v>
      </c>
      <c r="B72" s="598" t="s">
        <v>401</v>
      </c>
      <c r="C72" s="708"/>
      <c r="D72" s="2106" t="s">
        <v>5</v>
      </c>
      <c r="E72" s="2107" t="s">
        <v>5</v>
      </c>
    </row>
    <row r="73" spans="1:5" ht="66" x14ac:dyDescent="0.25">
      <c r="A73" s="671" t="s">
        <v>442</v>
      </c>
      <c r="B73" s="786" t="s">
        <v>502</v>
      </c>
      <c r="C73" s="642"/>
      <c r="D73" s="2108" t="s">
        <v>5</v>
      </c>
      <c r="E73" s="2109" t="s">
        <v>5</v>
      </c>
    </row>
    <row r="74" spans="1:5" ht="49.5" x14ac:dyDescent="0.25">
      <c r="A74" s="582" t="s">
        <v>392</v>
      </c>
      <c r="B74" s="781" t="s">
        <v>499</v>
      </c>
      <c r="C74" s="643"/>
      <c r="D74" s="2110" t="s">
        <v>5</v>
      </c>
      <c r="E74" s="2111" t="s">
        <v>5</v>
      </c>
    </row>
  </sheetData>
  <mergeCells count="3">
    <mergeCell ref="A1:E1"/>
    <mergeCell ref="A2:E2"/>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E74"/>
  <sheetViews>
    <sheetView workbookViewId="0"/>
  </sheetViews>
  <sheetFormatPr defaultRowHeight="15" x14ac:dyDescent="0.25"/>
  <cols>
    <col min="1" max="1" width="1" style="437" bestFit="1" customWidth="1"/>
    <col min="2" max="5" width="1" bestFit="1" customWidth="1"/>
  </cols>
  <sheetData>
    <row r="5" spans="1:5" x14ac:dyDescent="0.25">
      <c r="A5" t="str">
        <f>CONCATENATE(617267,",",ROW(BCKQHDR_06610!A5),"|",COLUMN(BCKQHDR_06610!A5),",0",",0")</f>
        <v>617267,5|1,0,0</v>
      </c>
      <c r="B5" t="str">
        <f>CONCATENATE(617114,",",ROW(BCKQHDR_06610!B5),"|",COLUMN(BCKQHDR_06610!B5),",0",",0")</f>
        <v>617114,5|2,0,0</v>
      </c>
      <c r="C5" t="str">
        <f>CONCATENATE(617245,",",ROW(BCKQHDR_06610!C5),"|",COLUMN(BCKQHDR_06610!C5),",0",",0")</f>
        <v>617245,5|3,0,0</v>
      </c>
      <c r="D5" t="str">
        <f>CONCATENATE(617115,",",ROW(BCKQHDR_06610!D5),"|",COLUMN(BCKQHDR_06610!D5),",0",",0")</f>
        <v>617115,5|4,0,0</v>
      </c>
      <c r="E5" t="str">
        <f>CONCATENATE(617246,",",ROW(BCKQHDR_06610!E5),"|",COLUMN(BCKQHDR_06610!E5),",0",",0")</f>
        <v>617246,5|5,0,0</v>
      </c>
    </row>
    <row r="6" spans="1:5" x14ac:dyDescent="0.25">
      <c r="A6" t="str">
        <f>CONCATENATE(617387,",",ROW(BCKQHDR_06610!A6),"|",COLUMN(BCKQHDR_06610!A6),",0",",0")</f>
        <v>617387,6|1,0,0</v>
      </c>
      <c r="B6" t="str">
        <f>CONCATENATE(617251,",",ROW(BCKQHDR_06610!B6),"|",COLUMN(BCKQHDR_06610!B6),",0",",0")</f>
        <v>617251,6|2,0,0</v>
      </c>
      <c r="C6" t="str">
        <f>CONCATENATE(617191,",",ROW(BCKQHDR_06610!C6),"|",COLUMN(BCKQHDR_06610!C6),",0",",0")</f>
        <v>617191,6|3,0,0</v>
      </c>
      <c r="D6" t="str">
        <f>CONCATENATE(617077,",",ROW(BCKQHDR_06610!D6),"|",COLUMN(BCKQHDR_06610!D6),",0",",0")</f>
        <v>617077,6|4,0,0</v>
      </c>
      <c r="E6" t="str">
        <f>CONCATENATE(617178,",",ROW(BCKQHDR_06610!E6),"|",COLUMN(BCKQHDR_06610!E6),",0",",0")</f>
        <v>617178,6|5,0,0</v>
      </c>
    </row>
    <row r="7" spans="1:5" x14ac:dyDescent="0.25">
      <c r="A7" t="str">
        <f>CONCATENATE(617247,",",ROW(BCKQHDR_06610!A7),"|",COLUMN(BCKQHDR_06610!A7),",0",",0")</f>
        <v>617247,7|1,0,0</v>
      </c>
      <c r="B7" t="str">
        <f>CONCATENATE(617172,",",ROW(BCKQHDR_06610!B7),"|",COLUMN(BCKQHDR_06610!B7),",0",",0")</f>
        <v>617172,7|2,0,0</v>
      </c>
      <c r="C7" t="str">
        <f>CONCATENATE(617131,",",ROW(BCKQHDR_06610!C7),"|",COLUMN(BCKQHDR_06610!C7),",0",",0")</f>
        <v>617131,7|3,0,0</v>
      </c>
      <c r="D7" t="str">
        <f>CONCATENATE(617313,",",ROW(BCKQHDR_06610!D7),"|",COLUMN(BCKQHDR_06610!D7),",0",",0")</f>
        <v>617313,7|4,0,0</v>
      </c>
      <c r="E7" t="str">
        <f>CONCATENATE(617287,",",ROW(BCKQHDR_06610!E7),"|",COLUMN(BCKQHDR_06610!E7),",0",",0")</f>
        <v>617287,7|5,0,0</v>
      </c>
    </row>
    <row r="8" spans="1:5" x14ac:dyDescent="0.25">
      <c r="A8" t="str">
        <f>CONCATENATE(617165,",",ROW(BCKQHDR_06610!A8),"|",COLUMN(BCKQHDR_06610!A8),",0",",0")</f>
        <v>617165,8|1,0,0</v>
      </c>
      <c r="B8" t="str">
        <f>CONCATENATE(617173,",",ROW(BCKQHDR_06610!B8),"|",COLUMN(BCKQHDR_06610!B8),",0",",0")</f>
        <v>617173,8|2,0,0</v>
      </c>
      <c r="C8" t="str">
        <f>CONCATENATE(617232,",",ROW(BCKQHDR_06610!C8),"|",COLUMN(BCKQHDR_06610!C8),",0",",0")</f>
        <v>617232,8|3,0,0</v>
      </c>
      <c r="D8" t="str">
        <f>CONCATENATE(617314,",",ROW(BCKQHDR_06610!D8),"|",COLUMN(BCKQHDR_06610!D8),",0",",0")</f>
        <v>617314,8|4,0,0</v>
      </c>
      <c r="E8" t="str">
        <f>CONCATENATE(617288,",",ROW(BCKQHDR_06610!E8),"|",COLUMN(BCKQHDR_06610!E8),",0",",0")</f>
        <v>617288,8|5,0,0</v>
      </c>
    </row>
    <row r="9" spans="1:5" x14ac:dyDescent="0.25">
      <c r="A9" t="str">
        <f>CONCATENATE(617388,",",ROW(BCKQHDR_06610!A9),"|",COLUMN(BCKQHDR_06610!A9),",0",",0")</f>
        <v>617388,9|1,0,0</v>
      </c>
      <c r="B9" t="str">
        <f>CONCATENATE(617337,",",ROW(BCKQHDR_06610!B9),"|",COLUMN(BCKQHDR_06610!B9),",0",",0")</f>
        <v>617337,9|2,0,0</v>
      </c>
      <c r="C9" t="str">
        <f>CONCATENATE(617233,",",ROW(BCKQHDR_06610!C9),"|",COLUMN(BCKQHDR_06610!C9),",0",",0")</f>
        <v>617233,9|3,0,0</v>
      </c>
      <c r="D9" t="str">
        <f>CONCATENATE(617315,",",ROW(BCKQHDR_06610!D9),"|",COLUMN(BCKQHDR_06610!D9),",0",",0")</f>
        <v>617315,9|4,0,0</v>
      </c>
      <c r="E9" t="str">
        <f>CONCATENATE(617289,",",ROW(BCKQHDR_06610!E9),"|",COLUMN(BCKQHDR_06610!E9),",0",",0")</f>
        <v>617289,9|5,0,0</v>
      </c>
    </row>
    <row r="10" spans="1:5" x14ac:dyDescent="0.25">
      <c r="A10" t="str">
        <f>CONCATENATE(617268,",",ROW(BCKQHDR_06610!A10),"|",COLUMN(BCKQHDR_06610!A10),",0",",0")</f>
        <v>617268,10|1,0,0</v>
      </c>
      <c r="B10" t="str">
        <f>CONCATENATE(617354,",",ROW(BCKQHDR_06610!B10),"|",COLUMN(BCKQHDR_06610!B10),",0",",0")</f>
        <v>617354,10|2,0,0</v>
      </c>
      <c r="C10" t="str">
        <f>CONCATENATE(617272,",",ROW(BCKQHDR_06610!C10),"|",COLUMN(BCKQHDR_06610!C10),",0",",0")</f>
        <v>617272,10|3,0,0</v>
      </c>
      <c r="D10" t="str">
        <f>CONCATENATE(617316,",",ROW(BCKQHDR_06610!D10),"|",COLUMN(BCKQHDR_06610!D10),",0",",0")</f>
        <v>617316,10|4,0,0</v>
      </c>
      <c r="E10" t="str">
        <f>CONCATENATE(617290,",",ROW(BCKQHDR_06610!E10),"|",COLUMN(BCKQHDR_06610!E10),",0",",0")</f>
        <v>617290,10|5,0,0</v>
      </c>
    </row>
    <row r="11" spans="1:5" x14ac:dyDescent="0.25">
      <c r="A11" t="str">
        <f>CONCATENATE(617166,",",ROW(BCKQHDR_06610!A11),"|",COLUMN(BCKQHDR_06610!A11),",0",",0")</f>
        <v>617166,11|1,0,0</v>
      </c>
      <c r="B11" t="str">
        <f>CONCATENATE(617349,",",ROW(BCKQHDR_06610!B11),"|",COLUMN(BCKQHDR_06610!B11),",0",",0")</f>
        <v>617349,11|2,0,0</v>
      </c>
      <c r="C11" t="str">
        <f>CONCATENATE(617075,",",ROW(BCKQHDR_06610!C11),"|",COLUMN(BCKQHDR_06610!C11),",0",",0")</f>
        <v>617075,11|3,0,0</v>
      </c>
      <c r="D11" t="str">
        <f>CONCATENATE(617317,",",ROW(BCKQHDR_06610!D11),"|",COLUMN(BCKQHDR_06610!D11),",0",",0")</f>
        <v>617317,11|4,0,0</v>
      </c>
      <c r="E11" t="str">
        <f>CONCATENATE(617291,",",ROW(BCKQHDR_06610!E11),"|",COLUMN(BCKQHDR_06610!E11),",0",",0")</f>
        <v>617291,11|5,0,0</v>
      </c>
    </row>
    <row r="12" spans="1:5" x14ac:dyDescent="0.25">
      <c r="A12" t="str">
        <f>CONCATENATE(617228,",",ROW(BCKQHDR_06610!A12),"|",COLUMN(BCKQHDR_06610!A12),",0",",0")</f>
        <v>617228,12|1,0,0</v>
      </c>
      <c r="B12" t="str">
        <f>CONCATENATE(617174,",",ROW(BCKQHDR_06610!B12),"|",COLUMN(BCKQHDR_06610!B12),",0",",0")</f>
        <v>617174,12|2,0,0</v>
      </c>
      <c r="C12" t="str">
        <f>CONCATENATE(617080,",",ROW(BCKQHDR_06610!C12),"|",COLUMN(BCKQHDR_06610!C12),",0",",0")</f>
        <v>617080,12|3,0,0</v>
      </c>
      <c r="D12" t="str">
        <f>CONCATENATE(617318,",",ROW(BCKQHDR_06610!D12),"|",COLUMN(BCKQHDR_06610!D12),",0",",0")</f>
        <v>617318,12|4,0,0</v>
      </c>
      <c r="E12" t="str">
        <f>CONCATENATE(617292,",",ROW(BCKQHDR_06610!E12),"|",COLUMN(BCKQHDR_06610!E12),",0",",0")</f>
        <v>617292,12|5,0,0</v>
      </c>
    </row>
    <row r="13" spans="1:5" x14ac:dyDescent="0.25">
      <c r="A13" t="str">
        <f>CONCATENATE(617248,",",ROW(BCKQHDR_06610!A13),"|",COLUMN(BCKQHDR_06610!A13),",0",",0")</f>
        <v>617248,13|1,0,0</v>
      </c>
      <c r="B13" t="str">
        <f>CONCATENATE(617175,",",ROW(BCKQHDR_06610!B13),"|",COLUMN(BCKQHDR_06610!B13),",0",",0")</f>
        <v>617175,13|2,0,0</v>
      </c>
      <c r="C13" t="str">
        <f>CONCATENATE(617081,",",ROW(BCKQHDR_06610!C13),"|",COLUMN(BCKQHDR_06610!C13),",0",",0")</f>
        <v>617081,13|3,0,0</v>
      </c>
      <c r="D13" t="str">
        <f>CONCATENATE(617319,",",ROW(BCKQHDR_06610!D13),"|",COLUMN(BCKQHDR_06610!D13),",0",",0")</f>
        <v>617319,13|4,0,0</v>
      </c>
      <c r="E13" t="str">
        <f>CONCATENATE(617293,",",ROW(BCKQHDR_06610!E13),"|",COLUMN(BCKQHDR_06610!E13),",0",",0")</f>
        <v>617293,13|5,0,0</v>
      </c>
    </row>
    <row r="14" spans="1:5" x14ac:dyDescent="0.25">
      <c r="A14" t="str">
        <f>CONCATENATE(617249,",",ROW(BCKQHDR_06610!A14),"|",COLUMN(BCKQHDR_06610!A14),",0",",0")</f>
        <v>617249,14|1,0,0</v>
      </c>
      <c r="B14" t="str">
        <f>CONCATENATE(617355,",",ROW(BCKQHDR_06610!B14),"|",COLUMN(BCKQHDR_06610!B14),",0",",0")</f>
        <v>617355,14|2,0,0</v>
      </c>
      <c r="C14" t="str">
        <f>CONCATENATE(617082,",",ROW(BCKQHDR_06610!C14),"|",COLUMN(BCKQHDR_06610!C14),",0",",0")</f>
        <v>617082,14|3,0,0</v>
      </c>
      <c r="D14" t="str">
        <f>CONCATENATE(617124,",",ROW(BCKQHDR_06610!D14),"|",COLUMN(BCKQHDR_06610!D14),",0",",0")</f>
        <v>617124,14|4,0,0</v>
      </c>
      <c r="E14" t="str">
        <f>CONCATENATE(617294,",",ROW(BCKQHDR_06610!E14),"|",COLUMN(BCKQHDR_06610!E14),",0",",0")</f>
        <v>617294,14|5,0,0</v>
      </c>
    </row>
    <row r="15" spans="1:5" x14ac:dyDescent="0.25">
      <c r="A15" t="str">
        <f>CONCATENATE(617389,",",ROW(BCKQHDR_06610!A15),"|",COLUMN(BCKQHDR_06610!A15),",0",",0")</f>
        <v>617389,15|1,0,0</v>
      </c>
      <c r="B15" t="str">
        <f>CONCATENATE(617252,",",ROW(BCKQHDR_06610!B15),"|",COLUMN(BCKQHDR_06610!B15),",0",",0")</f>
        <v>617252,15|2,0,0</v>
      </c>
      <c r="C15" t="str">
        <f>CONCATENATE(617083,",",ROW(BCKQHDR_06610!C15),"|",COLUMN(BCKQHDR_06610!C15),",0",",0")</f>
        <v>617083,15|3,0,0</v>
      </c>
      <c r="D15" t="str">
        <f>CONCATENATE(617125,",",ROW(BCKQHDR_06610!D15),"|",COLUMN(BCKQHDR_06610!D15),",0",",0")</f>
        <v>617125,15|4,0,0</v>
      </c>
      <c r="E15" t="str">
        <f>CONCATENATE(617295,",",ROW(BCKQHDR_06610!E15),"|",COLUMN(BCKQHDR_06610!E15),",0",",0")</f>
        <v>617295,15|5,0,0</v>
      </c>
    </row>
    <row r="16" spans="1:5" x14ac:dyDescent="0.25">
      <c r="A16" t="str">
        <f>CONCATENATE(617162,",",ROW(BCKQHDR_06610!A16),"|",COLUMN(BCKQHDR_06610!A16),",0",",0")</f>
        <v>617162,16|1,0,0</v>
      </c>
      <c r="B16" t="str">
        <f>CONCATENATE(617338,",",ROW(BCKQHDR_06610!B16),"|",COLUMN(BCKQHDR_06610!B16),",0",",0")</f>
        <v>617338,16|2,0,0</v>
      </c>
      <c r="C16" t="str">
        <f>CONCATENATE(617084,",",ROW(BCKQHDR_06610!C16),"|",COLUMN(BCKQHDR_06610!C16),",0",",0")</f>
        <v>617084,16|3,0,0</v>
      </c>
      <c r="D16" t="str">
        <f>CONCATENATE(617126,",",ROW(BCKQHDR_06610!D16),"|",COLUMN(BCKQHDR_06610!D16),",0",",0")</f>
        <v>617126,16|4,0,0</v>
      </c>
      <c r="E16" t="str">
        <f>CONCATENATE(617296,",",ROW(BCKQHDR_06610!E16),"|",COLUMN(BCKQHDR_06610!E16),",0",",0")</f>
        <v>617296,16|5,0,0</v>
      </c>
    </row>
    <row r="17" spans="1:5" x14ac:dyDescent="0.25">
      <c r="A17" t="str">
        <f>CONCATENATE(617390,",",ROW(BCKQHDR_06610!A17),"|",COLUMN(BCKQHDR_06610!A17),",0",",0")</f>
        <v>617390,17|1,0,0</v>
      </c>
      <c r="B17" t="str">
        <f>CONCATENATE(617253,",",ROW(BCKQHDR_06610!B17),"|",COLUMN(BCKQHDR_06610!B17),",0",",0")</f>
        <v>617253,17|2,0,0</v>
      </c>
      <c r="C17" t="str">
        <f>CONCATENATE(617085,",",ROW(BCKQHDR_06610!C17),"|",COLUMN(BCKQHDR_06610!C17),",0",",0")</f>
        <v>617085,17|3,0,0</v>
      </c>
      <c r="D17" t="str">
        <f>CONCATENATE(617127,",",ROW(BCKQHDR_06610!D17),"|",COLUMN(BCKQHDR_06610!D17),",0",",0")</f>
        <v>617127,17|4,0,0</v>
      </c>
      <c r="E17" t="str">
        <f>CONCATENATE(617053,",",ROW(BCKQHDR_06610!E17),"|",COLUMN(BCKQHDR_06610!E17),",0",",0")</f>
        <v>617053,17|5,0,0</v>
      </c>
    </row>
    <row r="18" spans="1:5" x14ac:dyDescent="0.25">
      <c r="A18" t="str">
        <f>CONCATENATE(617116,",",ROW(BCKQHDR_06610!A18),"|",COLUMN(BCKQHDR_06610!A18),",0",",0")</f>
        <v>617116,18|1,0,0</v>
      </c>
      <c r="B18" t="str">
        <f>CONCATENATE(617254,",",ROW(BCKQHDR_06610!B18),"|",COLUMN(BCKQHDR_06610!B18),",0",",0")</f>
        <v>617254,18|2,0,0</v>
      </c>
      <c r="C18" t="str">
        <f>CONCATENATE(617086,",",ROW(BCKQHDR_06610!C18),"|",COLUMN(BCKQHDR_06610!C18),",0",",0")</f>
        <v>617086,18|3,0,0</v>
      </c>
      <c r="D18" t="str">
        <f>CONCATENATE(617128,",",ROW(BCKQHDR_06610!D18),"|",COLUMN(BCKQHDR_06610!D18),",0",",0")</f>
        <v>617128,18|4,0,0</v>
      </c>
      <c r="E18" t="str">
        <f>CONCATENATE(617054,",",ROW(BCKQHDR_06610!E18),"|",COLUMN(BCKQHDR_06610!E18),",0",",0")</f>
        <v>617054,18|5,0,0</v>
      </c>
    </row>
    <row r="19" spans="1:5" x14ac:dyDescent="0.25">
      <c r="A19" t="str">
        <f>CONCATENATE(617117,",",ROW(BCKQHDR_06610!A19),"|",COLUMN(BCKQHDR_06610!A19),",0",",0")</f>
        <v>617117,19|1,0,0</v>
      </c>
      <c r="B19" t="str">
        <f>CONCATENATE(617350,",",ROW(BCKQHDR_06610!B19),"|",COLUMN(BCKQHDR_06610!B19),",0",",0")</f>
        <v>617350,19|2,0,0</v>
      </c>
      <c r="C19" t="str">
        <f>CONCATENATE(617087,",",ROW(BCKQHDR_06610!C19),"|",COLUMN(BCKQHDR_06610!C19),",0",",0")</f>
        <v>617087,19|3,0,0</v>
      </c>
      <c r="D19" t="str">
        <f>CONCATENATE(617320,",",ROW(BCKQHDR_06610!D19),"|",COLUMN(BCKQHDR_06610!D19),",0",",0")</f>
        <v>617320,19|4,0,0</v>
      </c>
      <c r="E19" t="str">
        <f>CONCATENATE(617055,",",ROW(BCKQHDR_06610!E19),"|",COLUMN(BCKQHDR_06610!E19),",0",",0")</f>
        <v>617055,19|5,0,0</v>
      </c>
    </row>
    <row r="20" spans="1:5" x14ac:dyDescent="0.25">
      <c r="A20" t="str">
        <f>CONCATENATE(617167,",",ROW(BCKQHDR_06610!A20),"|",COLUMN(BCKQHDR_06610!A20),",0",",0")</f>
        <v>617167,20|1,0,0</v>
      </c>
      <c r="B20" t="str">
        <f>CONCATENATE(617214,",",ROW(BCKQHDR_06610!B20),"|",COLUMN(BCKQHDR_06610!B20),",0",",0")</f>
        <v>617214,20|2,0,0</v>
      </c>
      <c r="C20" t="str">
        <f>CONCATENATE(617137,",",ROW(BCKQHDR_06610!C20),"|",COLUMN(BCKQHDR_06610!C20),",0",",0")</f>
        <v>617137,20|3,0,0</v>
      </c>
      <c r="D20" t="str">
        <f>CONCATENATE(617321,",",ROW(BCKQHDR_06610!D20),"|",COLUMN(BCKQHDR_06610!D20),",0",",0")</f>
        <v>617321,20|4,0,0</v>
      </c>
      <c r="E20" t="str">
        <f>CONCATENATE(617056,",",ROW(BCKQHDR_06610!E20),"|",COLUMN(BCKQHDR_06610!E20),",0",",0")</f>
        <v>617056,20|5,0,0</v>
      </c>
    </row>
    <row r="21" spans="1:5" x14ac:dyDescent="0.25">
      <c r="A21" t="str">
        <f>CONCATENATE(617200,",",ROW(BCKQHDR_06610!A21),"|",COLUMN(BCKQHDR_06610!A21),",0",",0")</f>
        <v>617200,21|1,0,0</v>
      </c>
      <c r="B21" t="str">
        <f>CONCATENATE(617351,",",ROW(BCKQHDR_06610!B21),"|",COLUMN(BCKQHDR_06610!B21),",0",",0")</f>
        <v>617351,21|2,0,0</v>
      </c>
      <c r="C21" t="str">
        <f>CONCATENATE(617138,",",ROW(BCKQHDR_06610!C21),"|",COLUMN(BCKQHDR_06610!C21),",0",",0")</f>
        <v>617138,21|3,0,0</v>
      </c>
      <c r="D21" t="str">
        <f>CONCATENATE(617322,",",ROW(BCKQHDR_06610!D21),"|",COLUMN(BCKQHDR_06610!D21),",0",",0")</f>
        <v>617322,21|4,0,0</v>
      </c>
      <c r="E21" t="str">
        <f>CONCATENATE(617057,",",ROW(BCKQHDR_06610!E21),"|",COLUMN(BCKQHDR_06610!E21),",0",",0")</f>
        <v>617057,21|5,0,0</v>
      </c>
    </row>
    <row r="22" spans="1:5" x14ac:dyDescent="0.25">
      <c r="A22" t="str">
        <f>CONCATENATE(617118,",",ROW(BCKQHDR_06610!A22),"|",COLUMN(BCKQHDR_06610!A22),",0",",0")</f>
        <v>617118,22|1,0,0</v>
      </c>
      <c r="B22" t="s">
        <v>5</v>
      </c>
      <c r="C22" t="str">
        <f>CONCATENATE(617139,",",ROW(BCKQHDR_06610!C22),"|",COLUMN(BCKQHDR_06610!C22),",0",",0")</f>
        <v>617139,22|3,0,0</v>
      </c>
      <c r="D22" t="str">
        <f>CONCATENATE(617323,",",ROW(BCKQHDR_06610!D22),"|",COLUMN(BCKQHDR_06610!D22),",0",",0")</f>
        <v>617323,22|4,0,0</v>
      </c>
      <c r="E22" t="str">
        <f>CONCATENATE(617058,",",ROW(BCKQHDR_06610!E22),"|",COLUMN(BCKQHDR_06610!E22),",0",",0")</f>
        <v>617058,22|5,0,0</v>
      </c>
    </row>
    <row r="23" spans="1:5" x14ac:dyDescent="0.25">
      <c r="A23" t="str">
        <f>CONCATENATE(617119,",",ROW(BCKQHDR_06610!A23),"|",COLUMN(BCKQHDR_06610!A23),",0",",0")</f>
        <v>617119,23|1,0,0</v>
      </c>
      <c r="B23" t="str">
        <f>CONCATENATE(617215,",",ROW(BCKQHDR_06610!B23),"|",COLUMN(BCKQHDR_06610!B23),",0",",0")</f>
        <v>617215,23|2,0,0</v>
      </c>
      <c r="C23" t="str">
        <f>CONCATENATE(617140,",",ROW(BCKQHDR_06610!C23),"|",COLUMN(BCKQHDR_06610!C23),",0",",0")</f>
        <v>617140,23|3,0,0</v>
      </c>
      <c r="D23" t="str">
        <f>CONCATENATE(617324,",",ROW(BCKQHDR_06610!D23),"|",COLUMN(BCKQHDR_06610!D23),",0",",0")</f>
        <v>617324,23|4,0,0</v>
      </c>
      <c r="E23" t="str">
        <f>CONCATENATE(617059,",",ROW(BCKQHDR_06610!E23),"|",COLUMN(BCKQHDR_06610!E23),",0",",0")</f>
        <v>617059,23|5,0,0</v>
      </c>
    </row>
    <row r="24" spans="1:5" x14ac:dyDescent="0.25">
      <c r="A24" t="str">
        <f>CONCATENATE(617201,",",ROW(BCKQHDR_06610!A24),"|",COLUMN(BCKQHDR_06610!A24),",0",",0")</f>
        <v>617201,24|1,0,0</v>
      </c>
      <c r="B24" t="str">
        <f>CONCATENATE(617216,",",ROW(BCKQHDR_06610!B24),"|",COLUMN(BCKQHDR_06610!B24),",0",",0")</f>
        <v>617216,24|2,0,0</v>
      </c>
      <c r="C24" t="str">
        <f>CONCATENATE(617141,",",ROW(BCKQHDR_06610!C24),"|",COLUMN(BCKQHDR_06610!C24),",0",",0")</f>
        <v>617141,24|3,0,0</v>
      </c>
      <c r="D24" t="str">
        <f>CONCATENATE(617325,",",ROW(BCKQHDR_06610!D24),"|",COLUMN(BCKQHDR_06610!D24),",0",",0")</f>
        <v>617325,24|4,0,0</v>
      </c>
      <c r="E24" t="str">
        <f>CONCATENATE(617060,",",ROW(BCKQHDR_06610!E24),"|",COLUMN(BCKQHDR_06610!E24),",0",",0")</f>
        <v>617060,24|5,0,0</v>
      </c>
    </row>
    <row r="25" spans="1:5" x14ac:dyDescent="0.25">
      <c r="A25" t="str">
        <f>CONCATENATE(617330,",",ROW(BCKQHDR_06610!A25),"|",COLUMN(BCKQHDR_06610!A25),",0",",0")</f>
        <v>617330,25|1,0,0</v>
      </c>
      <c r="B25" t="str">
        <f>CONCATENATE(617255,",",ROW(BCKQHDR_06610!B25),"|",COLUMN(BCKQHDR_06610!B25),",0",",0")</f>
        <v>617255,25|2,0,0</v>
      </c>
      <c r="C25" t="str">
        <f>CONCATENATE(617142,",",ROW(BCKQHDR_06610!C25),"|",COLUMN(BCKQHDR_06610!C25),",0",",0")</f>
        <v>617142,25|3,0,0</v>
      </c>
      <c r="D25" t="str">
        <f>CONCATENATE(617326,",",ROW(BCKQHDR_06610!D25),"|",COLUMN(BCKQHDR_06610!D25),",0",",0")</f>
        <v>617326,25|4,0,0</v>
      </c>
      <c r="E25" t="str">
        <f>CONCATENATE(617061,",",ROW(BCKQHDR_06610!E25),"|",COLUMN(BCKQHDR_06610!E25),",0",",0")</f>
        <v>617061,25|5,0,0</v>
      </c>
    </row>
    <row r="26" spans="1:5" x14ac:dyDescent="0.25">
      <c r="A26" t="str">
        <f>CONCATENATE(617168,",",ROW(BCKQHDR_06610!A26),"|",COLUMN(BCKQHDR_06610!A26),",0",",0")</f>
        <v>617168,26|1,0,0</v>
      </c>
      <c r="B26" t="str">
        <f>CONCATENATE(617256,",",ROW(BCKQHDR_06610!B26),"|",COLUMN(BCKQHDR_06610!B26),",0",",0")</f>
        <v>617256,26|2,0,0</v>
      </c>
      <c r="C26" t="str">
        <f>CONCATENATE(617143,",",ROW(BCKQHDR_06610!C26),"|",COLUMN(BCKQHDR_06610!C26),",0",",0")</f>
        <v>617143,26|3,0,0</v>
      </c>
      <c r="D26" t="str">
        <f>CONCATENATE(617327,",",ROW(BCKQHDR_06610!D26),"|",COLUMN(BCKQHDR_06610!D26),",0",",0")</f>
        <v>617327,26|4,0,0</v>
      </c>
      <c r="E26" t="str">
        <f>CONCATENATE(617062,",",ROW(BCKQHDR_06610!E26),"|",COLUMN(BCKQHDR_06610!E26),",0",",0")</f>
        <v>617062,26|5,0,0</v>
      </c>
    </row>
    <row r="27" spans="1:5" x14ac:dyDescent="0.25">
      <c r="A27" t="str">
        <f>CONCATENATE(617212,",",ROW(BCKQHDR_06610!A27),"|",COLUMN(BCKQHDR_06610!A27),",0",",0")</f>
        <v>617212,27|1,0,0</v>
      </c>
      <c r="B27" t="str">
        <f>CONCATENATE(617257,",",ROW(BCKQHDR_06610!B27),"|",COLUMN(BCKQHDR_06610!B27),",0",",0")</f>
        <v>617257,27|2,0,0</v>
      </c>
      <c r="C27" t="str">
        <f>CONCATENATE(617144,",",ROW(BCKQHDR_06610!C27),"|",COLUMN(BCKQHDR_06610!C27),",0",",0")</f>
        <v>617144,27|3,0,0</v>
      </c>
      <c r="D27" t="str">
        <f>CONCATENATE(617328,",",ROW(BCKQHDR_06610!D27),"|",COLUMN(BCKQHDR_06610!D27),",0",",0")</f>
        <v>617328,27|4,0,0</v>
      </c>
      <c r="E27" t="str">
        <f>CONCATENATE(617063,",",ROW(BCKQHDR_06610!E27),"|",COLUMN(BCKQHDR_06610!E27),",0",",0")</f>
        <v>617063,27|5,0,0</v>
      </c>
    </row>
    <row r="28" spans="1:5" x14ac:dyDescent="0.25">
      <c r="A28" t="str">
        <f>CONCATENATE(617169,",",ROW(BCKQHDR_06610!A28),"|",COLUMN(BCKQHDR_06610!A28),",0",",0")</f>
        <v>617169,28|1,0,0</v>
      </c>
      <c r="B28" t="str">
        <f>CONCATENATE(617352,",",ROW(BCKQHDR_06610!B28),"|",COLUMN(BCKQHDR_06610!B28),",0",",0")</f>
        <v>617352,28|2,0,0</v>
      </c>
      <c r="C28" t="str">
        <f>CONCATENATE(617145,",",ROW(BCKQHDR_06610!C28),"|",COLUMN(BCKQHDR_06610!C28),",0",",0")</f>
        <v>617145,28|3,0,0</v>
      </c>
      <c r="D28" t="str">
        <f>CONCATENATE(617089,",",ROW(BCKQHDR_06610!D28),"|",COLUMN(BCKQHDR_06610!D28),",0",",0")</f>
        <v>617089,28|4,0,0</v>
      </c>
      <c r="E28" t="str">
        <f>CONCATENATE(617064,",",ROW(BCKQHDR_06610!E28),"|",COLUMN(BCKQHDR_06610!E28),",0",",0")</f>
        <v>617064,28|5,0,0</v>
      </c>
    </row>
    <row r="29" spans="1:5" x14ac:dyDescent="0.25">
      <c r="A29" t="str">
        <f>CONCATENATE(617269,",",ROW(BCKQHDR_06610!A29),"|",COLUMN(BCKQHDR_06610!A29),",0",",0")</f>
        <v>617269,29|1,0,0</v>
      </c>
      <c r="B29" t="str">
        <f>CONCATENATE(617229,",",ROW(BCKQHDR_06610!B29),"|",COLUMN(BCKQHDR_06610!B29),",0",",0")</f>
        <v>617229,29|2,0,0</v>
      </c>
      <c r="C29" t="str">
        <f>CONCATENATE(617146,",",ROW(BCKQHDR_06610!C29),"|",COLUMN(BCKQHDR_06610!C29),",0",",0")</f>
        <v>617146,29|3,0,0</v>
      </c>
      <c r="D29" t="str">
        <f>CONCATENATE(617090,",",ROW(BCKQHDR_06610!D29),"|",COLUMN(BCKQHDR_06610!D29),",0",",0")</f>
        <v>617090,29|4,0,0</v>
      </c>
      <c r="E29" t="str">
        <f>CONCATENATE(617065,",",ROW(BCKQHDR_06610!E29),"|",COLUMN(BCKQHDR_06610!E29),",0",",0")</f>
        <v>617065,29|5,0,0</v>
      </c>
    </row>
    <row r="30" spans="1:5" x14ac:dyDescent="0.25">
      <c r="A30" t="str">
        <f>CONCATENATE(617225,",",ROW(BCKQHDR_06610!A30),"|",COLUMN(BCKQHDR_06610!A30),",0",",0")</f>
        <v>617225,30|1,0,0</v>
      </c>
      <c r="B30" t="str">
        <f>CONCATENATE(617230,",",ROW(BCKQHDR_06610!B30),"|",COLUMN(BCKQHDR_06610!B30),",0",",0")</f>
        <v>617230,30|2,0,0</v>
      </c>
      <c r="C30" t="str">
        <f>CONCATENATE(617147,",",ROW(BCKQHDR_06610!C30),"|",COLUMN(BCKQHDR_06610!C30),",0",",0")</f>
        <v>617147,30|3,0,0</v>
      </c>
      <c r="D30" t="str">
        <f>CONCATENATE(617091,",",ROW(BCKQHDR_06610!D30),"|",COLUMN(BCKQHDR_06610!D30),",0",",0")</f>
        <v>617091,30|4,0,0</v>
      </c>
      <c r="E30" t="str">
        <f>CONCATENATE(617067,",",ROW(BCKQHDR_06610!E30),"|",COLUMN(BCKQHDR_06610!E30),",0",",0")</f>
        <v>617067,30|5,0,0</v>
      </c>
    </row>
    <row r="31" spans="1:5" x14ac:dyDescent="0.25">
      <c r="A31" t="str">
        <f>CONCATENATE(617226,",",ROW(BCKQHDR_06610!A31),"|",COLUMN(BCKQHDR_06610!A31),",0",",0")</f>
        <v>617226,31|1,0,0</v>
      </c>
      <c r="B31" t="str">
        <f>CONCATENATE(617339,",",ROW(BCKQHDR_06610!B31),"|",COLUMN(BCKQHDR_06610!B31),",0",",0")</f>
        <v>617339,31|2,0,0</v>
      </c>
      <c r="C31" t="str">
        <f>CONCATENATE(617148,",",ROW(BCKQHDR_06610!C31),"|",COLUMN(BCKQHDR_06610!C31),",0",",0")</f>
        <v>617148,31|3,0,0</v>
      </c>
      <c r="D31" t="str">
        <f>CONCATENATE(617092,",",ROW(BCKQHDR_06610!D31),"|",COLUMN(BCKQHDR_06610!D31),",0",",0")</f>
        <v>617092,31|4,0,0</v>
      </c>
      <c r="E31" t="str">
        <f>CONCATENATE(617068,",",ROW(BCKQHDR_06610!E31),"|",COLUMN(BCKQHDR_06610!E31),",0",",0")</f>
        <v>617068,31|5,0,0</v>
      </c>
    </row>
    <row r="32" spans="1:5" x14ac:dyDescent="0.25">
      <c r="A32" t="str">
        <f>CONCATENATE(617213,",",ROW(BCKQHDR_06610!A32),"|",COLUMN(BCKQHDR_06610!A32),",0",",0")</f>
        <v>617213,32|1,0,0</v>
      </c>
      <c r="B32" t="str">
        <f>CONCATENATE(617217,",",ROW(BCKQHDR_06610!B32),"|",COLUMN(BCKQHDR_06610!B32),",0",",0")</f>
        <v>617217,32|2,0,0</v>
      </c>
      <c r="C32" t="str">
        <f>CONCATENATE(617149,",",ROW(BCKQHDR_06610!C32),"|",COLUMN(BCKQHDR_06610!C32),",0",",0")</f>
        <v>617149,32|3,0,0</v>
      </c>
      <c r="D32" t="str">
        <f>CONCATENATE(617093,",",ROW(BCKQHDR_06610!D32),"|",COLUMN(BCKQHDR_06610!D32),",0",",0")</f>
        <v>617093,32|4,0,0</v>
      </c>
      <c r="E32" t="str">
        <f>CONCATENATE(617069,",",ROW(BCKQHDR_06610!E32),"|",COLUMN(BCKQHDR_06610!E32),",0",",0")</f>
        <v>617069,32|5,0,0</v>
      </c>
    </row>
    <row r="33" spans="1:5" x14ac:dyDescent="0.25">
      <c r="A33" t="str">
        <f>CONCATENATE(617331,",",ROW(BCKQHDR_06610!A33),"|",COLUMN(BCKQHDR_06610!A33),",0",",0")</f>
        <v>617331,33|1,0,0</v>
      </c>
      <c r="B33" t="str">
        <f>CONCATENATE(617258,",",ROW(BCKQHDR_06610!B33),"|",COLUMN(BCKQHDR_06610!B33),",0",",0")</f>
        <v>617258,33|2,0,0</v>
      </c>
      <c r="C33" t="str">
        <f>CONCATENATE(617150,",",ROW(BCKQHDR_06610!C33),"|",COLUMN(BCKQHDR_06610!C33),",0",",0")</f>
        <v>617150,33|3,0,0</v>
      </c>
      <c r="D33" t="str">
        <f>CONCATENATE(617094,",",ROW(BCKQHDR_06610!D33),"|",COLUMN(BCKQHDR_06610!D33),",0",",0")</f>
        <v>617094,33|4,0,0</v>
      </c>
      <c r="E33" t="str">
        <f>CONCATENATE(617070,",",ROW(BCKQHDR_06610!E33),"|",COLUMN(BCKQHDR_06610!E33),",0",",0")</f>
        <v>617070,33|5,0,0</v>
      </c>
    </row>
    <row r="34" spans="1:5" x14ac:dyDescent="0.25">
      <c r="A34" t="str">
        <f>CONCATENATE(617120,",",ROW(BCKQHDR_06610!A34),"|",COLUMN(BCKQHDR_06610!A34),",0",",0")</f>
        <v>617120,34|1,0,0</v>
      </c>
      <c r="B34" t="str">
        <f>CONCATENATE(617259,",",ROW(BCKQHDR_06610!B34),"|",COLUMN(BCKQHDR_06610!B34),",0",",0")</f>
        <v>617259,34|2,0,0</v>
      </c>
      <c r="C34" t="str">
        <f>CONCATENATE(617151,",",ROW(BCKQHDR_06610!C34),"|",COLUMN(BCKQHDR_06610!C34),",0",",0")</f>
        <v>617151,34|3,0,0</v>
      </c>
      <c r="D34" t="str">
        <f>CONCATENATE(617095,",",ROW(BCKQHDR_06610!D34),"|",COLUMN(BCKQHDR_06610!D34),",0",",0")</f>
        <v>617095,34|4,0,0</v>
      </c>
      <c r="E34" t="str">
        <f>CONCATENATE(617071,",",ROW(BCKQHDR_06610!E34),"|",COLUMN(BCKQHDR_06610!E34),",0",",0")</f>
        <v>617071,34|5,0,0</v>
      </c>
    </row>
    <row r="35" spans="1:5" x14ac:dyDescent="0.25">
      <c r="A35" t="str">
        <f>CONCATENATE(617270,",",ROW(BCKQHDR_06610!A35),"|",COLUMN(BCKQHDR_06610!A35),",0",",0")</f>
        <v>617270,35|1,0,0</v>
      </c>
      <c r="B35" t="str">
        <f>CONCATENATE(617356,",",ROW(BCKQHDR_06610!B35),"|",COLUMN(BCKQHDR_06610!B35),",0",",0")</f>
        <v>617356,35|2,0,0</v>
      </c>
      <c r="C35" t="str">
        <f>CONCATENATE(617152,",",ROW(BCKQHDR_06610!C35),"|",COLUMN(BCKQHDR_06610!C35),",0",",0")</f>
        <v>617152,35|3,0,0</v>
      </c>
      <c r="D35" t="str">
        <f>CONCATENATE(617096,",",ROW(BCKQHDR_06610!D35),"|",COLUMN(BCKQHDR_06610!D35),",0",",0")</f>
        <v>617096,35|4,0,0</v>
      </c>
      <c r="E35" t="str">
        <f>CONCATENATE(617072,",",ROW(BCKQHDR_06610!E35),"|",COLUMN(BCKQHDR_06610!E35),",0",",0")</f>
        <v>617072,35|5,0,0</v>
      </c>
    </row>
    <row r="36" spans="1:5" x14ac:dyDescent="0.25">
      <c r="A36" t="str">
        <f>CONCATENATE(617271,",",ROW(BCKQHDR_06610!A36),"|",COLUMN(BCKQHDR_06610!A36),",0",",0")</f>
        <v>617271,36|1,0,0</v>
      </c>
      <c r="B36" t="str">
        <f>CONCATENATE(617260,",",ROW(BCKQHDR_06610!B36),"|",COLUMN(BCKQHDR_06610!B36),",0",",0")</f>
        <v>617260,36|2,0,0</v>
      </c>
      <c r="C36" t="str">
        <f>CONCATENATE(617153,",",ROW(BCKQHDR_06610!C36),"|",COLUMN(BCKQHDR_06610!C36),",0",",0")</f>
        <v>617153,36|3,0,0</v>
      </c>
      <c r="D36" t="str">
        <f>CONCATENATE(617097,",",ROW(BCKQHDR_06610!D36),"|",COLUMN(BCKQHDR_06610!D36),",0",",0")</f>
        <v>617097,36|4,0,0</v>
      </c>
      <c r="E36" t="str">
        <f>CONCATENATE(617073,",",ROW(BCKQHDR_06610!E36),"|",COLUMN(BCKQHDR_06610!E36),",0",",0")</f>
        <v>617073,36|5,0,0</v>
      </c>
    </row>
    <row r="37" spans="1:5" x14ac:dyDescent="0.25">
      <c r="A37" t="str">
        <f>CONCATENATE(617170,",",ROW(BCKQHDR_06610!A37),"|",COLUMN(BCKQHDR_06610!A37),",0",",0")</f>
        <v>617170,37|1,0,0</v>
      </c>
      <c r="B37" t="str">
        <f>CONCATENATE(617261,",",ROW(BCKQHDR_06610!B37),"|",COLUMN(BCKQHDR_06610!B37),",0",",0")</f>
        <v>617261,37|2,0,0</v>
      </c>
      <c r="C37" t="str">
        <f>CONCATENATE(617391,",",ROW(BCKQHDR_06610!C37),"|",COLUMN(BCKQHDR_06610!C37),",0",",0")</f>
        <v>617391,37|3,0,0</v>
      </c>
      <c r="D37" t="str">
        <f>CONCATENATE(617098,",",ROW(BCKQHDR_06610!D37),"|",COLUMN(BCKQHDR_06610!D37),",0",",0")</f>
        <v>617098,37|4,0,0</v>
      </c>
      <c r="E37" t="str">
        <f>CONCATENATE(617074,",",ROW(BCKQHDR_06610!E37),"|",COLUMN(BCKQHDR_06610!E37),",0",",0")</f>
        <v>617074,37|5,0,0</v>
      </c>
    </row>
    <row r="38" spans="1:5" x14ac:dyDescent="0.25">
      <c r="A38" t="str">
        <f>CONCATENATE(617132,",",ROW(BCKQHDR_06610!A38),"|",COLUMN(BCKQHDR_06610!A38),",0",",0")</f>
        <v>617132,38|1,0,0</v>
      </c>
      <c r="B38" t="str">
        <f>CONCATENATE(617357,",",ROW(BCKQHDR_06610!B38),"|",COLUMN(BCKQHDR_06610!B38),",0",",0")</f>
        <v>617357,38|2,0,0</v>
      </c>
      <c r="C38" t="str">
        <f>CONCATENATE(617202,",",ROW(BCKQHDR_06610!C38),"|",COLUMN(BCKQHDR_06610!C38),",0",",0")</f>
        <v>617202,38|3,0,0</v>
      </c>
      <c r="D38" t="str">
        <f>CONCATENATE(617099,",",ROW(BCKQHDR_06610!D38),"|",COLUMN(BCKQHDR_06610!D38),",0",",0")</f>
        <v>617099,38|4,0,0</v>
      </c>
      <c r="E38" t="str">
        <f>CONCATENATE(617392,",",ROW(BCKQHDR_06610!E38),"|",COLUMN(BCKQHDR_06610!E38),",0",",0")</f>
        <v>617392,38|5,0,0</v>
      </c>
    </row>
    <row r="39" spans="1:5" x14ac:dyDescent="0.25">
      <c r="A39" t="str">
        <f>CONCATENATE(617346,",",ROW(BCKQHDR_06610!A39),"|",COLUMN(BCKQHDR_06610!A39),",0",",0")</f>
        <v>617346,39|1,0,0</v>
      </c>
      <c r="B39" t="s">
        <v>5</v>
      </c>
      <c r="C39" t="str">
        <f>CONCATENATE(617203,",",ROW(BCKQHDR_06610!C39),"|",COLUMN(BCKQHDR_06610!C39),",0",",0")</f>
        <v>617203,39|3,0,0</v>
      </c>
      <c r="D39" t="str">
        <f>CONCATENATE(617100,",",ROW(BCKQHDR_06610!D39),"|",COLUMN(BCKQHDR_06610!D39),",0",",0")</f>
        <v>617100,39|4,0,0</v>
      </c>
      <c r="E39" t="str">
        <f>CONCATENATE(617393,",",ROW(BCKQHDR_06610!E39),"|",COLUMN(BCKQHDR_06610!E39),",0",",0")</f>
        <v>617393,39|5,0,0</v>
      </c>
    </row>
    <row r="40" spans="1:5" x14ac:dyDescent="0.25">
      <c r="A40" t="str">
        <f>CONCATENATE(617133,",",ROW(BCKQHDR_06610!A40),"|",COLUMN(BCKQHDR_06610!A40),",0",",0")</f>
        <v>617133,40|1,0,0</v>
      </c>
      <c r="B40" t="str">
        <f>CONCATENATE(617358,",",ROW(BCKQHDR_06610!B40),"|",COLUMN(BCKQHDR_06610!B40),",0",",0")</f>
        <v>617358,40|2,0,0</v>
      </c>
      <c r="C40" t="str">
        <f>CONCATENATE(617204,",",ROW(BCKQHDR_06610!C40),"|",COLUMN(BCKQHDR_06610!C40),",0",",0")</f>
        <v>617204,40|3,0,0</v>
      </c>
      <c r="D40" t="str">
        <f>CONCATENATE(617101,",",ROW(BCKQHDR_06610!D40),"|",COLUMN(BCKQHDR_06610!D40),",0",",0")</f>
        <v>617101,40|4,0,0</v>
      </c>
      <c r="E40" t="str">
        <f>CONCATENATE(617394,",",ROW(BCKQHDR_06610!E40),"|",COLUMN(BCKQHDR_06610!E40),",0",",0")</f>
        <v>617394,40|5,0,0</v>
      </c>
    </row>
    <row r="41" spans="1:5" x14ac:dyDescent="0.25">
      <c r="A41" t="str">
        <f>CONCATENATE(617134,",",ROW(BCKQHDR_06610!A41),"|",COLUMN(BCKQHDR_06610!A41),",0",",0")</f>
        <v>617134,41|1,0,0</v>
      </c>
      <c r="B41" t="str">
        <f>CONCATENATE(617340,",",ROW(BCKQHDR_06610!B41),"|",COLUMN(BCKQHDR_06610!B41),",0",",0")</f>
        <v>617340,41|2,0,0</v>
      </c>
      <c r="C41" t="str">
        <f>CONCATENATE(617205,",",ROW(BCKQHDR_06610!C41),"|",COLUMN(BCKQHDR_06610!C41),",0",",0")</f>
        <v>617205,41|3,0,0</v>
      </c>
      <c r="D41" t="str">
        <f>CONCATENATE(617102,",",ROW(BCKQHDR_06610!D41),"|",COLUMN(BCKQHDR_06610!D41),",0",",0")</f>
        <v>617102,41|4,0,0</v>
      </c>
      <c r="E41" t="str">
        <f>CONCATENATE(617395,",",ROW(BCKQHDR_06610!E41),"|",COLUMN(BCKQHDR_06610!E41),",0",",0")</f>
        <v>617395,41|5,0,0</v>
      </c>
    </row>
    <row r="42" spans="1:5" x14ac:dyDescent="0.25">
      <c r="A42" t="str">
        <f>CONCATENATE(617347,",",ROW(BCKQHDR_06610!A42),"|",COLUMN(BCKQHDR_06610!A42),",0",",0")</f>
        <v>617347,42|1,0,0</v>
      </c>
      <c r="B42" t="str">
        <f>CONCATENATE(617231,",",ROW(BCKQHDR_06610!B42),"|",COLUMN(BCKQHDR_06610!B42),",0",",0")</f>
        <v>617231,42|2,0,0</v>
      </c>
      <c r="C42" t="str">
        <f>CONCATENATE(617206,",",ROW(BCKQHDR_06610!C42),"|",COLUMN(BCKQHDR_06610!C42),",0",",0")</f>
        <v>617206,42|3,0,0</v>
      </c>
      <c r="D42" t="str">
        <f>CONCATENATE(617103,",",ROW(BCKQHDR_06610!D42),"|",COLUMN(BCKQHDR_06610!D42),",0",",0")</f>
        <v>617103,42|4,0,0</v>
      </c>
      <c r="E42" t="str">
        <f>CONCATENATE(617396,",",ROW(BCKQHDR_06610!E42),"|",COLUMN(BCKQHDR_06610!E42),",0",",0")</f>
        <v>617396,42|5,0,0</v>
      </c>
    </row>
    <row r="43" spans="1:5" x14ac:dyDescent="0.25">
      <c r="A43" t="str">
        <f>CONCATENATE(617234,",",ROW(BCKQHDR_06610!A43),"|",COLUMN(BCKQHDR_06610!A43),",0",",0")</f>
        <v>617234,43|1,0,0</v>
      </c>
      <c r="B43" t="str">
        <f>CONCATENATE(617218,",",ROW(BCKQHDR_06610!B43),"|",COLUMN(BCKQHDR_06610!B43),",0",",0")</f>
        <v>617218,43|2,0,0</v>
      </c>
      <c r="C43" t="str">
        <f>CONCATENATE(617207,",",ROW(BCKQHDR_06610!C43),"|",COLUMN(BCKQHDR_06610!C43),",0",",0")</f>
        <v>617207,43|3,0,0</v>
      </c>
      <c r="D43" t="str">
        <f>CONCATENATE(617104,",",ROW(BCKQHDR_06610!D43),"|",COLUMN(BCKQHDR_06610!D43),",0",",0")</f>
        <v>617104,43|4,0,0</v>
      </c>
      <c r="E43" t="str">
        <f>CONCATENATE(617397,",",ROW(BCKQHDR_06610!E43),"|",COLUMN(BCKQHDR_06610!E43),",0",",0")</f>
        <v>617397,43|5,0,0</v>
      </c>
    </row>
    <row r="44" spans="1:5" x14ac:dyDescent="0.25">
      <c r="A44" t="str">
        <f>CONCATENATE(617135,",",ROW(BCKQHDR_06610!A44),"|",COLUMN(BCKQHDR_06610!A44),",0",",0")</f>
        <v>617135,44|1,0,0</v>
      </c>
      <c r="B44" t="str">
        <f>CONCATENATE(617359,",",ROW(BCKQHDR_06610!B44),"|",COLUMN(BCKQHDR_06610!B44),",0",",0")</f>
        <v>617359,44|2,0,0</v>
      </c>
      <c r="C44" t="str">
        <f>CONCATENATE(617208,",",ROW(BCKQHDR_06610!C44),"|",COLUMN(BCKQHDR_06610!C44),",0",",0")</f>
        <v>617208,44|3,0,0</v>
      </c>
      <c r="D44" t="str">
        <f>CONCATENATE(617105,",",ROW(BCKQHDR_06610!D44),"|",COLUMN(BCKQHDR_06610!D44),",0",",0")</f>
        <v>617105,44|4,0,0</v>
      </c>
      <c r="E44" t="str">
        <f>CONCATENATE(617238,",",ROW(BCKQHDR_06610!E44),"|",COLUMN(BCKQHDR_06610!E44),",0",",0")</f>
        <v>617238,44|5,0,0</v>
      </c>
    </row>
    <row r="45" spans="1:5" x14ac:dyDescent="0.25">
      <c r="A45" t="str">
        <f>CONCATENATE(617235,",",ROW(BCKQHDR_06610!A45),"|",COLUMN(BCKQHDR_06610!A45),",0",",0")</f>
        <v>617235,45|1,0,0</v>
      </c>
      <c r="B45" t="s">
        <v>5</v>
      </c>
      <c r="C45" t="str">
        <f>CONCATENATE(617209,",",ROW(BCKQHDR_06610!C45),"|",COLUMN(BCKQHDR_06610!C45),",0",",0")</f>
        <v>617209,45|3,0,0</v>
      </c>
      <c r="D45" t="str">
        <f>CONCATENATE(617106,",",ROW(BCKQHDR_06610!D45),"|",COLUMN(BCKQHDR_06610!D45),",0",",0")</f>
        <v>617106,45|4,0,0</v>
      </c>
      <c r="E45" t="str">
        <f>CONCATENATE(617273,",",ROW(BCKQHDR_06610!E45),"|",COLUMN(BCKQHDR_06610!E45),",0",",0")</f>
        <v>617273,45|5,0,0</v>
      </c>
    </row>
    <row r="46" spans="1:5" x14ac:dyDescent="0.25">
      <c r="A46" t="str">
        <f>CONCATENATE(617398,",",ROW(BCKQHDR_06610!A46),"|",COLUMN(BCKQHDR_06610!A46),",0",",0")</f>
        <v>617398,46|1,0,0</v>
      </c>
      <c r="B46" t="str">
        <f>CONCATENATE(617219,",",ROW(BCKQHDR_06610!B46),"|",COLUMN(BCKQHDR_06610!B46),",0",",0")</f>
        <v>617219,46|2,0,0</v>
      </c>
      <c r="C46" t="str">
        <f>CONCATENATE(617210,",",ROW(BCKQHDR_06610!C46),"|",COLUMN(BCKQHDR_06610!C46),",0",",0")</f>
        <v>617210,46|3,0,0</v>
      </c>
      <c r="D46" t="str">
        <f>CONCATENATE(617107,",",ROW(BCKQHDR_06610!D46),"|",COLUMN(BCKQHDR_06610!D46),",0",",0")</f>
        <v>617107,46|4,0,0</v>
      </c>
      <c r="E46" t="str">
        <f>CONCATENATE(617176,",",ROW(BCKQHDR_06610!E46),"|",COLUMN(BCKQHDR_06610!E46),",0",",0")</f>
        <v>617176,46|5,0,0</v>
      </c>
    </row>
    <row r="47" spans="1:5" x14ac:dyDescent="0.25">
      <c r="A47" t="str">
        <f>CONCATENATE(617108,",",ROW(BCKQHDR_06610!A47),"|",COLUMN(BCKQHDR_06610!A47),",0",",0")</f>
        <v>617108,47|1,0,0</v>
      </c>
      <c r="B47" t="str">
        <f>CONCATENATE(617360,",",ROW(BCKQHDR_06610!B47),"|",COLUMN(BCKQHDR_06610!B47),",0",",0")</f>
        <v>617360,47|2,0,0</v>
      </c>
      <c r="C47" t="str">
        <f>CONCATENATE(617211,",",ROW(BCKQHDR_06610!C47),"|",COLUMN(BCKQHDR_06610!C47),",0",",0")</f>
        <v>617211,47|3,0,0</v>
      </c>
      <c r="D47" t="str">
        <f>CONCATENATE(617076,",",ROW(BCKQHDR_06610!D47),"|",COLUMN(BCKQHDR_06610!D47),",0",",0")</f>
        <v>617076,47|4,0,0</v>
      </c>
      <c r="E47" t="str">
        <f>CONCATENATE(617177,",",ROW(BCKQHDR_06610!E47),"|",COLUMN(BCKQHDR_06610!E47),",0",",0")</f>
        <v>617177,47|5,0,0</v>
      </c>
    </row>
    <row r="48" spans="1:5" x14ac:dyDescent="0.25">
      <c r="A48" t="str">
        <f>CONCATENATE(617332,",",ROW(BCKQHDR_06610!A48),"|",COLUMN(BCKQHDR_06610!A48),",0",",0")</f>
        <v>617332,48|1,0,0</v>
      </c>
      <c r="B48" t="str">
        <f>CONCATENATE(617361,",",ROW(BCKQHDR_06610!B48),"|",COLUMN(BCKQHDR_06610!B48),",0",",0")</f>
        <v>617361,48|2,0,0</v>
      </c>
      <c r="C48" t="str">
        <f>CONCATENATE(617078,",",ROW(BCKQHDR_06610!C48),"|",COLUMN(BCKQHDR_06610!C48),",0",",0")</f>
        <v>617078,48|3,0,0</v>
      </c>
      <c r="D48" t="str">
        <f>CONCATENATE(617179,",",ROW(BCKQHDR_06610!D48),"|",COLUMN(BCKQHDR_06610!D48),",0",",0")</f>
        <v>617179,48|4,0,0</v>
      </c>
      <c r="E48" t="str">
        <f>CONCATENATE(617192,",",ROW(BCKQHDR_06610!E48),"|",COLUMN(BCKQHDR_06610!E48),",0",",0")</f>
        <v>617192,48|5,0,0</v>
      </c>
    </row>
    <row r="49" spans="1:5" x14ac:dyDescent="0.25">
      <c r="A49" t="str">
        <f>CONCATENATE(617236,",",ROW(BCKQHDR_06610!A49),"|",COLUMN(BCKQHDR_06610!A49),",0",",0")</f>
        <v>617236,49|1,0,0</v>
      </c>
      <c r="B49" t="str">
        <f>CONCATENATE(617343,",",ROW(BCKQHDR_06610!B49),"|",COLUMN(BCKQHDR_06610!B49),",0",",0")</f>
        <v>617343,49|2,0,0</v>
      </c>
      <c r="C49" t="str">
        <f>CONCATENATE(617079,",",ROW(BCKQHDR_06610!C49),"|",COLUMN(BCKQHDR_06610!C49),",0",",0")</f>
        <v>617079,49|3,0,0</v>
      </c>
      <c r="D49" t="str">
        <f>CONCATENATE(617180,",",ROW(BCKQHDR_06610!D49),"|",COLUMN(BCKQHDR_06610!D49),",0",",0")</f>
        <v>617180,49|4,0,0</v>
      </c>
      <c r="E49" t="str">
        <f>CONCATENATE(617193,",",ROW(BCKQHDR_06610!E49),"|",COLUMN(BCKQHDR_06610!E49),",0",",0")</f>
        <v>617193,49|5,0,0</v>
      </c>
    </row>
    <row r="50" spans="1:5" x14ac:dyDescent="0.25">
      <c r="A50" t="str">
        <f>CONCATENATE(617109,",",ROW(BCKQHDR_06610!A50),"|",COLUMN(BCKQHDR_06610!A50),",0",",0")</f>
        <v>617109,50|1,0,0</v>
      </c>
      <c r="B50" t="str">
        <f>CONCATENATE(617341,",",ROW(BCKQHDR_06610!B50),"|",COLUMN(BCKQHDR_06610!B50),",0",",0")</f>
        <v>617341,50|2,0,0</v>
      </c>
      <c r="C50" t="str">
        <f>CONCATENATE(617274,",",ROW(BCKQHDR_06610!C50),"|",COLUMN(BCKQHDR_06610!C50),",0",",0")</f>
        <v>617274,50|3,0,0</v>
      </c>
      <c r="D50" t="str">
        <f>CONCATENATE(617181,",",ROW(BCKQHDR_06610!D50),"|",COLUMN(BCKQHDR_06610!D50),",0",",0")</f>
        <v>617181,50|4,0,0</v>
      </c>
      <c r="E50" t="str">
        <f>CONCATENATE(617194,",",ROW(BCKQHDR_06610!E50),"|",COLUMN(BCKQHDR_06610!E50),",0",",0")</f>
        <v>617194,50|5,0,0</v>
      </c>
    </row>
    <row r="51" spans="1:5" x14ac:dyDescent="0.25">
      <c r="A51" t="str">
        <f>CONCATENATE(617333,",",ROW(BCKQHDR_06610!A51),"|",COLUMN(BCKQHDR_06610!A51),",0",",0")</f>
        <v>617333,51|1,0,0</v>
      </c>
      <c r="B51" t="str">
        <f>CONCATENATE(617342,",",ROW(BCKQHDR_06610!B51),"|",COLUMN(BCKQHDR_06610!B51),",0",",0")</f>
        <v>617342,51|2,0,0</v>
      </c>
      <c r="C51" t="str">
        <f>CONCATENATE(617363,",",ROW(BCKQHDR_06610!C51),"|",COLUMN(BCKQHDR_06610!C51),",0",",0")</f>
        <v>617363,51|3,0,0</v>
      </c>
      <c r="D51" t="str">
        <f>CONCATENATE(617182,",",ROW(BCKQHDR_06610!D51),"|",COLUMN(BCKQHDR_06610!D51),",0",",0")</f>
        <v>617182,51|4,0,0</v>
      </c>
      <c r="E51" t="str">
        <f>CONCATENATE(617195,",",ROW(BCKQHDR_06610!E51),"|",COLUMN(BCKQHDR_06610!E51),",0",",0")</f>
        <v>617195,51|5,0,0</v>
      </c>
    </row>
    <row r="52" spans="1:5" x14ac:dyDescent="0.25">
      <c r="A52" t="str">
        <f>CONCATENATE(617110,",",ROW(BCKQHDR_06610!A52),"|",COLUMN(BCKQHDR_06610!A52),",0",",0")</f>
        <v>617110,52|1,0,0</v>
      </c>
      <c r="B52" t="str">
        <f>CONCATENATE(617262,",",ROW(BCKQHDR_06610!B52),"|",COLUMN(BCKQHDR_06610!B52),",0",",0")</f>
        <v>617262,52|2,0,0</v>
      </c>
      <c r="C52" t="str">
        <f>CONCATENATE(617364,",",ROW(BCKQHDR_06610!C52),"|",COLUMN(BCKQHDR_06610!C52),",0",",0")</f>
        <v>617364,52|3,0,0</v>
      </c>
      <c r="D52" t="str">
        <f>CONCATENATE(617183,",",ROW(BCKQHDR_06610!D52),"|",COLUMN(BCKQHDR_06610!D52),",0",",0")</f>
        <v>617183,52|4,0,0</v>
      </c>
      <c r="E52" t="str">
        <f>CONCATENATE(617223,",",ROW(BCKQHDR_06610!E52),"|",COLUMN(BCKQHDR_06610!E52),",0",",0")</f>
        <v>617223,52|5,0,0</v>
      </c>
    </row>
    <row r="53" spans="1:5" x14ac:dyDescent="0.25">
      <c r="A53" t="str">
        <f>CONCATENATE(617158,",",ROW(BCKQHDR_06610!A53),"|",COLUMN(BCKQHDR_06610!A53),",0",",0")</f>
        <v>617158,53|1,0,0</v>
      </c>
      <c r="B53" t="str">
        <f>CONCATENATE(617220,",",ROW(BCKQHDR_06610!B53),"|",COLUMN(BCKQHDR_06610!B53),",0",",0")</f>
        <v>617220,53|2,0,0</v>
      </c>
      <c r="C53" t="str">
        <f>CONCATENATE(617365,",",ROW(BCKQHDR_06610!C53),"|",COLUMN(BCKQHDR_06610!C53),",0",",0")</f>
        <v>617365,53|3,0,0</v>
      </c>
      <c r="D53" t="str">
        <f>CONCATENATE(617184,",",ROW(BCKQHDR_06610!D53),"|",COLUMN(BCKQHDR_06610!D53),",0",",0")</f>
        <v>617184,53|4,0,0</v>
      </c>
      <c r="E53" t="str">
        <f>CONCATENATE(617196,",",ROW(BCKQHDR_06610!E53),"|",COLUMN(BCKQHDR_06610!E53),",0",",0")</f>
        <v>617196,53|5,0,0</v>
      </c>
    </row>
    <row r="54" spans="1:5" x14ac:dyDescent="0.25">
      <c r="A54" t="str">
        <f>CONCATENATE(617187,",",ROW(BCKQHDR_06610!A54),"|",COLUMN(BCKQHDR_06610!A54),",0",",0")</f>
        <v>617187,54|1,0,0</v>
      </c>
      <c r="B54" t="str">
        <f>CONCATENATE(617154,",",ROW(BCKQHDR_06610!B54),"|",COLUMN(BCKQHDR_06610!B54),",0",",0")</f>
        <v>617154,54|2,0,0</v>
      </c>
      <c r="C54" t="str">
        <f>CONCATENATE(617366,",",ROW(BCKQHDR_06610!C54),"|",COLUMN(BCKQHDR_06610!C54),",0",",0")</f>
        <v>617366,54|3,0,0</v>
      </c>
      <c r="D54" t="str">
        <f>CONCATENATE(617185,",",ROW(BCKQHDR_06610!D54),"|",COLUMN(BCKQHDR_06610!D54),",0",",0")</f>
        <v>617185,54|4,0,0</v>
      </c>
      <c r="E54" t="str">
        <f>CONCATENATE(617197,",",ROW(BCKQHDR_06610!E54),"|",COLUMN(BCKQHDR_06610!E54),",0",",0")</f>
        <v>617197,54|5,0,0</v>
      </c>
    </row>
    <row r="55" spans="1:5" x14ac:dyDescent="0.25">
      <c r="A55" t="str">
        <f>CONCATENATE(617159,",",ROW(BCKQHDR_06610!A55),"|",COLUMN(BCKQHDR_06610!A55),",0",",0")</f>
        <v>617159,55|1,0,0</v>
      </c>
      <c r="B55" t="s">
        <v>5</v>
      </c>
      <c r="C55" t="str">
        <f>CONCATENATE(617367,",",ROW(BCKQHDR_06610!C55),"|",COLUMN(BCKQHDR_06610!C55),",0",",0")</f>
        <v>617367,55|3,0,0</v>
      </c>
      <c r="D55" t="str">
        <f>CONCATENATE(617186,",",ROW(BCKQHDR_06610!D55),"|",COLUMN(BCKQHDR_06610!D55),",0",",0")</f>
        <v>617186,55|4,0,0</v>
      </c>
      <c r="E55" t="str">
        <f>CONCATENATE(617198,",",ROW(BCKQHDR_06610!E55),"|",COLUMN(BCKQHDR_06610!E55),",0",",0")</f>
        <v>617198,55|5,0,0</v>
      </c>
    </row>
    <row r="56" spans="1:5" x14ac:dyDescent="0.25">
      <c r="A56" t="str">
        <f>CONCATENATE(617136,",",ROW(BCKQHDR_06610!A56),"|",COLUMN(BCKQHDR_06610!A56),",0",",0")</f>
        <v>617136,56|1,0,0</v>
      </c>
      <c r="B56" t="str">
        <f>CONCATENATE(617155,",",ROW(BCKQHDR_06610!B56),"|",COLUMN(BCKQHDR_06610!B56),",0",",0")</f>
        <v>617155,56|2,0,0</v>
      </c>
      <c r="C56" t="str">
        <f>CONCATENATE(617368,",",ROW(BCKQHDR_06610!C56),"|",COLUMN(BCKQHDR_06610!C56),",0",",0")</f>
        <v>617368,56|3,0,0</v>
      </c>
      <c r="D56" t="str">
        <f>CONCATENATE(617188,",",ROW(BCKQHDR_06610!D56),"|",COLUMN(BCKQHDR_06610!D56),",0",",0")</f>
        <v>617188,56|4,0,0</v>
      </c>
      <c r="E56" t="str">
        <f>CONCATENATE(617199,",",ROW(BCKQHDR_06610!E56),"|",COLUMN(BCKQHDR_06610!E56),",0",",0")</f>
        <v>617199,56|5,0,0</v>
      </c>
    </row>
    <row r="57" spans="1:5" x14ac:dyDescent="0.25">
      <c r="A57" t="str">
        <f>CONCATENATE(617160,",",ROW(BCKQHDR_06610!A57),"|",COLUMN(BCKQHDR_06610!A57),",0",",0")</f>
        <v>617160,57|1,0,0</v>
      </c>
      <c r="B57" t="str">
        <f>CONCATENATE(617362,",",ROW(BCKQHDR_06610!B57),"|",COLUMN(BCKQHDR_06610!B57),",0",",0")</f>
        <v>617362,57|2,0,0</v>
      </c>
      <c r="C57" t="str">
        <f>CONCATENATE(617369,",",ROW(BCKQHDR_06610!C57),"|",COLUMN(BCKQHDR_06610!C57),",0",",0")</f>
        <v>617369,57|3,0,0</v>
      </c>
      <c r="D57" t="str">
        <f>CONCATENATE(617189,",",ROW(BCKQHDR_06610!D57),"|",COLUMN(BCKQHDR_06610!D57),",0",",0")</f>
        <v>617189,57|4,0,0</v>
      </c>
      <c r="E57" t="str">
        <f>CONCATENATE(617275,",",ROW(BCKQHDR_06610!E57),"|",COLUMN(BCKQHDR_06610!E57),",0",",0")</f>
        <v>617275,57|5,0,0</v>
      </c>
    </row>
    <row r="58" spans="1:5" x14ac:dyDescent="0.25">
      <c r="A58" t="str">
        <f>CONCATENATE(617088,",",ROW(BCKQHDR_06610!A58),"|",COLUMN(BCKQHDR_06610!A58),",0",",0")</f>
        <v>617088,58|1,0,0</v>
      </c>
      <c r="B58" t="str">
        <f>CONCATENATE(617240,",",ROW(BCKQHDR_06610!B58),"|",COLUMN(BCKQHDR_06610!B58),",0",",0")</f>
        <v>617240,58|2,0,0</v>
      </c>
      <c r="C58" t="str">
        <f>CONCATENATE(617370,",",ROW(BCKQHDR_06610!C58),"|",COLUMN(BCKQHDR_06610!C58),",0",",0")</f>
        <v>617370,58|3,0,0</v>
      </c>
      <c r="D58" t="str">
        <f>CONCATENATE(617190,",",ROW(BCKQHDR_06610!D58),"|",COLUMN(BCKQHDR_06610!D58),",0",",0")</f>
        <v>617190,58|4,0,0</v>
      </c>
      <c r="E58" t="str">
        <f>CONCATENATE(617276,",",ROW(BCKQHDR_06610!E58),"|",COLUMN(BCKQHDR_06610!E58),",0",",0")</f>
        <v>617276,58|5,0,0</v>
      </c>
    </row>
    <row r="59" spans="1:5" x14ac:dyDescent="0.25">
      <c r="A59" t="str">
        <f>CONCATENATE(617329,",",ROW(BCKQHDR_06610!A59),"|",COLUMN(BCKQHDR_06610!A59),",0",",0")</f>
        <v>617329,59|1,0,0</v>
      </c>
      <c r="B59" t="str">
        <f>CONCATENATE(617241,",",ROW(BCKQHDR_06610!B59),"|",COLUMN(BCKQHDR_06610!B59),",0",",0")</f>
        <v>617241,59|2,0,0</v>
      </c>
      <c r="C59" t="str">
        <f>CONCATENATE(617371,",",ROW(BCKQHDR_06610!C59),"|",COLUMN(BCKQHDR_06610!C59),",0",",0")</f>
        <v>617371,59|3,0,0</v>
      </c>
      <c r="D59" t="str">
        <f>CONCATENATE(617297,",",ROW(BCKQHDR_06610!D59),"|",COLUMN(BCKQHDR_06610!D59),",0",",0")</f>
        <v>617297,59|4,0,0</v>
      </c>
      <c r="E59" t="str">
        <f>CONCATENATE(617277,",",ROW(BCKQHDR_06610!E59),"|",COLUMN(BCKQHDR_06610!E59),",0",",0")</f>
        <v>617277,59|5,0,0</v>
      </c>
    </row>
    <row r="60" spans="1:5" x14ac:dyDescent="0.25">
      <c r="A60" t="str">
        <f>CONCATENATE(617374,",",ROW(BCKQHDR_06610!A60),"|",COLUMN(BCKQHDR_06610!A60),",0",",0")</f>
        <v>617374,60|1,0,0</v>
      </c>
      <c r="B60" t="str">
        <f>CONCATENATE(617263,",",ROW(BCKQHDR_06610!B60),"|",COLUMN(BCKQHDR_06610!B60),",0",",0")</f>
        <v>617263,60|2,0,0</v>
      </c>
      <c r="C60" t="str">
        <f>CONCATENATE(617372,",",ROW(BCKQHDR_06610!C60),"|",COLUMN(BCKQHDR_06610!C60),",0",",0")</f>
        <v>617372,60|3,0,0</v>
      </c>
      <c r="D60" t="str">
        <f>CONCATENATE(617298,",",ROW(BCKQHDR_06610!D60),"|",COLUMN(BCKQHDR_06610!D60),",0",",0")</f>
        <v>617298,60|4,0,0</v>
      </c>
      <c r="E60" t="str">
        <f>CONCATENATE(617278,",",ROW(BCKQHDR_06610!E60),"|",COLUMN(BCKQHDR_06610!E60),",0",",0")</f>
        <v>617278,60|5,0,0</v>
      </c>
    </row>
    <row r="61" spans="1:5" x14ac:dyDescent="0.25">
      <c r="A61" t="str">
        <f>CONCATENATE(617334,",",ROW(BCKQHDR_06610!A61),"|",COLUMN(BCKQHDR_06610!A61),",0",",0")</f>
        <v>617334,61|1,0,0</v>
      </c>
      <c r="B61" t="str">
        <f>CONCATENATE(617344,",",ROW(BCKQHDR_06610!B61),"|",COLUMN(BCKQHDR_06610!B61),",0",",0")</f>
        <v>617344,61|2,0,0</v>
      </c>
      <c r="C61" t="str">
        <f>CONCATENATE(617373,",",ROW(BCKQHDR_06610!C61),"|",COLUMN(BCKQHDR_06610!C61),",0",",0")</f>
        <v>617373,61|3,0,0</v>
      </c>
      <c r="D61" t="str">
        <f>CONCATENATE(617301,",",ROW(BCKQHDR_06610!D61),"|",COLUMN(BCKQHDR_06610!D61),",0",",0")</f>
        <v>617301,61|4,0,0</v>
      </c>
      <c r="E61" t="str">
        <f>CONCATENATE(617279,",",ROW(BCKQHDR_06610!E61),"|",COLUMN(BCKQHDR_06610!E61),",0",",0")</f>
        <v>617279,61|5,0,0</v>
      </c>
    </row>
    <row r="62" spans="1:5" x14ac:dyDescent="0.25">
      <c r="A62" t="str">
        <f>CONCATENATE(617353,",",ROW(BCKQHDR_06610!A62),"|",COLUMN(BCKQHDR_06610!A62),",0",",0")</f>
        <v>617353,62|1,0,0</v>
      </c>
      <c r="B62" t="str">
        <f>CONCATENATE(617221,",",ROW(BCKQHDR_06610!B62),"|",COLUMN(BCKQHDR_06610!B62),",0",",0")</f>
        <v>617221,62|2,0,0</v>
      </c>
      <c r="C62" t="str">
        <f>CONCATENATE(617375,",",ROW(BCKQHDR_06610!C62),"|",COLUMN(BCKQHDR_06610!C62),",0",",0")</f>
        <v>617375,62|3,0,0</v>
      </c>
      <c r="D62" t="str">
        <f>CONCATENATE(617302,",",ROW(BCKQHDR_06610!D62),"|",COLUMN(BCKQHDR_06610!D62),",0",",0")</f>
        <v>617302,62|4,0,0</v>
      </c>
      <c r="E62" t="str">
        <f>CONCATENATE(617280,",",ROW(BCKQHDR_06610!E62),"|",COLUMN(BCKQHDR_06610!E62),",0",",0")</f>
        <v>617280,62|5,0,0</v>
      </c>
    </row>
    <row r="63" spans="1:5" x14ac:dyDescent="0.25">
      <c r="A63" t="str">
        <f>CONCATENATE(617111,",",ROW(BCKQHDR_06610!A63),"|",COLUMN(BCKQHDR_06610!A63),",0",",0")</f>
        <v>617111,63|1,0,0</v>
      </c>
      <c r="B63" t="str">
        <f>CONCATENATE(617264,",",ROW(BCKQHDR_06610!B63),"|",COLUMN(BCKQHDR_06610!B63),",0",",0")</f>
        <v>617264,63|2,0,0</v>
      </c>
      <c r="C63" t="str">
        <f>CONCATENATE(617376,",",ROW(BCKQHDR_06610!C63),"|",COLUMN(BCKQHDR_06610!C63),",0",",0")</f>
        <v>617376,63|3,0,0</v>
      </c>
      <c r="D63" t="str">
        <f>CONCATENATE(617299,",",ROW(BCKQHDR_06610!D63),"|",COLUMN(BCKQHDR_06610!D63),",0",",0")</f>
        <v>617299,63|4,0,0</v>
      </c>
      <c r="E63" t="str">
        <f>CONCATENATE(617121,",",ROW(BCKQHDR_06610!E63),"|",COLUMN(BCKQHDR_06610!E63),",0",",0")</f>
        <v>617121,63|5,0,0</v>
      </c>
    </row>
    <row r="64" spans="1:5" x14ac:dyDescent="0.25">
      <c r="A64" t="str">
        <f>CONCATENATE(617161,",",ROW(BCKQHDR_06610!A64),"|",COLUMN(BCKQHDR_06610!A64),",0",",0")</f>
        <v>617161,64|1,0,0</v>
      </c>
      <c r="B64" t="str">
        <f>CONCATENATE(617156,",",ROW(BCKQHDR_06610!B64),"|",COLUMN(BCKQHDR_06610!B64),",0",",0")</f>
        <v>617156,64|2,0,0</v>
      </c>
      <c r="C64" t="str">
        <f>CONCATENATE(617377,",",ROW(BCKQHDR_06610!C64),"|",COLUMN(BCKQHDR_06610!C64),",0",",0")</f>
        <v>617377,64|3,0,0</v>
      </c>
      <c r="D64" t="str">
        <f>CONCATENATE(617300,",",ROW(BCKQHDR_06610!D64),"|",COLUMN(BCKQHDR_06610!D64),",0",",0")</f>
        <v>617300,64|4,0,0</v>
      </c>
      <c r="E64" t="str">
        <f>CONCATENATE(617122,",",ROW(BCKQHDR_06610!E64),"|",COLUMN(BCKQHDR_06610!E64),",0",",0")</f>
        <v>617122,64|5,0,0</v>
      </c>
    </row>
    <row r="65" spans="1:5" x14ac:dyDescent="0.25">
      <c r="A65" t="str">
        <f>CONCATENATE(617163,",",ROW(BCKQHDR_06610!A65),"|",COLUMN(BCKQHDR_06610!A65),",0",",0")</f>
        <v>617163,65|1,0,0</v>
      </c>
      <c r="B65" t="str">
        <f>CONCATENATE(617222,",",ROW(BCKQHDR_06610!B65),"|",COLUMN(BCKQHDR_06610!B65),",0",",0")</f>
        <v>617222,65|2,0,0</v>
      </c>
      <c r="C65" t="str">
        <f>CONCATENATE(617378,",",ROW(BCKQHDR_06610!C65),"|",COLUMN(BCKQHDR_06610!C65),",0",",0")</f>
        <v>617378,65|3,0,0</v>
      </c>
      <c r="D65" t="str">
        <f>CONCATENATE(617305,",",ROW(BCKQHDR_06610!D65),"|",COLUMN(BCKQHDR_06610!D65),",0",",0")</f>
        <v>617305,65|4,0,0</v>
      </c>
      <c r="E65" t="str">
        <f>CONCATENATE(617123,",",ROW(BCKQHDR_06610!E65),"|",COLUMN(BCKQHDR_06610!E65),",0",",0")</f>
        <v>617123,65|5,0,0</v>
      </c>
    </row>
    <row r="66" spans="1:5" x14ac:dyDescent="0.25">
      <c r="A66" t="str">
        <f>CONCATENATE(617112,",",ROW(BCKQHDR_06610!A66),"|",COLUMN(BCKQHDR_06610!A66),",0",",0")</f>
        <v>617112,66|1,0,0</v>
      </c>
      <c r="B66" t="str">
        <f>CONCATENATE(617242,",",ROW(BCKQHDR_06610!B66),"|",COLUMN(BCKQHDR_06610!B66),",0",",0")</f>
        <v>617242,66|2,0,0</v>
      </c>
      <c r="C66" t="str">
        <f>CONCATENATE(617379,",",ROW(BCKQHDR_06610!C66),"|",COLUMN(BCKQHDR_06610!C66),",0",",0")</f>
        <v>617379,66|3,0,0</v>
      </c>
      <c r="D66" t="str">
        <f>CONCATENATE(617303,",",ROW(BCKQHDR_06610!D66),"|",COLUMN(BCKQHDR_06610!D66),",0",",0")</f>
        <v>617303,66|4,0,0</v>
      </c>
      <c r="E66" t="str">
        <f>CONCATENATE(617239,",",ROW(BCKQHDR_06610!E66),"|",COLUMN(BCKQHDR_06610!E66),",0",",0")</f>
        <v>617239,66|5,0,0</v>
      </c>
    </row>
    <row r="67" spans="1:5" x14ac:dyDescent="0.25">
      <c r="A67" t="str">
        <f>CONCATENATE(617164,",",ROW(BCKQHDR_06610!A67),"|",COLUMN(BCKQHDR_06610!A67),",0",",0")</f>
        <v>617164,67|1,0,0</v>
      </c>
      <c r="B67" t="str">
        <f>CONCATENATE(617265,",",ROW(BCKQHDR_06610!B67),"|",COLUMN(BCKQHDR_06610!B67),",0",",0")</f>
        <v>617265,67|2,0,0</v>
      </c>
      <c r="C67" t="str">
        <f>CONCATENATE(617380,",",ROW(BCKQHDR_06610!C67),"|",COLUMN(BCKQHDR_06610!C67),",0",",0")</f>
        <v>617380,67|3,0,0</v>
      </c>
      <c r="D67" t="str">
        <f>CONCATENATE(617304,",",ROW(BCKQHDR_06610!D67),"|",COLUMN(BCKQHDR_06610!D67),",0",",0")</f>
        <v>617304,67|4,0,0</v>
      </c>
      <c r="E67" t="str">
        <f>CONCATENATE(617157,",",ROW(BCKQHDR_06610!E67),"|",COLUMN(BCKQHDR_06610!E67),",0",",0")</f>
        <v>617157,67|5,0,0</v>
      </c>
    </row>
    <row r="68" spans="1:5" x14ac:dyDescent="0.25">
      <c r="A68" t="str">
        <f>CONCATENATE(617227,",",ROW(BCKQHDR_06610!A68),"|",COLUMN(BCKQHDR_06610!A68),",0",",0")</f>
        <v>617227,68|1,0,0</v>
      </c>
      <c r="B68" t="str">
        <f>CONCATENATE(617345,",",ROW(BCKQHDR_06610!B68),"|",COLUMN(BCKQHDR_06610!B68),",0",",0")</f>
        <v>617345,68|2,0,0</v>
      </c>
      <c r="C68" t="str">
        <f>CONCATENATE(617381,",",ROW(BCKQHDR_06610!C68),"|",COLUMN(BCKQHDR_06610!C68),",0",",0")</f>
        <v>617381,68|3,0,0</v>
      </c>
      <c r="D68" t="str">
        <f>CONCATENATE(617306,",",ROW(BCKQHDR_06610!D68),"|",COLUMN(BCKQHDR_06610!D68),",0",",0")</f>
        <v>617306,68|4,0,0</v>
      </c>
      <c r="E68" t="str">
        <f>CONCATENATE(617066,",",ROW(BCKQHDR_06610!E68),"|",COLUMN(BCKQHDR_06610!E68),",0",",0")</f>
        <v>617066,68|5,0,0</v>
      </c>
    </row>
    <row r="69" spans="1:5" x14ac:dyDescent="0.25">
      <c r="A69" t="str">
        <f>CONCATENATE(617335,",",ROW(BCKQHDR_06610!A69),"|",COLUMN(BCKQHDR_06610!A69),",0",",0")</f>
        <v>617335,69|1,0,0</v>
      </c>
      <c r="B69" t="str">
        <f>CONCATENATE(617224,",",ROW(BCKQHDR_06610!B69),"|",COLUMN(BCKQHDR_06610!B69),",0",",0")</f>
        <v>617224,69|2,0,0</v>
      </c>
      <c r="C69" t="str">
        <f>CONCATENATE(617382,",",ROW(BCKQHDR_06610!C69),"|",COLUMN(BCKQHDR_06610!C69),",0",",0")</f>
        <v>617382,69|3,0,0</v>
      </c>
      <c r="D69" t="str">
        <f>CONCATENATE(617307,",",ROW(BCKQHDR_06610!D69),"|",COLUMN(BCKQHDR_06610!D69),",0",",0")</f>
        <v>617307,69|4,0,0</v>
      </c>
      <c r="E69" t="str">
        <f>CONCATENATE(617281,",",ROW(BCKQHDR_06610!E69),"|",COLUMN(BCKQHDR_06610!E69),",0",",0")</f>
        <v>617281,69|5,0,0</v>
      </c>
    </row>
    <row r="70" spans="1:5" x14ac:dyDescent="0.25">
      <c r="A70" t="str">
        <f>CONCATENATE(617113,",",ROW(BCKQHDR_06610!A70),"|",COLUMN(BCKQHDR_06610!A70),",0",",0")</f>
        <v>617113,70|1,0,0</v>
      </c>
      <c r="B70" t="str">
        <f>CONCATENATE(617386,",",ROW(BCKQHDR_06610!B70),"|",COLUMN(BCKQHDR_06610!B70),",0",",0")</f>
        <v>617386,70|2,0,0</v>
      </c>
      <c r="C70" t="str">
        <f>CONCATENATE(617383,",",ROW(BCKQHDR_06610!C70),"|",COLUMN(BCKQHDR_06610!C70),",0",",0")</f>
        <v>617383,70|3,0,0</v>
      </c>
      <c r="D70" t="str">
        <f>CONCATENATE(617308,",",ROW(BCKQHDR_06610!D70),"|",COLUMN(BCKQHDR_06610!D70),",0",",0")</f>
        <v>617308,70|4,0,0</v>
      </c>
      <c r="E70" t="str">
        <f>CONCATENATE(617282,",",ROW(BCKQHDR_06610!E70),"|",COLUMN(BCKQHDR_06610!E70),",0",",0")</f>
        <v>617282,70|5,0,0</v>
      </c>
    </row>
    <row r="71" spans="1:5" x14ac:dyDescent="0.25">
      <c r="A71" t="str">
        <f>CONCATENATE(617171,",",ROW(BCKQHDR_06610!A71),"|",COLUMN(BCKQHDR_06610!A71),",0",",0")</f>
        <v>617171,71|1,0,0</v>
      </c>
      <c r="B71" t="str">
        <f>CONCATENATE(617243,",",ROW(BCKQHDR_06610!B71),"|",COLUMN(BCKQHDR_06610!B71),",0",",0")</f>
        <v>617243,71|2,0,0</v>
      </c>
      <c r="C71" t="str">
        <f>CONCATENATE(617384,",",ROW(BCKQHDR_06610!C71),"|",COLUMN(BCKQHDR_06610!C71),",0",",0")</f>
        <v>617384,71|3,0,0</v>
      </c>
      <c r="D71" t="str">
        <f>CONCATENATE(617309,",",ROW(BCKQHDR_06610!D71),"|",COLUMN(BCKQHDR_06610!D71),",0",",0")</f>
        <v>617309,71|4,0,0</v>
      </c>
      <c r="E71" t="str">
        <f>CONCATENATE(617283,",",ROW(BCKQHDR_06610!E71),"|",COLUMN(BCKQHDR_06610!E71),",0",",0")</f>
        <v>617283,71|5,0,0</v>
      </c>
    </row>
    <row r="72" spans="1:5" x14ac:dyDescent="0.25">
      <c r="A72" t="str">
        <f>CONCATENATE(617336,",",ROW(BCKQHDR_06610!A72),"|",COLUMN(BCKQHDR_06610!A72),",0",",0")</f>
        <v>617336,72|1,0,0</v>
      </c>
      <c r="B72" t="str">
        <f>CONCATENATE(617266,",",ROW(BCKQHDR_06610!B72),"|",COLUMN(BCKQHDR_06610!B72),",0",",0")</f>
        <v>617266,72|2,0,0</v>
      </c>
      <c r="C72" t="str">
        <f>CONCATENATE(617385,",",ROW(BCKQHDR_06610!C72),"|",COLUMN(BCKQHDR_06610!C72),",0",",0")</f>
        <v>617385,72|3,0,0</v>
      </c>
      <c r="D72" t="str">
        <f>CONCATENATE(617310,",",ROW(BCKQHDR_06610!D72),"|",COLUMN(BCKQHDR_06610!D72),",0",",0")</f>
        <v>617310,72|4,0,0</v>
      </c>
      <c r="E72" t="str">
        <f>CONCATENATE(617284,",",ROW(BCKQHDR_06610!E72),"|",COLUMN(BCKQHDR_06610!E72),",0",",0")</f>
        <v>617284,72|5,0,0</v>
      </c>
    </row>
    <row r="73" spans="1:5" x14ac:dyDescent="0.25">
      <c r="A73" t="str">
        <f>CONCATENATE(617348,",",ROW(BCKQHDR_06610!A73),"|",COLUMN(BCKQHDR_06610!A73),",0",",0")</f>
        <v>617348,73|1,0,0</v>
      </c>
      <c r="B73" t="str">
        <f>CONCATENATE(617244,",",ROW(BCKQHDR_06610!B73),"|",COLUMN(BCKQHDR_06610!B73),",0",",0")</f>
        <v>617244,73|2,0,0</v>
      </c>
      <c r="C73" t="str">
        <f>CONCATENATE(617129,",",ROW(BCKQHDR_06610!C73),"|",COLUMN(BCKQHDR_06610!C73),",0",",0")</f>
        <v>617129,73|3,0,0</v>
      </c>
      <c r="D73" t="str">
        <f>CONCATENATE(617311,",",ROW(BCKQHDR_06610!D73),"|",COLUMN(BCKQHDR_06610!D73),",0",",0")</f>
        <v>617311,73|4,0,0</v>
      </c>
      <c r="E73" t="str">
        <f>CONCATENATE(617285,",",ROW(BCKQHDR_06610!E73),"|",COLUMN(BCKQHDR_06610!E73),",0",",0")</f>
        <v>617285,73|5,0,0</v>
      </c>
    </row>
    <row r="74" spans="1:5" x14ac:dyDescent="0.25">
      <c r="A74" t="str">
        <f>CONCATENATE(617250,",",ROW(BCKQHDR_06610!A74),"|",COLUMN(BCKQHDR_06610!A74),",0",",0")</f>
        <v>617250,74|1,0,0</v>
      </c>
      <c r="B74" t="str">
        <f>CONCATENATE(617237,",",ROW(BCKQHDR_06610!B74),"|",COLUMN(BCKQHDR_06610!B74),",0",",0")</f>
        <v>617237,74|2,0,0</v>
      </c>
      <c r="C74" t="str">
        <f>CONCATENATE(617130,",",ROW(BCKQHDR_06610!C74),"|",COLUMN(BCKQHDR_06610!C74),",0",",0")</f>
        <v>617130,74|3,0,0</v>
      </c>
      <c r="D74" t="str">
        <f>CONCATENATE(617312,",",ROW(BCKQHDR_06610!D74),"|",COLUMN(BCKQHDR_06610!D74),",0",",0")</f>
        <v>617312,74|4,0,0</v>
      </c>
      <c r="E74" t="str">
        <f>CONCATENATE(617286,",",ROW(BCKQHDR_06610!E74),"|",COLUMN(BCKQHDR_06610!E74),",0",",0")</f>
        <v>617286,74|5,0,0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8"/>
  <sheetViews>
    <sheetView workbookViewId="0">
      <selection sqref="A1:E1"/>
    </sheetView>
  </sheetViews>
  <sheetFormatPr defaultRowHeight="15" x14ac:dyDescent="0.2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5" ht="20.25" x14ac:dyDescent="0.3">
      <c r="A1" s="1624" t="s">
        <v>14</v>
      </c>
      <c r="B1" s="1624" t="s">
        <v>5</v>
      </c>
      <c r="C1" s="1624" t="s">
        <v>5</v>
      </c>
      <c r="D1" s="1624" t="s">
        <v>5</v>
      </c>
      <c r="E1" s="1624" t="s">
        <v>5</v>
      </c>
    </row>
    <row r="2" spans="1:5" ht="18.75" x14ac:dyDescent="0.3">
      <c r="A2" s="1625" t="s">
        <v>504</v>
      </c>
      <c r="B2" s="1625" t="s">
        <v>5</v>
      </c>
      <c r="C2" s="1625" t="s">
        <v>5</v>
      </c>
      <c r="D2" s="1625" t="s">
        <v>5</v>
      </c>
      <c r="E2" s="1625" t="s">
        <v>5</v>
      </c>
    </row>
    <row r="3" spans="1:5" ht="18.75" x14ac:dyDescent="0.3">
      <c r="A3" s="1625" t="s">
        <v>505</v>
      </c>
      <c r="B3" s="1625" t="s">
        <v>5</v>
      </c>
      <c r="C3" s="1625" t="s">
        <v>5</v>
      </c>
      <c r="D3" s="1625" t="s">
        <v>5</v>
      </c>
      <c r="E3" s="1625" t="s">
        <v>5</v>
      </c>
    </row>
    <row r="4" spans="1:5" ht="18.75" x14ac:dyDescent="0.25">
      <c r="A4" s="791" t="s">
        <v>386</v>
      </c>
      <c r="B4" s="791" t="s">
        <v>31</v>
      </c>
      <c r="C4" s="791" t="s">
        <v>32</v>
      </c>
      <c r="D4" s="791" t="s">
        <v>387</v>
      </c>
      <c r="E4" s="791" t="s">
        <v>388</v>
      </c>
    </row>
    <row r="5" spans="1:5" ht="16.5" x14ac:dyDescent="0.25">
      <c r="A5" s="927" t="s">
        <v>39</v>
      </c>
      <c r="B5" s="920" t="s">
        <v>114</v>
      </c>
      <c r="C5" s="972" t="s">
        <v>79</v>
      </c>
      <c r="D5" s="921" t="s">
        <v>223</v>
      </c>
      <c r="E5" s="958" t="s">
        <v>80</v>
      </c>
    </row>
    <row r="6" spans="1:5" ht="49.5" x14ac:dyDescent="0.25">
      <c r="A6" s="922" t="s">
        <v>539</v>
      </c>
      <c r="B6" s="790" t="s">
        <v>5</v>
      </c>
      <c r="C6" s="858"/>
      <c r="D6" s="1000" t="s">
        <v>5</v>
      </c>
      <c r="E6" s="796" t="s">
        <v>5</v>
      </c>
    </row>
    <row r="7" spans="1:5" ht="49.5" x14ac:dyDescent="0.25">
      <c r="A7" s="811" t="s">
        <v>506</v>
      </c>
      <c r="B7" s="825" t="s">
        <v>223</v>
      </c>
      <c r="C7" s="962"/>
      <c r="D7" s="932" t="s">
        <v>5</v>
      </c>
      <c r="E7" s="877" t="s">
        <v>5</v>
      </c>
    </row>
    <row r="8" spans="1:5" ht="49.5" x14ac:dyDescent="0.25">
      <c r="A8" s="960" t="s">
        <v>554</v>
      </c>
      <c r="B8" s="826" t="s">
        <v>80</v>
      </c>
      <c r="C8" s="843"/>
      <c r="D8" s="985" t="s">
        <v>5</v>
      </c>
      <c r="E8" s="902" t="s">
        <v>5</v>
      </c>
    </row>
    <row r="9" spans="1:5" ht="49.5" x14ac:dyDescent="0.25">
      <c r="A9" s="973" t="s">
        <v>559</v>
      </c>
      <c r="B9" s="827" t="s">
        <v>380</v>
      </c>
      <c r="C9" s="844"/>
      <c r="D9" s="986" t="s">
        <v>5</v>
      </c>
      <c r="E9" s="903" t="s">
        <v>5</v>
      </c>
    </row>
    <row r="10" spans="1:5" ht="33" x14ac:dyDescent="0.25">
      <c r="A10" s="923" t="s">
        <v>540</v>
      </c>
      <c r="B10" s="828" t="s">
        <v>381</v>
      </c>
      <c r="C10" s="845"/>
      <c r="D10" s="987" t="s">
        <v>5</v>
      </c>
      <c r="E10" s="904" t="s">
        <v>5</v>
      </c>
    </row>
    <row r="11" spans="1:5" ht="33" x14ac:dyDescent="0.25">
      <c r="A11" s="974" t="s">
        <v>560</v>
      </c>
      <c r="B11" s="829" t="s">
        <v>328</v>
      </c>
      <c r="C11" s="846"/>
      <c r="D11" s="988" t="s">
        <v>5</v>
      </c>
      <c r="E11" s="905" t="s">
        <v>5</v>
      </c>
    </row>
    <row r="12" spans="1:5" ht="49.5" x14ac:dyDescent="0.25">
      <c r="A12" s="975" t="s">
        <v>561</v>
      </c>
      <c r="B12" s="830" t="s">
        <v>384</v>
      </c>
      <c r="C12" s="847"/>
      <c r="D12" s="989" t="s">
        <v>5</v>
      </c>
      <c r="E12" s="906" t="s">
        <v>5</v>
      </c>
    </row>
    <row r="13" spans="1:5" ht="49.5" x14ac:dyDescent="0.25">
      <c r="A13" s="968" t="s">
        <v>556</v>
      </c>
      <c r="B13" s="887" t="s">
        <v>385</v>
      </c>
      <c r="C13" s="861"/>
      <c r="D13" s="1003" t="s">
        <v>5</v>
      </c>
      <c r="E13" s="799" t="s">
        <v>5</v>
      </c>
    </row>
    <row r="14" spans="1:5" ht="49.5" x14ac:dyDescent="0.25">
      <c r="A14" s="956" t="s">
        <v>552</v>
      </c>
      <c r="B14" s="880" t="s">
        <v>329</v>
      </c>
      <c r="C14" s="859"/>
      <c r="D14" s="1001" t="s">
        <v>5</v>
      </c>
      <c r="E14" s="797" t="s">
        <v>5</v>
      </c>
    </row>
    <row r="15" spans="1:5" ht="49.5" x14ac:dyDescent="0.25">
      <c r="A15" s="977" t="s">
        <v>563</v>
      </c>
      <c r="B15" s="881" t="s">
        <v>318</v>
      </c>
      <c r="C15" s="869"/>
      <c r="D15" s="872" t="s">
        <v>5</v>
      </c>
      <c r="E15" s="807" t="s">
        <v>5</v>
      </c>
    </row>
    <row r="16" spans="1:5" ht="66" x14ac:dyDescent="0.25">
      <c r="A16" s="812" t="s">
        <v>507</v>
      </c>
      <c r="B16" s="882" t="s">
        <v>382</v>
      </c>
      <c r="C16" s="963"/>
      <c r="D16" s="933" t="s">
        <v>5</v>
      </c>
      <c r="E16" s="878" t="s">
        <v>5</v>
      </c>
    </row>
    <row r="17" spans="1:5" ht="49.5" x14ac:dyDescent="0.25">
      <c r="A17" s="976" t="s">
        <v>562</v>
      </c>
      <c r="B17" s="883" t="s">
        <v>299</v>
      </c>
      <c r="C17" s="868"/>
      <c r="D17" s="871" t="s">
        <v>5</v>
      </c>
      <c r="E17" s="806" t="s">
        <v>5</v>
      </c>
    </row>
    <row r="18" spans="1:5" ht="66" x14ac:dyDescent="0.25">
      <c r="A18" s="813" t="s">
        <v>508</v>
      </c>
      <c r="B18" s="819" t="s">
        <v>330</v>
      </c>
      <c r="C18" s="873"/>
      <c r="D18" s="934" t="s">
        <v>5</v>
      </c>
      <c r="E18" s="892" t="s">
        <v>5</v>
      </c>
    </row>
    <row r="19" spans="1:5" ht="51.75" x14ac:dyDescent="0.25">
      <c r="A19" s="814" t="s">
        <v>509</v>
      </c>
      <c r="B19" s="888" t="s">
        <v>527</v>
      </c>
      <c r="C19" s="964"/>
      <c r="D19" s="935" t="s">
        <v>5</v>
      </c>
      <c r="E19" s="893" t="s">
        <v>5</v>
      </c>
    </row>
    <row r="20" spans="1:5" ht="49.5" x14ac:dyDescent="0.25">
      <c r="A20" s="978" t="s">
        <v>564</v>
      </c>
      <c r="B20" s="790" t="s">
        <v>5</v>
      </c>
      <c r="C20" s="929"/>
      <c r="D20" s="874" t="s">
        <v>5</v>
      </c>
      <c r="E20" s="808" t="s">
        <v>5</v>
      </c>
    </row>
    <row r="21" spans="1:5" ht="66" x14ac:dyDescent="0.25">
      <c r="A21" s="836" t="s">
        <v>523</v>
      </c>
      <c r="B21" s="949" t="s">
        <v>383</v>
      </c>
      <c r="C21" s="853"/>
      <c r="D21" s="995" t="s">
        <v>5</v>
      </c>
      <c r="E21" s="955" t="s">
        <v>5</v>
      </c>
    </row>
    <row r="22" spans="1:5" ht="66" x14ac:dyDescent="0.25">
      <c r="A22" s="837" t="s">
        <v>524</v>
      </c>
      <c r="B22" s="950" t="s">
        <v>550</v>
      </c>
      <c r="C22" s="862"/>
      <c r="D22" s="1004" t="s">
        <v>5</v>
      </c>
      <c r="E22" s="800" t="s">
        <v>5</v>
      </c>
    </row>
    <row r="23" spans="1:5" ht="66" x14ac:dyDescent="0.25">
      <c r="A23" s="925" t="s">
        <v>542</v>
      </c>
      <c r="B23" s="926" t="s">
        <v>543</v>
      </c>
      <c r="C23" s="931"/>
      <c r="D23" s="876" t="s">
        <v>5</v>
      </c>
      <c r="E23" s="810" t="s">
        <v>5</v>
      </c>
    </row>
    <row r="24" spans="1:5" ht="66" x14ac:dyDescent="0.25">
      <c r="A24" s="928" t="s">
        <v>544</v>
      </c>
      <c r="B24" s="961" t="s">
        <v>555</v>
      </c>
      <c r="C24" s="930"/>
      <c r="D24" s="875" t="s">
        <v>5</v>
      </c>
      <c r="E24" s="809" t="s">
        <v>5</v>
      </c>
    </row>
    <row r="25" spans="1:5" ht="66" x14ac:dyDescent="0.25">
      <c r="A25" s="979" t="s">
        <v>565</v>
      </c>
      <c r="B25" s="951" t="s">
        <v>551</v>
      </c>
      <c r="C25" s="866"/>
      <c r="D25" s="1008" t="s">
        <v>5</v>
      </c>
      <c r="E25" s="804" t="s">
        <v>5</v>
      </c>
    </row>
    <row r="26" spans="1:5" ht="49.5" x14ac:dyDescent="0.25">
      <c r="A26" s="911" t="s">
        <v>531</v>
      </c>
      <c r="B26" s="820" t="s">
        <v>514</v>
      </c>
      <c r="C26" s="838"/>
      <c r="D26" s="940" t="s">
        <v>5</v>
      </c>
      <c r="E26" s="897" t="s">
        <v>5</v>
      </c>
    </row>
    <row r="27" spans="1:5" ht="49.5" x14ac:dyDescent="0.25">
      <c r="A27" s="924" t="s">
        <v>541</v>
      </c>
      <c r="B27" s="790" t="s">
        <v>5</v>
      </c>
      <c r="C27" s="839"/>
      <c r="D27" s="941" t="s">
        <v>5</v>
      </c>
      <c r="E27" s="898" t="s">
        <v>5</v>
      </c>
    </row>
    <row r="28" spans="1:5" ht="66" x14ac:dyDescent="0.25">
      <c r="A28" s="815" t="s">
        <v>510</v>
      </c>
      <c r="B28" s="821" t="s">
        <v>515</v>
      </c>
      <c r="C28" s="965"/>
      <c r="D28" s="936" t="s">
        <v>5</v>
      </c>
      <c r="E28" s="894" t="s">
        <v>5</v>
      </c>
    </row>
    <row r="29" spans="1:5" ht="66" x14ac:dyDescent="0.25">
      <c r="A29" s="943" t="s">
        <v>545</v>
      </c>
      <c r="B29" s="889" t="s">
        <v>528</v>
      </c>
      <c r="C29" s="863"/>
      <c r="D29" s="1005" t="s">
        <v>5</v>
      </c>
      <c r="E29" s="801" t="s">
        <v>5</v>
      </c>
    </row>
    <row r="30" spans="1:5" ht="33" x14ac:dyDescent="0.25">
      <c r="A30" s="816" t="s">
        <v>511</v>
      </c>
      <c r="B30" s="884" t="s">
        <v>525</v>
      </c>
      <c r="C30" s="966"/>
      <c r="D30" s="937" t="s">
        <v>5</v>
      </c>
      <c r="E30" s="959" t="s">
        <v>5</v>
      </c>
    </row>
    <row r="31" spans="1:5" ht="49.5" x14ac:dyDescent="0.25">
      <c r="A31" s="944" t="s">
        <v>546</v>
      </c>
      <c r="B31" s="831" t="s">
        <v>519</v>
      </c>
      <c r="C31" s="848"/>
      <c r="D31" s="990" t="s">
        <v>5</v>
      </c>
      <c r="E31" s="907" t="s">
        <v>5</v>
      </c>
    </row>
    <row r="32" spans="1:5" ht="33" x14ac:dyDescent="0.25">
      <c r="A32" s="912" t="s">
        <v>532</v>
      </c>
      <c r="B32" s="890" t="s">
        <v>529</v>
      </c>
      <c r="C32" s="854"/>
      <c r="D32" s="996" t="s">
        <v>5</v>
      </c>
      <c r="E32" s="792" t="s">
        <v>5</v>
      </c>
    </row>
    <row r="33" spans="1:5" ht="33" x14ac:dyDescent="0.25">
      <c r="A33" s="817" t="s">
        <v>512</v>
      </c>
      <c r="B33" s="952" t="s">
        <v>350</v>
      </c>
      <c r="C33" s="967"/>
      <c r="D33" s="938" t="s">
        <v>5</v>
      </c>
      <c r="E33" s="895" t="s">
        <v>5</v>
      </c>
    </row>
    <row r="34" spans="1:5" ht="49.5" x14ac:dyDescent="0.25">
      <c r="A34" s="918" t="s">
        <v>537</v>
      </c>
      <c r="B34" s="832" t="s">
        <v>520</v>
      </c>
      <c r="C34" s="849"/>
      <c r="D34" s="991" t="s">
        <v>5</v>
      </c>
      <c r="E34" s="908" t="s">
        <v>5</v>
      </c>
    </row>
    <row r="35" spans="1:5" ht="49.5" x14ac:dyDescent="0.25">
      <c r="A35" s="945" t="s">
        <v>547</v>
      </c>
      <c r="B35" s="822" t="s">
        <v>516</v>
      </c>
      <c r="C35" s="840"/>
      <c r="D35" s="942" t="s">
        <v>5</v>
      </c>
      <c r="E35" s="899" t="s">
        <v>5</v>
      </c>
    </row>
    <row r="36" spans="1:5" ht="33" x14ac:dyDescent="0.25">
      <c r="A36" s="946" t="s">
        <v>548</v>
      </c>
      <c r="B36" s="891" t="s">
        <v>530</v>
      </c>
      <c r="C36" s="864"/>
      <c r="D36" s="1006" t="s">
        <v>5</v>
      </c>
      <c r="E36" s="802" t="s">
        <v>5</v>
      </c>
    </row>
    <row r="37" spans="1:5" ht="49.5" x14ac:dyDescent="0.25">
      <c r="A37" s="947" t="s">
        <v>549</v>
      </c>
      <c r="B37" s="833" t="s">
        <v>334</v>
      </c>
      <c r="C37" s="850"/>
      <c r="D37" s="992" t="s">
        <v>5</v>
      </c>
      <c r="E37" s="909" t="s">
        <v>5</v>
      </c>
    </row>
    <row r="38" spans="1:5" ht="49.5" x14ac:dyDescent="0.25">
      <c r="A38" s="919" t="s">
        <v>538</v>
      </c>
      <c r="B38" s="823" t="s">
        <v>517</v>
      </c>
      <c r="C38" s="841"/>
      <c r="D38" s="983" t="s">
        <v>5</v>
      </c>
      <c r="E38" s="900" t="s">
        <v>5</v>
      </c>
    </row>
    <row r="39" spans="1:5" ht="51.75" x14ac:dyDescent="0.25">
      <c r="A39" s="957" t="s">
        <v>553</v>
      </c>
      <c r="B39" s="980" t="s">
        <v>447</v>
      </c>
      <c r="C39" s="860"/>
      <c r="D39" s="1002" t="s">
        <v>5</v>
      </c>
      <c r="E39" s="798" t="s">
        <v>5</v>
      </c>
    </row>
    <row r="40" spans="1:5" ht="49.5" x14ac:dyDescent="0.25">
      <c r="A40" s="913" t="s">
        <v>533</v>
      </c>
      <c r="B40" s="834" t="s">
        <v>521</v>
      </c>
      <c r="C40" s="851"/>
      <c r="D40" s="993" t="s">
        <v>5</v>
      </c>
      <c r="E40" s="910" t="s">
        <v>5</v>
      </c>
    </row>
    <row r="41" spans="1:5" ht="49.5" x14ac:dyDescent="0.25">
      <c r="A41" s="914" t="s">
        <v>534</v>
      </c>
      <c r="B41" s="824" t="s">
        <v>518</v>
      </c>
      <c r="C41" s="842"/>
      <c r="D41" s="984" t="s">
        <v>5</v>
      </c>
      <c r="E41" s="901" t="s">
        <v>5</v>
      </c>
    </row>
    <row r="42" spans="1:5" ht="33" x14ac:dyDescent="0.25">
      <c r="A42" s="982" t="s">
        <v>536</v>
      </c>
      <c r="B42" s="835" t="s">
        <v>522</v>
      </c>
      <c r="C42" s="852"/>
      <c r="D42" s="994" t="s">
        <v>5</v>
      </c>
      <c r="E42" s="948" t="s">
        <v>5</v>
      </c>
    </row>
    <row r="43" spans="1:5" ht="33" x14ac:dyDescent="0.25">
      <c r="A43" s="915" t="s">
        <v>535</v>
      </c>
      <c r="B43" s="953" t="s">
        <v>487</v>
      </c>
      <c r="C43" s="855"/>
      <c r="D43" s="997" t="s">
        <v>5</v>
      </c>
      <c r="E43" s="793" t="s">
        <v>5</v>
      </c>
    </row>
    <row r="44" spans="1:5" ht="49.5" x14ac:dyDescent="0.25">
      <c r="A44" s="818" t="s">
        <v>513</v>
      </c>
      <c r="B44" s="885" t="s">
        <v>526</v>
      </c>
      <c r="C44" s="969"/>
      <c r="D44" s="939" t="s">
        <v>5</v>
      </c>
      <c r="E44" s="896" t="s">
        <v>5</v>
      </c>
    </row>
    <row r="45" spans="1:5" ht="66" x14ac:dyDescent="0.25">
      <c r="A45" s="981" t="s">
        <v>566</v>
      </c>
      <c r="B45" s="954" t="s">
        <v>460</v>
      </c>
      <c r="C45" s="865"/>
      <c r="D45" s="1007" t="s">
        <v>5</v>
      </c>
      <c r="E45" s="803" t="s">
        <v>5</v>
      </c>
    </row>
    <row r="46" spans="1:5" ht="33" x14ac:dyDescent="0.25">
      <c r="A46" s="916" t="s">
        <v>536</v>
      </c>
      <c r="B46" s="886" t="s">
        <v>461</v>
      </c>
      <c r="C46" s="856"/>
      <c r="D46" s="998" t="s">
        <v>5</v>
      </c>
      <c r="E46" s="794" t="s">
        <v>5</v>
      </c>
    </row>
    <row r="47" spans="1:5" ht="33" x14ac:dyDescent="0.25">
      <c r="A47" s="917" t="s">
        <v>535</v>
      </c>
      <c r="B47" s="970" t="s">
        <v>557</v>
      </c>
      <c r="C47" s="857"/>
      <c r="D47" s="999" t="s">
        <v>5</v>
      </c>
      <c r="E47" s="795" t="s">
        <v>5</v>
      </c>
    </row>
    <row r="48" spans="1:5" ht="49.5" x14ac:dyDescent="0.25">
      <c r="A48" s="879" t="s">
        <v>513</v>
      </c>
      <c r="B48" s="971" t="s">
        <v>558</v>
      </c>
      <c r="C48" s="867"/>
      <c r="D48" s="870" t="s">
        <v>5</v>
      </c>
      <c r="E48" s="805" t="s">
        <v>5</v>
      </c>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48"/>
  <sheetViews>
    <sheetView workbookViewId="0"/>
  </sheetViews>
  <sheetFormatPr defaultRowHeight="15" x14ac:dyDescent="0.25"/>
  <cols>
    <col min="1" max="1" width="1" style="437" bestFit="1" customWidth="1"/>
    <col min="2" max="5" width="1" bestFit="1" customWidth="1"/>
  </cols>
  <sheetData>
    <row r="5" spans="1:5" x14ac:dyDescent="0.25">
      <c r="A5" t="str">
        <f>CONCATENATE(618133,",",ROW(BCLCTTRTT_06611!A5),"|",COLUMN(BCLCTTRTT_06611!A5),",0",",0")</f>
        <v>618133,5|1,0,0</v>
      </c>
      <c r="B5" t="str">
        <f>CONCATENATE(618126,",",ROW(BCLCTTRTT_06611!B5),"|",COLUMN(BCLCTTRTT_06611!B5),",0",",0")</f>
        <v>618126,5|2,0,0</v>
      </c>
      <c r="C5" t="str">
        <f>CONCATENATE(618178,",",ROW(BCLCTTRTT_06611!C5),"|",COLUMN(BCLCTTRTT_06611!C5),",0",",0")</f>
        <v>618178,5|3,0,0</v>
      </c>
      <c r="D5" t="str">
        <f>CONCATENATE(618127,",",ROW(BCLCTTRTT_06611!D5),"|",COLUMN(BCLCTTRTT_06611!D5),",0",",0")</f>
        <v>618127,5|4,0,0</v>
      </c>
      <c r="E5" t="str">
        <f>CONCATENATE(618164,",",ROW(BCLCTTRTT_06611!E5),"|",COLUMN(BCLCTTRTT_06611!E5),",0",",0")</f>
        <v>618164,5|5,0,0</v>
      </c>
    </row>
    <row r="6" spans="1:5" x14ac:dyDescent="0.25">
      <c r="A6" t="str">
        <f>CONCATENATE(618128,",",ROW(BCLCTTRTT_06611!A6),"|",COLUMN(BCLCTTRTT_06611!A6),",0",",0")</f>
        <v>618128,6|1,0,0</v>
      </c>
      <c r="B6" t="s">
        <v>5</v>
      </c>
      <c r="C6" t="str">
        <f>CONCATENATE(618064,",",ROW(BCLCTTRTT_06611!C6),"|",COLUMN(BCLCTTRTT_06611!C6),",0",",0")</f>
        <v>618064,6|3,0,0</v>
      </c>
      <c r="D6" t="str">
        <f>CONCATENATE(618206,",",ROW(BCLCTTRTT_06611!D6),"|",COLUMN(BCLCTTRTT_06611!D6),",0",",0")</f>
        <v>618206,6|4,0,0</v>
      </c>
      <c r="E6" t="str">
        <f>CONCATENATE(618002,",",ROW(BCLCTTRTT_06611!E6),"|",COLUMN(BCLCTTRTT_06611!E6),",0",",0")</f>
        <v>618002,6|5,0,0</v>
      </c>
    </row>
    <row r="7" spans="1:5" x14ac:dyDescent="0.25">
      <c r="A7" t="str">
        <f>CONCATENATE(618017,",",ROW(BCLCTTRTT_06611!A7),"|",COLUMN(BCLCTTRTT_06611!A7),",0",",0")</f>
        <v>618017,7|1,0,0</v>
      </c>
      <c r="B7" t="str">
        <f>CONCATENATE(618031,",",ROW(BCLCTTRTT_06611!B7),"|",COLUMN(BCLCTTRTT_06611!B7),",0",",0")</f>
        <v>618031,7|2,0,0</v>
      </c>
      <c r="C7" t="str">
        <f>CONCATENATE(618168,",",ROW(BCLCTTRTT_06611!C7),"|",COLUMN(BCLCTTRTT_06611!C7),",0",",0")</f>
        <v>618168,7|3,0,0</v>
      </c>
      <c r="D7" t="str">
        <f>CONCATENATE(618138,",",ROW(BCLCTTRTT_06611!D7),"|",COLUMN(BCLCTTRTT_06611!D7),",0",",0")</f>
        <v>618138,7|4,0,0</v>
      </c>
      <c r="E7" t="str">
        <f>CONCATENATE(618083,",",ROW(BCLCTTRTT_06611!E7),"|",COLUMN(BCLCTTRTT_06611!E7),",0",",0")</f>
        <v>618083,7|5,0,0</v>
      </c>
    </row>
    <row r="8" spans="1:5" x14ac:dyDescent="0.25">
      <c r="A8" t="str">
        <f>CONCATENATE(618166,",",ROW(BCLCTTRTT_06611!A8),"|",COLUMN(BCLCTTRTT_06611!A8),",0",",0")</f>
        <v>618166,8|1,0,0</v>
      </c>
      <c r="B8" t="str">
        <f>CONCATENATE(618032,",",ROW(BCLCTTRTT_06611!B8),"|",COLUMN(BCLCTTRTT_06611!B8),",0",",0")</f>
        <v>618032,8|2,0,0</v>
      </c>
      <c r="C8" t="str">
        <f>CONCATENATE(618049,",",ROW(BCLCTTRTT_06611!C8),"|",COLUMN(BCLCTTRTT_06611!C8),",0",",0")</f>
        <v>618049,8|3,0,0</v>
      </c>
      <c r="D8" t="str">
        <f>CONCATENATE(618191,",",ROW(BCLCTTRTT_06611!D8),"|",COLUMN(BCLCTTRTT_06611!D8),",0",",0")</f>
        <v>618191,8|4,0,0</v>
      </c>
      <c r="E8" t="str">
        <f>CONCATENATE(618108,",",ROW(BCLCTTRTT_06611!E8),"|",COLUMN(BCLCTTRTT_06611!E8),",0",",0")</f>
        <v>618108,8|5,0,0</v>
      </c>
    </row>
    <row r="9" spans="1:5" x14ac:dyDescent="0.25">
      <c r="A9" t="str">
        <f>CONCATENATE(618179,",",ROW(BCLCTTRTT_06611!A9),"|",COLUMN(BCLCTTRTT_06611!A9),",0",",0")</f>
        <v>618179,9|1,0,0</v>
      </c>
      <c r="B9" t="str">
        <f>CONCATENATE(618033,",",ROW(BCLCTTRTT_06611!B9),"|",COLUMN(BCLCTTRTT_06611!B9),",0",",0")</f>
        <v>618033,9|2,0,0</v>
      </c>
      <c r="C9" t="str">
        <f>CONCATENATE(618050,",",ROW(BCLCTTRTT_06611!C9),"|",COLUMN(BCLCTTRTT_06611!C9),",0",",0")</f>
        <v>618050,9|3,0,0</v>
      </c>
      <c r="D9" t="str">
        <f>CONCATENATE(618192,",",ROW(BCLCTTRTT_06611!D9),"|",COLUMN(BCLCTTRTT_06611!D9),",0",",0")</f>
        <v>618192,9|4,0,0</v>
      </c>
      <c r="E9" t="str">
        <f>CONCATENATE(618109,",",ROW(BCLCTTRTT_06611!E9),"|",COLUMN(BCLCTTRTT_06611!E9),",0",",0")</f>
        <v>618109,9|5,0,0</v>
      </c>
    </row>
    <row r="10" spans="1:5" x14ac:dyDescent="0.25">
      <c r="A10" t="str">
        <f>CONCATENATE(618129,",",ROW(BCLCTTRTT_06611!A10),"|",COLUMN(BCLCTTRTT_06611!A10),",0",",0")</f>
        <v>618129,10|1,0,0</v>
      </c>
      <c r="B10" t="str">
        <f>CONCATENATE(618034,",",ROW(BCLCTTRTT_06611!B10),"|",COLUMN(BCLCTTRTT_06611!B10),",0",",0")</f>
        <v>618034,10|2,0,0</v>
      </c>
      <c r="C10" t="str">
        <f>CONCATENATE(618051,",",ROW(BCLCTTRTT_06611!C10),"|",COLUMN(BCLCTTRTT_06611!C10),",0",",0")</f>
        <v>618051,10|3,0,0</v>
      </c>
      <c r="D10" t="str">
        <f>CONCATENATE(618193,",",ROW(BCLCTTRTT_06611!D10),"|",COLUMN(BCLCTTRTT_06611!D10),",0",",0")</f>
        <v>618193,10|4,0,0</v>
      </c>
      <c r="E10" t="str">
        <f>CONCATENATE(618110,",",ROW(BCLCTTRTT_06611!E10),"|",COLUMN(BCLCTTRTT_06611!E10),",0",",0")</f>
        <v>618110,10|5,0,0</v>
      </c>
    </row>
    <row r="11" spans="1:5" x14ac:dyDescent="0.25">
      <c r="A11" t="str">
        <f>CONCATENATE(618180,",",ROW(BCLCTTRTT_06611!A11),"|",COLUMN(BCLCTTRTT_06611!A11),",0",",0")</f>
        <v>618180,11|1,0,0</v>
      </c>
      <c r="B11" t="str">
        <f>CONCATENATE(618035,",",ROW(BCLCTTRTT_06611!B11),"|",COLUMN(BCLCTTRTT_06611!B11),",0",",0")</f>
        <v>618035,11|2,0,0</v>
      </c>
      <c r="C11" t="str">
        <f>CONCATENATE(618052,",",ROW(BCLCTTRTT_06611!C11),"|",COLUMN(BCLCTTRTT_06611!C11),",0",",0")</f>
        <v>618052,11|3,0,0</v>
      </c>
      <c r="D11" t="str">
        <f>CONCATENATE(618194,",",ROW(BCLCTTRTT_06611!D11),"|",COLUMN(BCLCTTRTT_06611!D11),",0",",0")</f>
        <v>618194,11|4,0,0</v>
      </c>
      <c r="E11" t="str">
        <f>CONCATENATE(618111,",",ROW(BCLCTTRTT_06611!E11),"|",COLUMN(BCLCTTRTT_06611!E11),",0",",0")</f>
        <v>618111,11|5,0,0</v>
      </c>
    </row>
    <row r="12" spans="1:5" x14ac:dyDescent="0.25">
      <c r="A12" t="str">
        <f>CONCATENATE(618181,",",ROW(BCLCTTRTT_06611!A12),"|",COLUMN(BCLCTTRTT_06611!A12),",0",",0")</f>
        <v>618181,12|1,0,0</v>
      </c>
      <c r="B12" t="str">
        <f>CONCATENATE(618036,",",ROW(BCLCTTRTT_06611!B12),"|",COLUMN(BCLCTTRTT_06611!B12),",0",",0")</f>
        <v>618036,12|2,0,0</v>
      </c>
      <c r="C12" t="str">
        <f>CONCATENATE(618053,",",ROW(BCLCTTRTT_06611!C12),"|",COLUMN(BCLCTTRTT_06611!C12),",0",",0")</f>
        <v>618053,12|3,0,0</v>
      </c>
      <c r="D12" t="str">
        <f>CONCATENATE(618195,",",ROW(BCLCTTRTT_06611!D12),"|",COLUMN(BCLCTTRTT_06611!D12),",0",",0")</f>
        <v>618195,12|4,0,0</v>
      </c>
      <c r="E12" t="str">
        <f>CONCATENATE(618112,",",ROW(BCLCTTRTT_06611!E12),"|",COLUMN(BCLCTTRTT_06611!E12),",0",",0")</f>
        <v>618112,12|5,0,0</v>
      </c>
    </row>
    <row r="13" spans="1:5" x14ac:dyDescent="0.25">
      <c r="A13" t="str">
        <f>CONCATENATE(618174,",",ROW(BCLCTTRTT_06611!A13),"|",COLUMN(BCLCTTRTT_06611!A13),",0",",0")</f>
        <v>618174,13|1,0,0</v>
      </c>
      <c r="B13" t="str">
        <f>CONCATENATE(618093,",",ROW(BCLCTTRTT_06611!B13),"|",COLUMN(BCLCTTRTT_06611!B13),",0",",0")</f>
        <v>618093,13|2,0,0</v>
      </c>
      <c r="C13" t="str">
        <f>CONCATENATE(618067,",",ROW(BCLCTTRTT_06611!C13),"|",COLUMN(BCLCTTRTT_06611!C13),",0",",0")</f>
        <v>618067,13|3,0,0</v>
      </c>
      <c r="D13" t="str">
        <f>CONCATENATE(618209,",",ROW(BCLCTTRTT_06611!D13),"|",COLUMN(BCLCTTRTT_06611!D13),",0",",0")</f>
        <v>618209,13|4,0,0</v>
      </c>
      <c r="E13" t="str">
        <f>CONCATENATE(618005,",",ROW(BCLCTTRTT_06611!E13),"|",COLUMN(BCLCTTRTT_06611!E13),",0",",0")</f>
        <v>618005,13|5,0,0</v>
      </c>
    </row>
    <row r="14" spans="1:5" x14ac:dyDescent="0.25">
      <c r="A14" t="str">
        <f>CONCATENATE(618162,",",ROW(BCLCTTRTT_06611!A14),"|",COLUMN(BCLCTTRTT_06611!A14),",0",",0")</f>
        <v>618162,14|1,0,0</v>
      </c>
      <c r="B14" t="str">
        <f>CONCATENATE(618086,",",ROW(BCLCTTRTT_06611!B14),"|",COLUMN(BCLCTTRTT_06611!B14),",0",",0")</f>
        <v>618086,14|2,0,0</v>
      </c>
      <c r="C14" t="str">
        <f>CONCATENATE(618065,",",ROW(BCLCTTRTT_06611!C14),"|",COLUMN(BCLCTTRTT_06611!C14),",0",",0")</f>
        <v>618065,14|3,0,0</v>
      </c>
      <c r="D14" t="str">
        <f>CONCATENATE(618207,",",ROW(BCLCTTRTT_06611!D14),"|",COLUMN(BCLCTTRTT_06611!D14),",0",",0")</f>
        <v>618207,14|4,0,0</v>
      </c>
      <c r="E14" t="str">
        <f>CONCATENATE(618003,",",ROW(BCLCTTRTT_06611!E14),"|",COLUMN(BCLCTTRTT_06611!E14),",0",",0")</f>
        <v>618003,14|5,0,0</v>
      </c>
    </row>
    <row r="15" spans="1:5" x14ac:dyDescent="0.25">
      <c r="A15" t="str">
        <f>CONCATENATE(618183,",",ROW(BCLCTTRTT_06611!A15),"|",COLUMN(BCLCTTRTT_06611!A15),",0",",0")</f>
        <v>618183,15|1,0,0</v>
      </c>
      <c r="B15" t="str">
        <f>CONCATENATE(618087,",",ROW(BCLCTTRTT_06611!B15),"|",COLUMN(BCLCTTRTT_06611!B15),",0",",0")</f>
        <v>618087,15|2,0,0</v>
      </c>
      <c r="C15" t="str">
        <f>CONCATENATE(618075,",",ROW(BCLCTTRTT_06611!C15),"|",COLUMN(BCLCTTRTT_06611!C15),",0",",0")</f>
        <v>618075,15|3,0,0</v>
      </c>
      <c r="D15" t="str">
        <f>CONCATENATE(618078,",",ROW(BCLCTTRTT_06611!D15),"|",COLUMN(BCLCTTRTT_06611!D15),",0",",0")</f>
        <v>618078,15|4,0,0</v>
      </c>
      <c r="E15" t="str">
        <f>CONCATENATE(618013,",",ROW(BCLCTTRTT_06611!E15),"|",COLUMN(BCLCTTRTT_06611!E15),",0",",0")</f>
        <v>618013,15|5,0,0</v>
      </c>
    </row>
    <row r="16" spans="1:5" x14ac:dyDescent="0.25">
      <c r="A16" t="str">
        <f>CONCATENATE(618018,",",ROW(BCLCTTRTT_06611!A16),"|",COLUMN(BCLCTTRTT_06611!A16),",0",",0")</f>
        <v>618018,16|1,0,0</v>
      </c>
      <c r="B16" t="str">
        <f>CONCATENATE(618088,",",ROW(BCLCTTRTT_06611!B16),"|",COLUMN(BCLCTTRTT_06611!B16),",0",",0")</f>
        <v>618088,16|2,0,0</v>
      </c>
      <c r="C16" t="str">
        <f>CONCATENATE(618169,",",ROW(BCLCTTRTT_06611!C16),"|",COLUMN(BCLCTTRTT_06611!C16),",0",",0")</f>
        <v>618169,16|3,0,0</v>
      </c>
      <c r="D16" t="str">
        <f>CONCATENATE(618139,",",ROW(BCLCTTRTT_06611!D16),"|",COLUMN(BCLCTTRTT_06611!D16),",0",",0")</f>
        <v>618139,16|4,0,0</v>
      </c>
      <c r="E16" t="str">
        <f>CONCATENATE(618084,",",ROW(BCLCTTRTT_06611!E16),"|",COLUMN(BCLCTTRTT_06611!E16),",0",",0")</f>
        <v>618084,16|5,0,0</v>
      </c>
    </row>
    <row r="17" spans="1:5" x14ac:dyDescent="0.25">
      <c r="A17" t="str">
        <f>CONCATENATE(618182,",",ROW(BCLCTTRTT_06611!A17),"|",COLUMN(BCLCTTRTT_06611!A17),",0",",0")</f>
        <v>618182,17|1,0,0</v>
      </c>
      <c r="B17" t="str">
        <f>CONCATENATE(618089,",",ROW(BCLCTTRTT_06611!B17),"|",COLUMN(BCLCTTRTT_06611!B17),",0",",0")</f>
        <v>618089,17|2,0,0</v>
      </c>
      <c r="C17" t="str">
        <f>CONCATENATE(618074,",",ROW(BCLCTTRTT_06611!C17),"|",COLUMN(BCLCTTRTT_06611!C17),",0",",0")</f>
        <v>618074,17|3,0,0</v>
      </c>
      <c r="D17" t="str">
        <f>CONCATENATE(618077,",",ROW(BCLCTTRTT_06611!D17),"|",COLUMN(BCLCTTRTT_06611!D17),",0",",0")</f>
        <v>618077,17|4,0,0</v>
      </c>
      <c r="E17" t="str">
        <f>CONCATENATE(618012,",",ROW(BCLCTTRTT_06611!E17),"|",COLUMN(BCLCTTRTT_06611!E17),",0",",0")</f>
        <v>618012,17|5,0,0</v>
      </c>
    </row>
    <row r="18" spans="1:5" x14ac:dyDescent="0.25">
      <c r="A18" t="str">
        <f>CONCATENATE(618019,",",ROW(BCLCTTRTT_06611!A18),"|",COLUMN(BCLCTTRTT_06611!A18),",0",",0")</f>
        <v>618019,18|1,0,0</v>
      </c>
      <c r="B18" t="str">
        <f>CONCATENATE(618025,",",ROW(BCLCTTRTT_06611!B18),"|",COLUMN(BCLCTTRTT_06611!B18),",0",",0")</f>
        <v>618025,18|2,0,0</v>
      </c>
      <c r="C18" t="str">
        <f>CONCATENATE(618079,",",ROW(BCLCTTRTT_06611!C18),"|",COLUMN(BCLCTTRTT_06611!C18),",0",",0")</f>
        <v>618079,18|3,0,0</v>
      </c>
      <c r="D18" t="str">
        <f>CONCATENATE(618140,",",ROW(BCLCTTRTT_06611!D18),"|",COLUMN(BCLCTTRTT_06611!D18),",0",",0")</f>
        <v>618140,18|4,0,0</v>
      </c>
      <c r="E18" t="str">
        <f>CONCATENATE(618098,",",ROW(BCLCTTRTT_06611!E18),"|",COLUMN(BCLCTTRTT_06611!E18),",0",",0")</f>
        <v>618098,18|5,0,0</v>
      </c>
    </row>
    <row r="19" spans="1:5" x14ac:dyDescent="0.25">
      <c r="A19" t="str">
        <f>CONCATENATE(618020,",",ROW(BCLCTTRTT_06611!A19),"|",COLUMN(BCLCTTRTT_06611!A19),",0",",0")</f>
        <v>618020,19|1,0,0</v>
      </c>
      <c r="B19" t="str">
        <f>CONCATENATE(618094,",",ROW(BCLCTTRTT_06611!B19),"|",COLUMN(BCLCTTRTT_06611!B19),",0",",0")</f>
        <v>618094,19|2,0,0</v>
      </c>
      <c r="C19" t="str">
        <f>CONCATENATE(618170,",",ROW(BCLCTTRTT_06611!C19),"|",COLUMN(BCLCTTRTT_06611!C19),",0",",0")</f>
        <v>618170,19|3,0,0</v>
      </c>
      <c r="D19" t="str">
        <f>CONCATENATE(618141,",",ROW(BCLCTTRTT_06611!D19),"|",COLUMN(BCLCTTRTT_06611!D19),",0",",0")</f>
        <v>618141,19|4,0,0</v>
      </c>
      <c r="E19" t="str">
        <f>CONCATENATE(618099,",",ROW(BCLCTTRTT_06611!E19),"|",COLUMN(BCLCTTRTT_06611!E19),",0",",0")</f>
        <v>618099,19|5,0,0</v>
      </c>
    </row>
    <row r="20" spans="1:5" x14ac:dyDescent="0.25">
      <c r="A20" t="str">
        <f>CONCATENATE(618184,",",ROW(BCLCTTRTT_06611!A20),"|",COLUMN(BCLCTTRTT_06611!A20),",0",",0")</f>
        <v>618184,20|1,0,0</v>
      </c>
      <c r="B20" t="s">
        <v>5</v>
      </c>
      <c r="C20" t="str">
        <f>CONCATENATE(618135,",",ROW(BCLCTTRTT_06611!C20),"|",COLUMN(BCLCTTRTT_06611!C20),",0",",0")</f>
        <v>618135,20|3,0,0</v>
      </c>
      <c r="D20" t="str">
        <f>CONCATENATE(618080,",",ROW(BCLCTTRTT_06611!D20),"|",COLUMN(BCLCTTRTT_06611!D20),",0",",0")</f>
        <v>618080,20|4,0,0</v>
      </c>
      <c r="E20" t="str">
        <f>CONCATENATE(618014,",",ROW(BCLCTTRTT_06611!E20),"|",COLUMN(BCLCTTRTT_06611!E20),",0",",0")</f>
        <v>618014,20|5,0,0</v>
      </c>
    </row>
    <row r="21" spans="1:5" x14ac:dyDescent="0.25">
      <c r="A21" t="str">
        <f>CONCATENATE(618042,",",ROW(BCLCTTRTT_06611!A21),"|",COLUMN(BCLCTTRTT_06611!A21),",0",",0")</f>
        <v>618042,21|1,0,0</v>
      </c>
      <c r="B21" t="str">
        <f>CONCATENATE(618155,",",ROW(BCLCTTRTT_06611!B21),"|",COLUMN(BCLCTTRTT_06611!B21),",0",",0")</f>
        <v>618155,21|2,0,0</v>
      </c>
      <c r="C21" t="str">
        <f>CONCATENATE(618059,",",ROW(BCLCTTRTT_06611!C21),"|",COLUMN(BCLCTTRTT_06611!C21),",0",",0")</f>
        <v>618059,21|3,0,0</v>
      </c>
      <c r="D21" t="str">
        <f>CONCATENATE(618201,",",ROW(BCLCTTRTT_06611!D21),"|",COLUMN(BCLCTTRTT_06611!D21),",0",",0")</f>
        <v>618201,21|4,0,0</v>
      </c>
      <c r="E21" t="str">
        <f>CONCATENATE(618161,",",ROW(BCLCTTRTT_06611!E21),"|",COLUMN(BCLCTTRTT_06611!E21),",0",",0")</f>
        <v>618161,21|5,0,0</v>
      </c>
    </row>
    <row r="22" spans="1:5" x14ac:dyDescent="0.25">
      <c r="A22" t="str">
        <f>CONCATENATE(618043,",",ROW(BCLCTTRTT_06611!A22),"|",COLUMN(BCLCTTRTT_06611!A22),",0",",0")</f>
        <v>618043,22|1,0,0</v>
      </c>
      <c r="B22" t="str">
        <f>CONCATENATE(618156,",",ROW(BCLCTTRTT_06611!B22),"|",COLUMN(BCLCTTRTT_06611!B22),",0",",0")</f>
        <v>618156,22|2,0,0</v>
      </c>
      <c r="C22" t="str">
        <f>CONCATENATE(618068,",",ROW(BCLCTTRTT_06611!C22),"|",COLUMN(BCLCTTRTT_06611!C22),",0",",0")</f>
        <v>618068,22|3,0,0</v>
      </c>
      <c r="D22" t="str">
        <f>CONCATENATE(618210,",",ROW(BCLCTTRTT_06611!D22),"|",COLUMN(BCLCTTRTT_06611!D22),",0",",0")</f>
        <v>618210,22|4,0,0</v>
      </c>
      <c r="E22" t="str">
        <f>CONCATENATE(618006,",",ROW(BCLCTTRTT_06611!E22),"|",COLUMN(BCLCTTRTT_06611!E22),",0",",0")</f>
        <v>618006,22|5,0,0</v>
      </c>
    </row>
    <row r="23" spans="1:5" x14ac:dyDescent="0.25">
      <c r="A23" t="str">
        <f>CONCATENATE(618131,",",ROW(BCLCTTRTT_06611!A23),"|",COLUMN(BCLCTTRTT_06611!A23),",0",",0")</f>
        <v>618131,23|1,0,0</v>
      </c>
      <c r="B23" t="str">
        <f>CONCATENATE(618132,",",ROW(BCLCTTRTT_06611!B23),"|",COLUMN(BCLCTTRTT_06611!B23),",0",",0")</f>
        <v>618132,23|2,0,0</v>
      </c>
      <c r="C23" t="str">
        <f>CONCATENATE(618137,",",ROW(BCLCTTRTT_06611!C23),"|",COLUMN(BCLCTTRTT_06611!C23),",0",",0")</f>
        <v>618137,23|3,0,0</v>
      </c>
      <c r="D23" t="str">
        <f>CONCATENATE(618082,",",ROW(BCLCTTRTT_06611!D23),"|",COLUMN(BCLCTTRTT_06611!D23),",0",",0")</f>
        <v>618082,23|4,0,0</v>
      </c>
      <c r="E23" t="str">
        <f>CONCATENATE(618016,",",ROW(BCLCTTRTT_06611!E23),"|",COLUMN(BCLCTTRTT_06611!E23),",0",",0")</f>
        <v>618016,23|5,0,0</v>
      </c>
    </row>
    <row r="24" spans="1:5" x14ac:dyDescent="0.25">
      <c r="A24" t="str">
        <f>CONCATENATE(618134,",",ROW(BCLCTTRTT_06611!A24),"|",COLUMN(BCLCTTRTT_06611!A24),",0",",0")</f>
        <v>618134,24|1,0,0</v>
      </c>
      <c r="B24" t="str">
        <f>CONCATENATE(618167,",",ROW(BCLCTTRTT_06611!B24),"|",COLUMN(BCLCTTRTT_06611!B24),",0",",0")</f>
        <v>618167,24|2,0,0</v>
      </c>
      <c r="C24" t="str">
        <f>CONCATENATE(618136,",",ROW(BCLCTTRTT_06611!C24),"|",COLUMN(BCLCTTRTT_06611!C24),",0",",0")</f>
        <v>618136,24|3,0,0</v>
      </c>
      <c r="D24" t="str">
        <f>CONCATENATE(618081,",",ROW(BCLCTTRTT_06611!D24),"|",COLUMN(BCLCTTRTT_06611!D24),",0",",0")</f>
        <v>618081,24|4,0,0</v>
      </c>
      <c r="E24" t="str">
        <f>CONCATENATE(618015,",",ROW(BCLCTTRTT_06611!E24),"|",COLUMN(BCLCTTRTT_06611!E24),",0",",0")</f>
        <v>618015,24|5,0,0</v>
      </c>
    </row>
    <row r="25" spans="1:5" x14ac:dyDescent="0.25">
      <c r="A25" t="str">
        <f>CONCATENATE(618185,",",ROW(BCLCTTRTT_06611!A25),"|",COLUMN(BCLCTTRTT_06611!A25),",0",",0")</f>
        <v>618185,25|1,0,0</v>
      </c>
      <c r="B25" t="str">
        <f>CONCATENATE(618157,",",ROW(BCLCTTRTT_06611!B25),"|",COLUMN(BCLCTTRTT_06611!B25),",0",",0")</f>
        <v>618157,25|2,0,0</v>
      </c>
      <c r="C25" t="str">
        <f>CONCATENATE(618072,",",ROW(BCLCTTRTT_06611!C25),"|",COLUMN(BCLCTTRTT_06611!C25),",0",",0")</f>
        <v>618072,25|3,0,0</v>
      </c>
      <c r="D25" t="str">
        <f>CONCATENATE(618214,",",ROW(BCLCTTRTT_06611!D25),"|",COLUMN(BCLCTTRTT_06611!D25),",0",",0")</f>
        <v>618214,25|4,0,0</v>
      </c>
      <c r="E25" t="str">
        <f>CONCATENATE(618010,",",ROW(BCLCTTRTT_06611!E25),"|",COLUMN(BCLCTTRTT_06611!E25),",0",",0")</f>
        <v>618010,25|5,0,0</v>
      </c>
    </row>
    <row r="26" spans="1:5" x14ac:dyDescent="0.25">
      <c r="A26" t="str">
        <f>CONCATENATE(618117,",",ROW(BCLCTTRTT_06611!A26),"|",COLUMN(BCLCTTRTT_06611!A26),",0",",0")</f>
        <v>618117,26|1,0,0</v>
      </c>
      <c r="B26" t="str">
        <f>CONCATENATE(618026,",",ROW(BCLCTTRTT_06611!B26),"|",COLUMN(BCLCTTRTT_06611!B26),",0",",0")</f>
        <v>618026,26|2,0,0</v>
      </c>
      <c r="C26" t="str">
        <f>CONCATENATE(618044,",",ROW(BCLCTTRTT_06611!C26),"|",COLUMN(BCLCTTRTT_06611!C26),",0",",0")</f>
        <v>618044,26|3,0,0</v>
      </c>
      <c r="D26" t="str">
        <f>CONCATENATE(618146,",",ROW(BCLCTTRTT_06611!D26),"|",COLUMN(BCLCTTRTT_06611!D26),",0",",0")</f>
        <v>618146,26|4,0,0</v>
      </c>
      <c r="E26" t="str">
        <f>CONCATENATE(618103,",",ROW(BCLCTTRTT_06611!E26),"|",COLUMN(BCLCTTRTT_06611!E26),",0",",0")</f>
        <v>618103,26|5,0,0</v>
      </c>
    </row>
    <row r="27" spans="1:5" x14ac:dyDescent="0.25">
      <c r="A27" t="str">
        <f>CONCATENATE(618130,",",ROW(BCLCTTRTT_06611!A27),"|",COLUMN(BCLCTTRTT_06611!A27),",0",",0")</f>
        <v>618130,27|1,0,0</v>
      </c>
      <c r="B27" t="s">
        <v>5</v>
      </c>
      <c r="C27" t="str">
        <f>CONCATENATE(618045,",",ROW(BCLCTTRTT_06611!C27),"|",COLUMN(BCLCTTRTT_06611!C27),",0",",0")</f>
        <v>618045,27|3,0,0</v>
      </c>
      <c r="D27" t="str">
        <f>CONCATENATE(618147,",",ROW(BCLCTTRTT_06611!D27),"|",COLUMN(BCLCTTRTT_06611!D27),",0",",0")</f>
        <v>618147,27|4,0,0</v>
      </c>
      <c r="E27" t="str">
        <f>CONCATENATE(618104,",",ROW(BCLCTTRTT_06611!E27),"|",COLUMN(BCLCTTRTT_06611!E27),",0",",0")</f>
        <v>618104,27|5,0,0</v>
      </c>
    </row>
    <row r="28" spans="1:5" x14ac:dyDescent="0.25">
      <c r="A28" t="str">
        <f>CONCATENATE(618021,",",ROW(BCLCTTRTT_06611!A28),"|",COLUMN(BCLCTTRTT_06611!A28),",0",",0")</f>
        <v>618021,28|1,0,0</v>
      </c>
      <c r="B28" t="str">
        <f>CONCATENATE(618027,",",ROW(BCLCTTRTT_06611!B28),"|",COLUMN(BCLCTTRTT_06611!B28),",0",",0")</f>
        <v>618027,28|2,0,0</v>
      </c>
      <c r="C28" t="str">
        <f>CONCATENATE(618171,",",ROW(BCLCTTRTT_06611!C28),"|",COLUMN(BCLCTTRTT_06611!C28),",0",",0")</f>
        <v>618171,28|3,0,0</v>
      </c>
      <c r="D28" t="str">
        <f>CONCATENATE(618142,",",ROW(BCLCTTRTT_06611!D28),"|",COLUMN(BCLCTTRTT_06611!D28),",0",",0")</f>
        <v>618142,28|4,0,0</v>
      </c>
      <c r="E28" t="str">
        <f>CONCATENATE(618100,",",ROW(BCLCTTRTT_06611!E28),"|",COLUMN(BCLCTTRTT_06611!E28),",0",",0")</f>
        <v>618100,28|5,0,0</v>
      </c>
    </row>
    <row r="29" spans="1:5" x14ac:dyDescent="0.25">
      <c r="A29" t="str">
        <f>CONCATENATE(618149,",",ROW(BCLCTTRTT_06611!A29),"|",COLUMN(BCLCTTRTT_06611!A29),",0",",0")</f>
        <v>618149,29|1,0,0</v>
      </c>
      <c r="B29" t="str">
        <f>CONCATENATE(618095,",",ROW(BCLCTTRTT_06611!B29),"|",COLUMN(BCLCTTRTT_06611!B29),",0",",0")</f>
        <v>618095,29|2,0,0</v>
      </c>
      <c r="C29" t="str">
        <f>CONCATENATE(618069,",",ROW(BCLCTTRTT_06611!C29),"|",COLUMN(BCLCTTRTT_06611!C29),",0",",0")</f>
        <v>618069,29|3,0,0</v>
      </c>
      <c r="D29" t="str">
        <f>CONCATENATE(618211,",",ROW(BCLCTTRTT_06611!D29),"|",COLUMN(BCLCTTRTT_06611!D29),",0",",0")</f>
        <v>618211,29|4,0,0</v>
      </c>
      <c r="E29" t="str">
        <f>CONCATENATE(618007,",",ROW(BCLCTTRTT_06611!E29),"|",COLUMN(BCLCTTRTT_06611!E29),",0",",0")</f>
        <v>618007,29|5,0,0</v>
      </c>
    </row>
    <row r="30" spans="1:5" x14ac:dyDescent="0.25">
      <c r="A30" t="str">
        <f>CONCATENATE(618022,",",ROW(BCLCTTRTT_06611!A30),"|",COLUMN(BCLCTTRTT_06611!A30),",0",",0")</f>
        <v>618022,30|1,0,0</v>
      </c>
      <c r="B30" t="str">
        <f>CONCATENATE(618090,",",ROW(BCLCTTRTT_06611!B30),"|",COLUMN(BCLCTTRTT_06611!B30),",0",",0")</f>
        <v>618090,30|2,0,0</v>
      </c>
      <c r="C30" t="str">
        <f>CONCATENATE(618172,",",ROW(BCLCTTRTT_06611!C30),"|",COLUMN(BCLCTTRTT_06611!C30),",0",",0")</f>
        <v>618172,30|3,0,0</v>
      </c>
      <c r="D30" t="str">
        <f>CONCATENATE(618143,",",ROW(BCLCTTRTT_06611!D30),"|",COLUMN(BCLCTTRTT_06611!D30),",0",",0")</f>
        <v>618143,30|4,0,0</v>
      </c>
      <c r="E30" t="str">
        <f>CONCATENATE(618165,",",ROW(BCLCTTRTT_06611!E30),"|",COLUMN(BCLCTTRTT_06611!E30),",0",",0")</f>
        <v>618165,30|5,0,0</v>
      </c>
    </row>
    <row r="31" spans="1:5" x14ac:dyDescent="0.25">
      <c r="A31" t="str">
        <f>CONCATENATE(618150,",",ROW(BCLCTTRTT_06611!A31),"|",COLUMN(BCLCTTRTT_06611!A31),",0",",0")</f>
        <v>618150,31|1,0,0</v>
      </c>
      <c r="B31" t="str">
        <f>CONCATENATE(618037,",",ROW(BCLCTTRTT_06611!B31),"|",COLUMN(BCLCTTRTT_06611!B31),",0",",0")</f>
        <v>618037,31|2,0,0</v>
      </c>
      <c r="C31" t="str">
        <f>CONCATENATE(618054,",",ROW(BCLCTTRTT_06611!C31),"|",COLUMN(BCLCTTRTT_06611!C31),",0",",0")</f>
        <v>618054,31|3,0,0</v>
      </c>
      <c r="D31" t="str">
        <f>CONCATENATE(618196,",",ROW(BCLCTTRTT_06611!D31),"|",COLUMN(BCLCTTRTT_06611!D31),",0",",0")</f>
        <v>618196,31|4,0,0</v>
      </c>
      <c r="E31" t="str">
        <f>CONCATENATE(618113,",",ROW(BCLCTTRTT_06611!E31),"|",COLUMN(BCLCTTRTT_06611!E31),",0",",0")</f>
        <v>618113,31|5,0,0</v>
      </c>
    </row>
    <row r="32" spans="1:5" x14ac:dyDescent="0.25">
      <c r="A32" t="str">
        <f>CONCATENATE(618118,",",ROW(BCLCTTRTT_06611!A32),"|",COLUMN(BCLCTTRTT_06611!A32),",0",",0")</f>
        <v>618118,32|1,0,0</v>
      </c>
      <c r="B32" t="str">
        <f>CONCATENATE(618096,",",ROW(BCLCTTRTT_06611!B32),"|",COLUMN(BCLCTTRTT_06611!B32),",0",",0")</f>
        <v>618096,32|2,0,0</v>
      </c>
      <c r="C32" t="str">
        <f>CONCATENATE(618060,",",ROW(BCLCTTRTT_06611!C32),"|",COLUMN(BCLCTTRTT_06611!C32),",0",",0")</f>
        <v>618060,32|3,0,0</v>
      </c>
      <c r="D32" t="str">
        <f>CONCATENATE(618202,",",ROW(BCLCTTRTT_06611!D32),"|",COLUMN(BCLCTTRTT_06611!D32),",0",",0")</f>
        <v>618202,32|4,0,0</v>
      </c>
      <c r="E32" t="str">
        <f>CONCATENATE(617998,",",ROW(BCLCTTRTT_06611!E32),"|",COLUMN(BCLCTTRTT_06611!E32),",0",",0")</f>
        <v>617998,32|5,0,0</v>
      </c>
    </row>
    <row r="33" spans="1:5" x14ac:dyDescent="0.25">
      <c r="A33" t="str">
        <f>CONCATENATE(618023,",",ROW(BCLCTTRTT_06611!A33),"|",COLUMN(BCLCTTRTT_06611!A33),",0",",0")</f>
        <v>618023,33|1,0,0</v>
      </c>
      <c r="B33" t="str">
        <f>CONCATENATE(618158,",",ROW(BCLCTTRTT_06611!B33),"|",COLUMN(BCLCTTRTT_06611!B33),",0",",0")</f>
        <v>618158,33|2,0,0</v>
      </c>
      <c r="C33" t="str">
        <f>CONCATENATE(618173,",",ROW(BCLCTTRTT_06611!C33),"|",COLUMN(BCLCTTRTT_06611!C33),",0",",0")</f>
        <v>618173,33|3,0,0</v>
      </c>
      <c r="D33" t="str">
        <f>CONCATENATE(618144,",",ROW(BCLCTTRTT_06611!D33),"|",COLUMN(BCLCTTRTT_06611!D33),",0",",0")</f>
        <v>618144,33|4,0,0</v>
      </c>
      <c r="E33" t="str">
        <f>CONCATENATE(618101,",",ROW(BCLCTTRTT_06611!E33),"|",COLUMN(BCLCTTRTT_06611!E33),",0",",0")</f>
        <v>618101,33|5,0,0</v>
      </c>
    </row>
    <row r="34" spans="1:5" x14ac:dyDescent="0.25">
      <c r="A34" t="str">
        <f>CONCATENATE(618124,",",ROW(BCLCTTRTT_06611!A34),"|",COLUMN(BCLCTTRTT_06611!A34),",0",",0")</f>
        <v>618124,34|1,0,0</v>
      </c>
      <c r="B34" t="str">
        <f>CONCATENATE(618038,",",ROW(BCLCTTRTT_06611!B34),"|",COLUMN(BCLCTTRTT_06611!B34),",0",",0")</f>
        <v>618038,34|2,0,0</v>
      </c>
      <c r="C34" t="str">
        <f>CONCATENATE(618055,",",ROW(BCLCTTRTT_06611!C34),"|",COLUMN(BCLCTTRTT_06611!C34),",0",",0")</f>
        <v>618055,34|3,0,0</v>
      </c>
      <c r="D34" t="str">
        <f>CONCATENATE(618197,",",ROW(BCLCTTRTT_06611!D34),"|",COLUMN(BCLCTTRTT_06611!D34),",0",",0")</f>
        <v>618197,34|4,0,0</v>
      </c>
      <c r="E34" t="str">
        <f>CONCATENATE(618114,",",ROW(BCLCTTRTT_06611!E34),"|",COLUMN(BCLCTTRTT_06611!E34),",0",",0")</f>
        <v>618114,34|5,0,0</v>
      </c>
    </row>
    <row r="35" spans="1:5" x14ac:dyDescent="0.25">
      <c r="A35" t="str">
        <f>CONCATENATE(618151,",",ROW(BCLCTTRTT_06611!A35),"|",COLUMN(BCLCTTRTT_06611!A35),",0",",0")</f>
        <v>618151,35|1,0,0</v>
      </c>
      <c r="B35" t="str">
        <f>CONCATENATE(618028,",",ROW(BCLCTTRTT_06611!B35),"|",COLUMN(BCLCTTRTT_06611!B35),",0",",0")</f>
        <v>618028,35|2,0,0</v>
      </c>
      <c r="C35" t="str">
        <f>CONCATENATE(618046,",",ROW(BCLCTTRTT_06611!C35),"|",COLUMN(BCLCTTRTT_06611!C35),",0",",0")</f>
        <v>618046,35|3,0,0</v>
      </c>
      <c r="D35" t="str">
        <f>CONCATENATE(618148,",",ROW(BCLCTTRTT_06611!D35),"|",COLUMN(BCLCTTRTT_06611!D35),",0",",0")</f>
        <v>618148,35|4,0,0</v>
      </c>
      <c r="E35" t="str">
        <f>CONCATENATE(618105,",",ROW(BCLCTTRTT_06611!E35),"|",COLUMN(BCLCTTRTT_06611!E35),",0",",0")</f>
        <v>618105,35|5,0,0</v>
      </c>
    </row>
    <row r="36" spans="1:5" x14ac:dyDescent="0.25">
      <c r="A36" t="str">
        <f>CONCATENATE(618152,",",ROW(BCLCTTRTT_06611!A36),"|",COLUMN(BCLCTTRTT_06611!A36),",0",",0")</f>
        <v>618152,36|1,0,0</v>
      </c>
      <c r="B36" t="str">
        <f>CONCATENATE(618097,",",ROW(BCLCTTRTT_06611!B36),"|",COLUMN(BCLCTTRTT_06611!B36),",0",",0")</f>
        <v>618097,36|2,0,0</v>
      </c>
      <c r="C36" t="str">
        <f>CONCATENATE(618070,",",ROW(BCLCTTRTT_06611!C36),"|",COLUMN(BCLCTTRTT_06611!C36),",0",",0")</f>
        <v>618070,36|3,0,0</v>
      </c>
      <c r="D36" t="str">
        <f>CONCATENATE(618212,",",ROW(BCLCTTRTT_06611!D36),"|",COLUMN(BCLCTTRTT_06611!D36),",0",",0")</f>
        <v>618212,36|4,0,0</v>
      </c>
      <c r="E36" t="str">
        <f>CONCATENATE(618008,",",ROW(BCLCTTRTT_06611!E36),"|",COLUMN(BCLCTTRTT_06611!E36),",0",",0")</f>
        <v>618008,36|5,0,0</v>
      </c>
    </row>
    <row r="37" spans="1:5" x14ac:dyDescent="0.25">
      <c r="A37" t="str">
        <f>CONCATENATE(618153,",",ROW(BCLCTTRTT_06611!A37),"|",COLUMN(BCLCTTRTT_06611!A37),",0",",0")</f>
        <v>618153,37|1,0,0</v>
      </c>
      <c r="B37" t="str">
        <f>CONCATENATE(618039,",",ROW(BCLCTTRTT_06611!B37),"|",COLUMN(BCLCTTRTT_06611!B37),",0",",0")</f>
        <v>618039,37|2,0,0</v>
      </c>
      <c r="C37" t="str">
        <f>CONCATENATE(618056,",",ROW(BCLCTTRTT_06611!C37),"|",COLUMN(BCLCTTRTT_06611!C37),",0",",0")</f>
        <v>618056,37|3,0,0</v>
      </c>
      <c r="D37" t="str">
        <f>CONCATENATE(618198,",",ROW(BCLCTTRTT_06611!D37),"|",COLUMN(BCLCTTRTT_06611!D37),",0",",0")</f>
        <v>618198,37|4,0,0</v>
      </c>
      <c r="E37" t="str">
        <f>CONCATENATE(618115,",",ROW(BCLCTTRTT_06611!E37),"|",COLUMN(BCLCTTRTT_06611!E37),",0",",0")</f>
        <v>618115,37|5,0,0</v>
      </c>
    </row>
    <row r="38" spans="1:5" x14ac:dyDescent="0.25">
      <c r="A38" t="str">
        <f>CONCATENATE(618125,",",ROW(BCLCTTRTT_06611!A38),"|",COLUMN(BCLCTTRTT_06611!A38),",0",",0")</f>
        <v>618125,38|1,0,0</v>
      </c>
      <c r="B38" t="str">
        <f>CONCATENATE(618029,",",ROW(BCLCTTRTT_06611!B38),"|",COLUMN(BCLCTTRTT_06611!B38),",0",",0")</f>
        <v>618029,38|2,0,0</v>
      </c>
      <c r="C38" t="str">
        <f>CONCATENATE(618047,",",ROW(BCLCTTRTT_06611!C38),"|",COLUMN(BCLCTTRTT_06611!C38),",0",",0")</f>
        <v>618047,38|3,0,0</v>
      </c>
      <c r="D38" t="str">
        <f>CONCATENATE(618189,",",ROW(BCLCTTRTT_06611!D38),"|",COLUMN(BCLCTTRTT_06611!D38),",0",",0")</f>
        <v>618189,38|4,0,0</v>
      </c>
      <c r="E38" t="str">
        <f>CONCATENATE(618106,",",ROW(BCLCTTRTT_06611!E38),"|",COLUMN(BCLCTTRTT_06611!E38),",0",",0")</f>
        <v>618106,38|5,0,0</v>
      </c>
    </row>
    <row r="39" spans="1:5" x14ac:dyDescent="0.25">
      <c r="A39" t="str">
        <f>CONCATENATE(618163,",",ROW(BCLCTTRTT_06611!A39),"|",COLUMN(BCLCTTRTT_06611!A39),",0",",0")</f>
        <v>618163,39|1,0,0</v>
      </c>
      <c r="B39" t="str">
        <f>CONCATENATE(618186,",",ROW(BCLCTTRTT_06611!B39),"|",COLUMN(BCLCTTRTT_06611!B39),",0",",0")</f>
        <v>618186,39|2,0,0</v>
      </c>
      <c r="C39" t="str">
        <f>CONCATENATE(618066,",",ROW(BCLCTTRTT_06611!C39),"|",COLUMN(BCLCTTRTT_06611!C39),",0",",0")</f>
        <v>618066,39|3,0,0</v>
      </c>
      <c r="D39" t="str">
        <f>CONCATENATE(618208,",",ROW(BCLCTTRTT_06611!D39),"|",COLUMN(BCLCTTRTT_06611!D39),",0",",0")</f>
        <v>618208,39|4,0,0</v>
      </c>
      <c r="E39" t="str">
        <f>CONCATENATE(618004,",",ROW(BCLCTTRTT_06611!E39),"|",COLUMN(BCLCTTRTT_06611!E39),",0",",0")</f>
        <v>618004,39|5,0,0</v>
      </c>
    </row>
    <row r="40" spans="1:5" x14ac:dyDescent="0.25">
      <c r="A40" t="str">
        <f>CONCATENATE(618119,",",ROW(BCLCTTRTT_06611!A40),"|",COLUMN(BCLCTTRTT_06611!A40),",0",",0")</f>
        <v>618119,40|1,0,0</v>
      </c>
      <c r="B40" t="str">
        <f>CONCATENATE(618040,",",ROW(BCLCTTRTT_06611!B40),"|",COLUMN(BCLCTTRTT_06611!B40),",0",",0")</f>
        <v>618040,40|2,0,0</v>
      </c>
      <c r="C40" t="str">
        <f>CONCATENATE(618057,",",ROW(BCLCTTRTT_06611!C40),"|",COLUMN(BCLCTTRTT_06611!C40),",0",",0")</f>
        <v>618057,40|3,0,0</v>
      </c>
      <c r="D40" t="str">
        <f>CONCATENATE(618199,",",ROW(BCLCTTRTT_06611!D40),"|",COLUMN(BCLCTTRTT_06611!D40),",0",",0")</f>
        <v>618199,40|4,0,0</v>
      </c>
      <c r="E40" t="str">
        <f>CONCATENATE(618116,",",ROW(BCLCTTRTT_06611!E40),"|",COLUMN(BCLCTTRTT_06611!E40),",0",",0")</f>
        <v>618116,40|5,0,0</v>
      </c>
    </row>
    <row r="41" spans="1:5" x14ac:dyDescent="0.25">
      <c r="A41" t="str">
        <f>CONCATENATE(618120,",",ROW(BCLCTTRTT_06611!A41),"|",COLUMN(BCLCTTRTT_06611!A41),",0",",0")</f>
        <v>618120,41|1,0,0</v>
      </c>
      <c r="B41" t="str">
        <f>CONCATENATE(618030,",",ROW(BCLCTTRTT_06611!B41),"|",COLUMN(BCLCTTRTT_06611!B41),",0",",0")</f>
        <v>618030,41|2,0,0</v>
      </c>
      <c r="C41" t="str">
        <f>CONCATENATE(618048,",",ROW(BCLCTTRTT_06611!C41),"|",COLUMN(BCLCTTRTT_06611!C41),",0",",0")</f>
        <v>618048,41|3,0,0</v>
      </c>
      <c r="D41" t="str">
        <f>CONCATENATE(618190,",",ROW(BCLCTTRTT_06611!D41),"|",COLUMN(BCLCTTRTT_06611!D41),",0",",0")</f>
        <v>618190,41|4,0,0</v>
      </c>
      <c r="E41" t="str">
        <f>CONCATENATE(618107,",",ROW(BCLCTTRTT_06611!E41),"|",COLUMN(BCLCTTRTT_06611!E41),",0",",0")</f>
        <v>618107,41|5,0,0</v>
      </c>
    </row>
    <row r="42" spans="1:5" x14ac:dyDescent="0.25">
      <c r="A42" t="str">
        <f>CONCATENATE(618188,",",ROW(BCLCTTRTT_06611!A42),"|",COLUMN(BCLCTTRTT_06611!A42),",0",",0")</f>
        <v>618188,42|1,0,0</v>
      </c>
      <c r="B42" t="str">
        <f>CONCATENATE(618041,",",ROW(BCLCTTRTT_06611!B42),"|",COLUMN(BCLCTTRTT_06611!B42),",0",",0")</f>
        <v>618041,42|2,0,0</v>
      </c>
      <c r="C42" t="str">
        <f>CONCATENATE(618058,",",ROW(BCLCTTRTT_06611!C42),"|",COLUMN(BCLCTTRTT_06611!C42),",0",",0")</f>
        <v>618058,42|3,0,0</v>
      </c>
      <c r="D42" t="str">
        <f>CONCATENATE(618200,",",ROW(BCLCTTRTT_06611!D42),"|",COLUMN(BCLCTTRTT_06611!D42),",0",",0")</f>
        <v>618200,42|4,0,0</v>
      </c>
      <c r="E42" t="str">
        <f>CONCATENATE(618154,",",ROW(BCLCTTRTT_06611!E42),"|",COLUMN(BCLCTTRTT_06611!E42),",0",",0")</f>
        <v>618154,42|5,0,0</v>
      </c>
    </row>
    <row r="43" spans="1:5" x14ac:dyDescent="0.25">
      <c r="A43" t="str">
        <f>CONCATENATE(618121,",",ROW(BCLCTTRTT_06611!A43),"|",COLUMN(BCLCTTRTT_06611!A43),",0",",0")</f>
        <v>618121,43|1,0,0</v>
      </c>
      <c r="B43" t="str">
        <f>CONCATENATE(618159,",",ROW(BCLCTTRTT_06611!B43),"|",COLUMN(BCLCTTRTT_06611!B43),",0",",0")</f>
        <v>618159,43|2,0,0</v>
      </c>
      <c r="C43" t="str">
        <f>CONCATENATE(618061,",",ROW(BCLCTTRTT_06611!C43),"|",COLUMN(BCLCTTRTT_06611!C43),",0",",0")</f>
        <v>618061,43|3,0,0</v>
      </c>
      <c r="D43" t="str">
        <f>CONCATENATE(618203,",",ROW(BCLCTTRTT_06611!D43),"|",COLUMN(BCLCTTRTT_06611!D43),",0",",0")</f>
        <v>618203,43|4,0,0</v>
      </c>
      <c r="E43" t="str">
        <f>CONCATENATE(617999,",",ROW(BCLCTTRTT_06611!E43),"|",COLUMN(BCLCTTRTT_06611!E43),",0",",0")</f>
        <v>617999,43|5,0,0</v>
      </c>
    </row>
    <row r="44" spans="1:5" x14ac:dyDescent="0.25">
      <c r="A44" t="str">
        <f>CONCATENATE(618024,",",ROW(BCLCTTRTT_06611!A44),"|",COLUMN(BCLCTTRTT_06611!A44),",0",",0")</f>
        <v>618024,44|1,0,0</v>
      </c>
      <c r="B44" t="str">
        <f>CONCATENATE(618091,",",ROW(BCLCTTRTT_06611!B44),"|",COLUMN(BCLCTTRTT_06611!B44),",0",",0")</f>
        <v>618091,44|2,0,0</v>
      </c>
      <c r="C44" t="str">
        <f>CONCATENATE(618175,",",ROW(BCLCTTRTT_06611!C44),"|",COLUMN(BCLCTTRTT_06611!C44),",0",",0")</f>
        <v>618175,44|3,0,0</v>
      </c>
      <c r="D44" t="str">
        <f>CONCATENATE(618145,",",ROW(BCLCTTRTT_06611!D44),"|",COLUMN(BCLCTTRTT_06611!D44),",0",",0")</f>
        <v>618145,44|4,0,0</v>
      </c>
      <c r="E44" t="str">
        <f>CONCATENATE(618102,",",ROW(BCLCTTRTT_06611!E44),"|",COLUMN(BCLCTTRTT_06611!E44),",0",",0")</f>
        <v>618102,44|5,0,0</v>
      </c>
    </row>
    <row r="45" spans="1:5" x14ac:dyDescent="0.25">
      <c r="A45" t="str">
        <f>CONCATENATE(618187,",",ROW(BCLCTTRTT_06611!A45),"|",COLUMN(BCLCTTRTT_06611!A45),",0",",0")</f>
        <v>618187,45|1,0,0</v>
      </c>
      <c r="B45" t="str">
        <f>CONCATENATE(618160,",",ROW(BCLCTTRTT_06611!B45),"|",COLUMN(BCLCTTRTT_06611!B45),",0",",0")</f>
        <v>618160,45|2,0,0</v>
      </c>
      <c r="C45" t="str">
        <f>CONCATENATE(618071,",",ROW(BCLCTTRTT_06611!C45),"|",COLUMN(BCLCTTRTT_06611!C45),",0",",0")</f>
        <v>618071,45|3,0,0</v>
      </c>
      <c r="D45" t="str">
        <f>CONCATENATE(618213,",",ROW(BCLCTTRTT_06611!D45),"|",COLUMN(BCLCTTRTT_06611!D45),",0",",0")</f>
        <v>618213,45|4,0,0</v>
      </c>
      <c r="E45" t="str">
        <f>CONCATENATE(618009,",",ROW(BCLCTTRTT_06611!E45),"|",COLUMN(BCLCTTRTT_06611!E45),",0",",0")</f>
        <v>618009,45|5,0,0</v>
      </c>
    </row>
    <row r="46" spans="1:5" x14ac:dyDescent="0.25">
      <c r="A46" t="str">
        <f>CONCATENATE(618122,",",ROW(BCLCTTRTT_06611!A46),"|",COLUMN(BCLCTTRTT_06611!A46),",0",",0")</f>
        <v>618122,46|1,0,0</v>
      </c>
      <c r="B46" t="str">
        <f>CONCATENATE(618092,",",ROW(BCLCTTRTT_06611!B46),"|",COLUMN(BCLCTTRTT_06611!B46),",0",",0")</f>
        <v>618092,46|2,0,0</v>
      </c>
      <c r="C46" t="str">
        <f>CONCATENATE(618062,",",ROW(BCLCTTRTT_06611!C46),"|",COLUMN(BCLCTTRTT_06611!C46),",0",",0")</f>
        <v>618062,46|3,0,0</v>
      </c>
      <c r="D46" t="str">
        <f>CONCATENATE(618204,",",ROW(BCLCTTRTT_06611!D46),"|",COLUMN(BCLCTTRTT_06611!D46),",0",",0")</f>
        <v>618204,46|4,0,0</v>
      </c>
      <c r="E46" t="str">
        <f>CONCATENATE(618000,",",ROW(BCLCTTRTT_06611!E46),"|",COLUMN(BCLCTTRTT_06611!E46),",0",",0")</f>
        <v>618000,46|5,0,0</v>
      </c>
    </row>
    <row r="47" spans="1:5" x14ac:dyDescent="0.25">
      <c r="A47" t="str">
        <f>CONCATENATE(618123,",",ROW(BCLCTTRTT_06611!A47),"|",COLUMN(BCLCTTRTT_06611!A47),",0",",0")</f>
        <v>618123,47|1,0,0</v>
      </c>
      <c r="B47" t="str">
        <f>CONCATENATE(618176,",",ROW(BCLCTTRTT_06611!B47),"|",COLUMN(BCLCTTRTT_06611!B47),",0",",0")</f>
        <v>618176,47|2,0,0</v>
      </c>
      <c r="C47" t="str">
        <f>CONCATENATE(618063,",",ROW(BCLCTTRTT_06611!C47),"|",COLUMN(BCLCTTRTT_06611!C47),",0",",0")</f>
        <v>618063,47|3,0,0</v>
      </c>
      <c r="D47" t="str">
        <f>CONCATENATE(618205,",",ROW(BCLCTTRTT_06611!D47),"|",COLUMN(BCLCTTRTT_06611!D47),",0",",0")</f>
        <v>618205,47|4,0,0</v>
      </c>
      <c r="E47" t="str">
        <f>CONCATENATE(618001,",",ROW(BCLCTTRTT_06611!E47),"|",COLUMN(BCLCTTRTT_06611!E47),",0",",0")</f>
        <v>618001,47|5,0,0</v>
      </c>
    </row>
    <row r="48" spans="1:5" x14ac:dyDescent="0.25">
      <c r="A48" t="str">
        <f>CONCATENATE(618085,",",ROW(BCLCTTRTT_06611!A48),"|",COLUMN(BCLCTTRTT_06611!A48),",0",",0")</f>
        <v>618085,48|1,0,0</v>
      </c>
      <c r="B48" t="str">
        <f>CONCATENATE(618177,",",ROW(BCLCTTRTT_06611!B48),"|",COLUMN(BCLCTTRTT_06611!B48),",0",",0")</f>
        <v>618177,48|2,0,0</v>
      </c>
      <c r="C48" t="str">
        <f>CONCATENATE(618073,",",ROW(BCLCTTRTT_06611!C48),"|",COLUMN(BCLCTTRTT_06611!C48),",0",",0")</f>
        <v>618073,48|3,0,0</v>
      </c>
      <c r="D48" t="str">
        <f>CONCATENATE(618076,",",ROW(BCLCTTRTT_06611!D48),"|",COLUMN(BCLCTTRTT_06611!D48),",0",",0")</f>
        <v>618076,48|4,0,0</v>
      </c>
      <c r="E48" t="str">
        <f>CONCATENATE(618011,",",ROW(BCLCTTRTT_06611!E48),"|",COLUMN(BCLCTTRTT_06611!E48),",0",",0")</f>
        <v>618011,48|5,0,0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workbookViewId="0">
      <selection sqref="A1:E1"/>
    </sheetView>
  </sheetViews>
  <sheetFormatPr defaultRowHeight="15" x14ac:dyDescent="0.25"/>
  <cols>
    <col min="1" max="1" width="31.28515625" bestFit="1" customWidth="1"/>
    <col min="2" max="5" width="26.140625" bestFit="1" customWidth="1"/>
  </cols>
  <sheetData>
    <row r="1" spans="1:5" ht="20.25" x14ac:dyDescent="0.3">
      <c r="A1" s="1626" t="s">
        <v>16</v>
      </c>
      <c r="B1" s="1626" t="s">
        <v>5</v>
      </c>
      <c r="C1" s="1626" t="s">
        <v>5</v>
      </c>
      <c r="D1" s="1626" t="s">
        <v>5</v>
      </c>
      <c r="E1" s="1626" t="s">
        <v>5</v>
      </c>
    </row>
    <row r="2" spans="1:5" ht="18.75" x14ac:dyDescent="0.3">
      <c r="A2" s="1627" t="s">
        <v>567</v>
      </c>
      <c r="B2" s="1627" t="s">
        <v>5</v>
      </c>
      <c r="C2" s="1627" t="s">
        <v>5</v>
      </c>
      <c r="D2" s="1627" t="s">
        <v>5</v>
      </c>
      <c r="E2" s="1627" t="s">
        <v>5</v>
      </c>
    </row>
    <row r="3" spans="1:5" ht="18.75" x14ac:dyDescent="0.25">
      <c r="A3" s="1010" t="s">
        <v>30</v>
      </c>
      <c r="B3" s="1010" t="s">
        <v>31</v>
      </c>
      <c r="C3" s="1010" t="s">
        <v>32</v>
      </c>
      <c r="D3" s="1010" t="s">
        <v>387</v>
      </c>
      <c r="E3" s="1010" t="s">
        <v>388</v>
      </c>
    </row>
    <row r="4" spans="1:5" ht="16.5" x14ac:dyDescent="0.25">
      <c r="A4" s="1145" t="s">
        <v>351</v>
      </c>
      <c r="B4" s="1069" t="s">
        <v>585</v>
      </c>
      <c r="C4" s="1037" t="s">
        <v>79</v>
      </c>
      <c r="D4" s="1161" t="s">
        <v>223</v>
      </c>
      <c r="E4" s="1178" t="s">
        <v>5</v>
      </c>
    </row>
    <row r="5" spans="1:5" ht="66" x14ac:dyDescent="0.25">
      <c r="A5" s="1109" t="s">
        <v>588</v>
      </c>
      <c r="B5" s="1009" t="s">
        <v>5</v>
      </c>
      <c r="C5" s="1018"/>
      <c r="D5" s="1153" t="s">
        <v>5</v>
      </c>
      <c r="E5" s="1177" t="s">
        <v>5</v>
      </c>
    </row>
    <row r="6" spans="1:5" ht="49.5" x14ac:dyDescent="0.25">
      <c r="A6" s="1162" t="s">
        <v>598</v>
      </c>
      <c r="B6" s="1057" t="s">
        <v>223</v>
      </c>
      <c r="C6" s="1180"/>
      <c r="D6" s="1019" t="s">
        <v>5</v>
      </c>
      <c r="E6" s="1112" t="s">
        <v>5</v>
      </c>
    </row>
    <row r="7" spans="1:5" ht="49.5" x14ac:dyDescent="0.25">
      <c r="A7" s="1038" t="s">
        <v>572</v>
      </c>
      <c r="B7" s="1049" t="s">
        <v>80</v>
      </c>
      <c r="C7" s="1179"/>
      <c r="D7" s="1020" t="s">
        <v>5</v>
      </c>
      <c r="E7" s="1113" t="s">
        <v>5</v>
      </c>
    </row>
    <row r="8" spans="1:5" ht="49.5" x14ac:dyDescent="0.25">
      <c r="A8" s="1035" t="s">
        <v>570</v>
      </c>
      <c r="B8" s="1054" t="s">
        <v>380</v>
      </c>
      <c r="C8" s="1181"/>
      <c r="D8" s="1021" t="s">
        <v>5</v>
      </c>
      <c r="E8" s="1114" t="s">
        <v>5</v>
      </c>
    </row>
    <row r="9" spans="1:5" ht="49.5" x14ac:dyDescent="0.25">
      <c r="A9" s="1036" t="s">
        <v>571</v>
      </c>
      <c r="B9" s="1050" t="s">
        <v>381</v>
      </c>
      <c r="C9" s="1182"/>
      <c r="D9" s="1022" t="s">
        <v>5</v>
      </c>
      <c r="E9" s="1115" t="s">
        <v>5</v>
      </c>
    </row>
    <row r="10" spans="1:5" ht="49.5" x14ac:dyDescent="0.25">
      <c r="A10" s="1163" t="s">
        <v>599</v>
      </c>
      <c r="B10" s="1156" t="s">
        <v>328</v>
      </c>
      <c r="C10" s="1183"/>
      <c r="D10" s="1023" t="s">
        <v>5</v>
      </c>
      <c r="E10" s="1116" t="s">
        <v>5</v>
      </c>
    </row>
    <row r="11" spans="1:5" ht="49.5" x14ac:dyDescent="0.25">
      <c r="A11" s="1070" t="s">
        <v>586</v>
      </c>
      <c r="B11" s="1160" t="s">
        <v>384</v>
      </c>
      <c r="C11" s="1075"/>
      <c r="D11" s="1024" t="s">
        <v>5</v>
      </c>
      <c r="E11" s="1117" t="s">
        <v>5</v>
      </c>
    </row>
    <row r="12" spans="1:5" ht="66" x14ac:dyDescent="0.25">
      <c r="A12" s="1110" t="s">
        <v>589</v>
      </c>
      <c r="B12" s="1184" t="s">
        <v>385</v>
      </c>
      <c r="C12" s="1076"/>
      <c r="D12" s="1025" t="s">
        <v>5</v>
      </c>
      <c r="E12" s="1118" t="s">
        <v>5</v>
      </c>
    </row>
    <row r="13" spans="1:5" ht="66" x14ac:dyDescent="0.25">
      <c r="A13" s="1140" t="s">
        <v>592</v>
      </c>
      <c r="B13" s="1062" t="s">
        <v>329</v>
      </c>
      <c r="C13" s="1077"/>
      <c r="D13" s="1026" t="s">
        <v>5</v>
      </c>
      <c r="E13" s="1119" t="s">
        <v>5</v>
      </c>
    </row>
    <row r="14" spans="1:5" ht="49.5" x14ac:dyDescent="0.25">
      <c r="A14" s="1141" t="s">
        <v>593</v>
      </c>
      <c r="B14" s="1155" t="s">
        <v>318</v>
      </c>
      <c r="C14" s="1078"/>
      <c r="D14" s="1027" t="s">
        <v>5</v>
      </c>
      <c r="E14" s="1120" t="s">
        <v>5</v>
      </c>
    </row>
    <row r="15" spans="1:5" ht="49.5" x14ac:dyDescent="0.25">
      <c r="A15" s="1142" t="s">
        <v>594</v>
      </c>
      <c r="B15" s="1063" t="s">
        <v>382</v>
      </c>
      <c r="C15" s="1080"/>
      <c r="D15" s="1028" t="s">
        <v>5</v>
      </c>
      <c r="E15" s="1121" t="s">
        <v>5</v>
      </c>
    </row>
    <row r="16" spans="1:5" ht="49.5" x14ac:dyDescent="0.25">
      <c r="A16" s="1164" t="s">
        <v>600</v>
      </c>
      <c r="B16" s="1064" t="s">
        <v>299</v>
      </c>
      <c r="C16" s="1081"/>
      <c r="D16" s="1029" t="s">
        <v>5</v>
      </c>
      <c r="E16" s="1122" t="s">
        <v>5</v>
      </c>
    </row>
    <row r="17" spans="1:5" ht="49.5" x14ac:dyDescent="0.25">
      <c r="A17" s="1143" t="s">
        <v>595</v>
      </c>
      <c r="B17" s="1065" t="s">
        <v>330</v>
      </c>
      <c r="C17" s="1082"/>
      <c r="D17" s="1030" t="s">
        <v>5</v>
      </c>
      <c r="E17" s="1123" t="s">
        <v>5</v>
      </c>
    </row>
    <row r="18" spans="1:5" ht="49.5" x14ac:dyDescent="0.25">
      <c r="A18" s="1039" t="s">
        <v>573</v>
      </c>
      <c r="B18" s="1058" t="s">
        <v>331</v>
      </c>
      <c r="C18" s="1083"/>
      <c r="D18" s="1031" t="s">
        <v>5</v>
      </c>
      <c r="E18" s="1124" t="s">
        <v>5</v>
      </c>
    </row>
    <row r="19" spans="1:5" ht="16.5" x14ac:dyDescent="0.25">
      <c r="A19" s="1011" t="s">
        <v>568</v>
      </c>
      <c r="B19" s="1012" t="s">
        <v>527</v>
      </c>
      <c r="C19" s="1013"/>
      <c r="D19" s="1014" t="s">
        <v>5</v>
      </c>
      <c r="E19" s="1015" t="s">
        <v>5</v>
      </c>
    </row>
    <row r="20" spans="1:5" ht="66" x14ac:dyDescent="0.25">
      <c r="A20" s="1040" t="s">
        <v>574</v>
      </c>
      <c r="B20" s="1157" t="s">
        <v>514</v>
      </c>
      <c r="C20" s="1084"/>
      <c r="D20" s="1032" t="s">
        <v>5</v>
      </c>
      <c r="E20" s="1125" t="s">
        <v>5</v>
      </c>
    </row>
    <row r="21" spans="1:5" ht="33" x14ac:dyDescent="0.25">
      <c r="A21" s="1041" t="s">
        <v>575</v>
      </c>
      <c r="B21" s="1059" t="s">
        <v>515</v>
      </c>
      <c r="C21" s="1085"/>
      <c r="D21" s="1033" t="s">
        <v>5</v>
      </c>
      <c r="E21" s="1126" t="s">
        <v>5</v>
      </c>
    </row>
    <row r="22" spans="1:5" ht="66" x14ac:dyDescent="0.25">
      <c r="A22" s="1042" t="s">
        <v>576</v>
      </c>
      <c r="B22" s="1066" t="s">
        <v>528</v>
      </c>
      <c r="C22" s="1086"/>
      <c r="D22" s="1098" t="s">
        <v>5</v>
      </c>
      <c r="E22" s="1127" t="s">
        <v>5</v>
      </c>
    </row>
    <row r="23" spans="1:5" ht="33" x14ac:dyDescent="0.25">
      <c r="A23" s="1043" t="s">
        <v>577</v>
      </c>
      <c r="B23" s="1060" t="s">
        <v>528</v>
      </c>
      <c r="C23" s="1087"/>
      <c r="D23" s="1099" t="s">
        <v>5</v>
      </c>
      <c r="E23" s="1128" t="s">
        <v>5</v>
      </c>
    </row>
    <row r="24" spans="1:5" ht="49.5" x14ac:dyDescent="0.25">
      <c r="A24" s="1053" t="s">
        <v>581</v>
      </c>
      <c r="B24" s="1158" t="s">
        <v>525</v>
      </c>
      <c r="C24" s="1088"/>
      <c r="D24" s="1100" t="s">
        <v>5</v>
      </c>
      <c r="E24" s="1129" t="s">
        <v>5</v>
      </c>
    </row>
    <row r="25" spans="1:5" ht="49.5" x14ac:dyDescent="0.25">
      <c r="A25" s="1165" t="s">
        <v>582</v>
      </c>
      <c r="B25" s="1061" t="s">
        <v>583</v>
      </c>
      <c r="C25" s="1089"/>
      <c r="D25" s="1101" t="s">
        <v>5</v>
      </c>
      <c r="E25" s="1130" t="s">
        <v>5</v>
      </c>
    </row>
    <row r="26" spans="1:5" ht="49.5" x14ac:dyDescent="0.25">
      <c r="A26" s="1071" t="s">
        <v>578</v>
      </c>
      <c r="B26" s="1046" t="s">
        <v>579</v>
      </c>
      <c r="C26" s="1090"/>
      <c r="D26" s="1102" t="s">
        <v>5</v>
      </c>
      <c r="E26" s="1131" t="s">
        <v>5</v>
      </c>
    </row>
    <row r="27" spans="1:5" ht="33" x14ac:dyDescent="0.25">
      <c r="A27" s="1111" t="s">
        <v>577</v>
      </c>
      <c r="B27" s="1067" t="s">
        <v>579</v>
      </c>
      <c r="C27" s="1091"/>
      <c r="D27" s="1103" t="s">
        <v>5</v>
      </c>
      <c r="E27" s="1132" t="s">
        <v>5</v>
      </c>
    </row>
    <row r="28" spans="1:5" ht="33" x14ac:dyDescent="0.25">
      <c r="A28" s="1074" t="s">
        <v>535</v>
      </c>
      <c r="B28" s="1185" t="s">
        <v>601</v>
      </c>
      <c r="C28" s="1092"/>
      <c r="D28" s="1104" t="s">
        <v>5</v>
      </c>
      <c r="E28" s="1133" t="s">
        <v>5</v>
      </c>
    </row>
    <row r="29" spans="1:5" ht="49.5" x14ac:dyDescent="0.25">
      <c r="A29" s="1072" t="s">
        <v>513</v>
      </c>
      <c r="B29" s="1186" t="s">
        <v>602</v>
      </c>
      <c r="C29" s="1093"/>
      <c r="D29" s="1105" t="s">
        <v>5</v>
      </c>
      <c r="E29" s="1134" t="s">
        <v>5</v>
      </c>
    </row>
    <row r="30" spans="1:5" ht="66" x14ac:dyDescent="0.25">
      <c r="A30" s="1073" t="s">
        <v>587</v>
      </c>
      <c r="B30" s="1187" t="s">
        <v>603</v>
      </c>
      <c r="C30" s="1094"/>
      <c r="D30" s="1106" t="s">
        <v>5</v>
      </c>
      <c r="E30" s="1135" t="s">
        <v>5</v>
      </c>
    </row>
    <row r="31" spans="1:5" ht="33" x14ac:dyDescent="0.25">
      <c r="A31" s="1144" t="s">
        <v>596</v>
      </c>
      <c r="B31" s="1159" t="s">
        <v>597</v>
      </c>
      <c r="C31" s="1095"/>
      <c r="D31" s="1107" t="s">
        <v>5</v>
      </c>
      <c r="E31" s="1136" t="s">
        <v>5</v>
      </c>
    </row>
    <row r="32" spans="1:5" ht="66" x14ac:dyDescent="0.25">
      <c r="A32" s="1044" t="s">
        <v>576</v>
      </c>
      <c r="B32" s="1188" t="s">
        <v>604</v>
      </c>
      <c r="C32" s="1096"/>
      <c r="D32" s="1108" t="s">
        <v>5</v>
      </c>
      <c r="E32" s="1137" t="s">
        <v>5</v>
      </c>
    </row>
    <row r="33" spans="1:5" ht="33" x14ac:dyDescent="0.25">
      <c r="A33" s="1166" t="s">
        <v>577</v>
      </c>
      <c r="B33" s="1189" t="s">
        <v>604</v>
      </c>
      <c r="C33" s="1097"/>
      <c r="D33" s="1146" t="s">
        <v>5</v>
      </c>
      <c r="E33" s="1170" t="s">
        <v>5</v>
      </c>
    </row>
    <row r="34" spans="1:5" ht="49.5" x14ac:dyDescent="0.25">
      <c r="A34" s="1056" t="s">
        <v>582</v>
      </c>
      <c r="B34" s="1138" t="s">
        <v>590</v>
      </c>
      <c r="C34" s="1051"/>
      <c r="D34" s="1147" t="s">
        <v>5</v>
      </c>
      <c r="E34" s="1171" t="s">
        <v>5</v>
      </c>
    </row>
    <row r="35" spans="1:5" ht="49.5" x14ac:dyDescent="0.25">
      <c r="A35" s="1167" t="s">
        <v>581</v>
      </c>
      <c r="B35" s="1047" t="s">
        <v>580</v>
      </c>
      <c r="C35" s="1079"/>
      <c r="D35" s="1148" t="s">
        <v>5</v>
      </c>
      <c r="E35" s="1172" t="s">
        <v>5</v>
      </c>
    </row>
    <row r="36" spans="1:5" ht="49.5" x14ac:dyDescent="0.25">
      <c r="A36" s="1045" t="s">
        <v>578</v>
      </c>
      <c r="B36" s="1048" t="s">
        <v>569</v>
      </c>
      <c r="C36" s="1052"/>
      <c r="D36" s="1149" t="s">
        <v>5</v>
      </c>
      <c r="E36" s="1173" t="s">
        <v>5</v>
      </c>
    </row>
    <row r="37" spans="1:5" ht="33" x14ac:dyDescent="0.25">
      <c r="A37" s="1168" t="s">
        <v>577</v>
      </c>
      <c r="B37" s="1034" t="s">
        <v>569</v>
      </c>
      <c r="C37" s="1055"/>
      <c r="D37" s="1150" t="s">
        <v>5</v>
      </c>
      <c r="E37" s="1174" t="s">
        <v>5</v>
      </c>
    </row>
    <row r="38" spans="1:5" ht="33" x14ac:dyDescent="0.25">
      <c r="A38" s="1169" t="s">
        <v>535</v>
      </c>
      <c r="B38" s="1139" t="s">
        <v>591</v>
      </c>
      <c r="C38" s="1016"/>
      <c r="D38" s="1151" t="s">
        <v>5</v>
      </c>
      <c r="E38" s="1175" t="s">
        <v>5</v>
      </c>
    </row>
    <row r="39" spans="1:5" ht="49.5" x14ac:dyDescent="0.25">
      <c r="A39" s="1154" t="s">
        <v>513</v>
      </c>
      <c r="B39" s="1068" t="s">
        <v>584</v>
      </c>
      <c r="C39" s="1017"/>
      <c r="D39" s="1152" t="s">
        <v>5</v>
      </c>
      <c r="E39" s="1176" t="s">
        <v>5</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39"/>
  <sheetViews>
    <sheetView workbookViewId="0"/>
  </sheetViews>
  <sheetFormatPr defaultRowHeight="15" x14ac:dyDescent="0.25"/>
  <cols>
    <col min="1" max="1" width="1" style="437" bestFit="1" customWidth="1"/>
    <col min="2" max="5" width="1" bestFit="1" customWidth="1"/>
  </cols>
  <sheetData>
    <row r="4" spans="1:5" x14ac:dyDescent="0.25">
      <c r="A4" t="str">
        <f>CONCATENATE(617535,",",ROW(PLCTTHDMGUTCKHTT_06612!A4),"|",COLUMN(PLCTTHDMGUTCKHTT_06612!A4),",0",",0")</f>
        <v>617535,4|1,0,0</v>
      </c>
      <c r="B4" t="str">
        <f>CONCATENATE(617459,",",ROW(PLCTTHDMGUTCKHTT_06612!B4),"|",COLUMN(PLCTTHDMGUTCKHTT_06612!B4),",0",",0")</f>
        <v>617459,4|2,0,0</v>
      </c>
      <c r="C4" t="str">
        <f>CONCATENATE(617426,",",ROW(PLCTTHDMGUTCKHTT_06612!C4),"|",COLUMN(PLCTTHDMGUTCKHTT_06612!C4),",0",",0")</f>
        <v>617426,4|3,0,0</v>
      </c>
      <c r="D4" t="str">
        <f>CONCATENATE(617552,",",ROW(PLCTTHDMGUTCKHTT_06612!D4),"|",COLUMN(PLCTTHDMGUTCKHTT_06612!D4),",0",",0")</f>
        <v>617552,4|4,0,0</v>
      </c>
      <c r="E4" t="str">
        <f>CONCATENATE(617569,",",ROW(PLCTTHDMGUTCKHTT_06612!E4),"|",COLUMN(PLCTTHDMGUTCKHTT_06612!E4),",0",",0")</f>
        <v>617569,4|5,0,0</v>
      </c>
    </row>
    <row r="5" spans="1:5" x14ac:dyDescent="0.25">
      <c r="A5" t="str">
        <f>CONCATENATE(617499,",",ROW(PLCTTHDMGUTCKHTT_06612!A5),"|",COLUMN(PLCTTHDMGUTCKHTT_06612!A5),",0",",0")</f>
        <v>617499,5|1,0,0</v>
      </c>
      <c r="B5" t="s">
        <v>5</v>
      </c>
      <c r="C5" t="str">
        <f>CONCATENATE(617406,",",ROW(PLCTTHDMGUTCKHTT_06612!C5),"|",COLUMN(PLCTTHDMGUTCKHTT_06612!C5),",0",",0")</f>
        <v>617406,5|3,0,0</v>
      </c>
      <c r="D5" t="str">
        <f>CONCATENATE(617543,",",ROW(PLCTTHDMGUTCKHTT_06612!D5),"|",COLUMN(PLCTTHDMGUTCKHTT_06612!D5),",0",",0")</f>
        <v>617543,5|4,0,0</v>
      </c>
      <c r="E5" t="str">
        <f>CONCATENATE(617568,",",ROW(PLCTTHDMGUTCKHTT_06612!E5),"|",COLUMN(PLCTTHDMGUTCKHTT_06612!E5),",0",",0")</f>
        <v>617568,5|5,0,0</v>
      </c>
    </row>
    <row r="6" spans="1:5" x14ac:dyDescent="0.25">
      <c r="A6" t="str">
        <f>CONCATENATE(617553,",",ROW(PLCTTHDMGUTCKHTT_06612!A6),"|",COLUMN(PLCTTHDMGUTCKHTT_06612!A6),",0",",0")</f>
        <v>617553,6|1,0,0</v>
      </c>
      <c r="B6" t="str">
        <f>CONCATENATE(617447,",",ROW(PLCTTHDMGUTCKHTT_06612!B6),"|",COLUMN(PLCTTHDMGUTCKHTT_06612!B6),",0",",0")</f>
        <v>617447,6|2,0,0</v>
      </c>
      <c r="C6" t="str">
        <f>CONCATENATE(617571,",",ROW(PLCTTHDMGUTCKHTT_06612!C6),"|",COLUMN(PLCTTHDMGUTCKHTT_06612!C6),",0",",0")</f>
        <v>617571,6|3,0,0</v>
      </c>
      <c r="D6" t="str">
        <f>CONCATENATE(617408,",",ROW(PLCTTHDMGUTCKHTT_06612!D6),"|",COLUMN(PLCTTHDMGUTCKHTT_06612!D6),",0",",0")</f>
        <v>617408,6|4,0,0</v>
      </c>
      <c r="E6" t="str">
        <f>CONCATENATE(617502,",",ROW(PLCTTHDMGUTCKHTT_06612!E6),"|",COLUMN(PLCTTHDMGUTCKHTT_06612!E6),",0",",0")</f>
        <v>617502,6|5,0,0</v>
      </c>
    </row>
    <row r="7" spans="1:5" x14ac:dyDescent="0.25">
      <c r="A7" t="str">
        <f>CONCATENATE(617428,",",ROW(PLCTTHDMGUTCKHTT_06612!A7),"|",COLUMN(PLCTTHDMGUTCKHTT_06612!A7),",0",",0")</f>
        <v>617428,7|1,0,0</v>
      </c>
      <c r="B7" t="str">
        <f>CONCATENATE(617439,",",ROW(PLCTTHDMGUTCKHTT_06612!B7),"|",COLUMN(PLCTTHDMGUTCKHTT_06612!B7),",0",",0")</f>
        <v>617439,7|2,0,0</v>
      </c>
      <c r="C7" t="str">
        <f>CONCATENATE(617570,",",ROW(PLCTTHDMGUTCKHTT_06612!C7),"|",COLUMN(PLCTTHDMGUTCKHTT_06612!C7),",0",",0")</f>
        <v>617570,7|3,0,0</v>
      </c>
      <c r="D7" t="str">
        <f>CONCATENATE(617409,",",ROW(PLCTTHDMGUTCKHTT_06612!D7),"|",COLUMN(PLCTTHDMGUTCKHTT_06612!D7),",0",",0")</f>
        <v>617409,7|4,0,0</v>
      </c>
      <c r="E7" t="str">
        <f>CONCATENATE(617503,",",ROW(PLCTTHDMGUTCKHTT_06612!E7),"|",COLUMN(PLCTTHDMGUTCKHTT_06612!E7),",0",",0")</f>
        <v>617503,7|5,0,0</v>
      </c>
    </row>
    <row r="8" spans="1:5" x14ac:dyDescent="0.25">
      <c r="A8" t="str">
        <f>CONCATENATE(617424,",",ROW(PLCTTHDMGUTCKHTT_06612!A8),"|",COLUMN(PLCTTHDMGUTCKHTT_06612!A8),",0",",0")</f>
        <v>617424,8|1,0,0</v>
      </c>
      <c r="B8" t="str">
        <f>CONCATENATE(617444,",",ROW(PLCTTHDMGUTCKHTT_06612!B8),"|",COLUMN(PLCTTHDMGUTCKHTT_06612!B8),",0",",0")</f>
        <v>617444,8|2,0,0</v>
      </c>
      <c r="C8" t="str">
        <f>CONCATENATE(617572,",",ROW(PLCTTHDMGUTCKHTT_06612!C8),"|",COLUMN(PLCTTHDMGUTCKHTT_06612!C8),",0",",0")</f>
        <v>617572,8|3,0,0</v>
      </c>
      <c r="D8" t="str">
        <f>CONCATENATE(617410,",",ROW(PLCTTHDMGUTCKHTT_06612!D8),"|",COLUMN(PLCTTHDMGUTCKHTT_06612!D8),",0",",0")</f>
        <v>617410,8|4,0,0</v>
      </c>
      <c r="E8" t="str">
        <f>CONCATENATE(617504,",",ROW(PLCTTHDMGUTCKHTT_06612!E8),"|",COLUMN(PLCTTHDMGUTCKHTT_06612!E8),",0",",0")</f>
        <v>617504,8|5,0,0</v>
      </c>
    </row>
    <row r="9" spans="1:5" x14ac:dyDescent="0.25">
      <c r="A9" t="str">
        <f>CONCATENATE(617425,",",ROW(PLCTTHDMGUTCKHTT_06612!A9),"|",COLUMN(PLCTTHDMGUTCKHTT_06612!A9),",0",",0")</f>
        <v>617425,9|1,0,0</v>
      </c>
      <c r="B9" t="str">
        <f>CONCATENATE(617440,",",ROW(PLCTTHDMGUTCKHTT_06612!B9),"|",COLUMN(PLCTTHDMGUTCKHTT_06612!B9),",0",",0")</f>
        <v>617440,9|2,0,0</v>
      </c>
      <c r="C9" t="str">
        <f>CONCATENATE(617573,",",ROW(PLCTTHDMGUTCKHTT_06612!C9),"|",COLUMN(PLCTTHDMGUTCKHTT_06612!C9),",0",",0")</f>
        <v>617573,9|3,0,0</v>
      </c>
      <c r="D9" t="str">
        <f>CONCATENATE(617411,",",ROW(PLCTTHDMGUTCKHTT_06612!D9),"|",COLUMN(PLCTTHDMGUTCKHTT_06612!D9),",0",",0")</f>
        <v>617411,9|4,0,0</v>
      </c>
      <c r="E9" t="str">
        <f>CONCATENATE(617505,",",ROW(PLCTTHDMGUTCKHTT_06612!E9),"|",COLUMN(PLCTTHDMGUTCKHTT_06612!E9),",0",",0")</f>
        <v>617505,9|5,0,0</v>
      </c>
    </row>
    <row r="10" spans="1:5" x14ac:dyDescent="0.25">
      <c r="A10" t="str">
        <f>CONCATENATE(617554,",",ROW(PLCTTHDMGUTCKHTT_06612!A10),"|",COLUMN(PLCTTHDMGUTCKHTT_06612!A10),",0",",0")</f>
        <v>617554,10|1,0,0</v>
      </c>
      <c r="B10" t="str">
        <f>CONCATENATE(617547,",",ROW(PLCTTHDMGUTCKHTT_06612!B10),"|",COLUMN(PLCTTHDMGUTCKHTT_06612!B10),",0",",0")</f>
        <v>617547,10|2,0,0</v>
      </c>
      <c r="C10" t="str">
        <f>CONCATENATE(617574,",",ROW(PLCTTHDMGUTCKHTT_06612!C10),"|",COLUMN(PLCTTHDMGUTCKHTT_06612!C10),",0",",0")</f>
        <v>617574,10|3,0,0</v>
      </c>
      <c r="D10" t="str">
        <f>CONCATENATE(617412,",",ROW(PLCTTHDMGUTCKHTT_06612!D10),"|",COLUMN(PLCTTHDMGUTCKHTT_06612!D10),",0",",0")</f>
        <v>617412,10|4,0,0</v>
      </c>
      <c r="E10" t="str">
        <f>CONCATENATE(617506,",",ROW(PLCTTHDMGUTCKHTT_06612!E10),"|",COLUMN(PLCTTHDMGUTCKHTT_06612!E10),",0",",0")</f>
        <v>617506,10|5,0,0</v>
      </c>
    </row>
    <row r="11" spans="1:5" x14ac:dyDescent="0.25">
      <c r="A11" t="str">
        <f>CONCATENATE(617460,",",ROW(PLCTTHDMGUTCKHTT_06612!A11),"|",COLUMN(PLCTTHDMGUTCKHTT_06612!A11),",0",",0")</f>
        <v>617460,11|1,0,0</v>
      </c>
      <c r="B11" t="str">
        <f>CONCATENATE(617551,",",ROW(PLCTTHDMGUTCKHTT_06612!B11),"|",COLUMN(PLCTTHDMGUTCKHTT_06612!B11),",0",",0")</f>
        <v>617551,11|2,0,0</v>
      </c>
      <c r="C11" t="str">
        <f>CONCATENATE(617465,",",ROW(PLCTTHDMGUTCKHTT_06612!C11),"|",COLUMN(PLCTTHDMGUTCKHTT_06612!C11),",0",",0")</f>
        <v>617465,11|3,0,0</v>
      </c>
      <c r="D11" t="str">
        <f>CONCATENATE(617413,",",ROW(PLCTTHDMGUTCKHTT_06612!D11),"|",COLUMN(PLCTTHDMGUTCKHTT_06612!D11),",0",",0")</f>
        <v>617413,11|4,0,0</v>
      </c>
      <c r="E11" t="str">
        <f>CONCATENATE(617507,",",ROW(PLCTTHDMGUTCKHTT_06612!E11),"|",COLUMN(PLCTTHDMGUTCKHTT_06612!E11),",0",",0")</f>
        <v>617507,11|5,0,0</v>
      </c>
    </row>
    <row r="12" spans="1:5" x14ac:dyDescent="0.25">
      <c r="A12" t="str">
        <f>CONCATENATE(617500,",",ROW(PLCTTHDMGUTCKHTT_06612!A12),"|",COLUMN(PLCTTHDMGUTCKHTT_06612!A12),",0",",0")</f>
        <v>617500,12|1,0,0</v>
      </c>
      <c r="B12" t="str">
        <f>CONCATENATE(617575,",",ROW(PLCTTHDMGUTCKHTT_06612!B12),"|",COLUMN(PLCTTHDMGUTCKHTT_06612!B12),",0",",0")</f>
        <v>617575,12|2,0,0</v>
      </c>
      <c r="C12" t="str">
        <f>CONCATENATE(617466,",",ROW(PLCTTHDMGUTCKHTT_06612!C12),"|",COLUMN(PLCTTHDMGUTCKHTT_06612!C12),",0",",0")</f>
        <v>617466,12|3,0,0</v>
      </c>
      <c r="D12" t="str">
        <f>CONCATENATE(617414,",",ROW(PLCTTHDMGUTCKHTT_06612!D12),"|",COLUMN(PLCTTHDMGUTCKHTT_06612!D12),",0",",0")</f>
        <v>617414,12|4,0,0</v>
      </c>
      <c r="E12" t="str">
        <f>CONCATENATE(617508,",",ROW(PLCTTHDMGUTCKHTT_06612!E12),"|",COLUMN(PLCTTHDMGUTCKHTT_06612!E12),",0",",0")</f>
        <v>617508,12|5,0,0</v>
      </c>
    </row>
    <row r="13" spans="1:5" x14ac:dyDescent="0.25">
      <c r="A13" t="str">
        <f>CONCATENATE(617530,",",ROW(PLCTTHDMGUTCKHTT_06612!A13),"|",COLUMN(PLCTTHDMGUTCKHTT_06612!A13),",0",",0")</f>
        <v>617530,13|1,0,0</v>
      </c>
      <c r="B13" t="str">
        <f>CONCATENATE(617452,",",ROW(PLCTTHDMGUTCKHTT_06612!B13),"|",COLUMN(PLCTTHDMGUTCKHTT_06612!B13),",0",",0")</f>
        <v>617452,13|2,0,0</v>
      </c>
      <c r="C13" t="str">
        <f>CONCATENATE(617467,",",ROW(PLCTTHDMGUTCKHTT_06612!C13),"|",COLUMN(PLCTTHDMGUTCKHTT_06612!C13),",0",",0")</f>
        <v>617467,13|3,0,0</v>
      </c>
      <c r="D13" t="str">
        <f>CONCATENATE(617415,",",ROW(PLCTTHDMGUTCKHTT_06612!D13),"|",COLUMN(PLCTTHDMGUTCKHTT_06612!D13),",0",",0")</f>
        <v>617415,13|4,0,0</v>
      </c>
      <c r="E13" t="str">
        <f>CONCATENATE(617509,",",ROW(PLCTTHDMGUTCKHTT_06612!E13),"|",COLUMN(PLCTTHDMGUTCKHTT_06612!E13),",0",",0")</f>
        <v>617509,13|5,0,0</v>
      </c>
    </row>
    <row r="14" spans="1:5" x14ac:dyDescent="0.25">
      <c r="A14" t="str">
        <f>CONCATENATE(617531,",",ROW(PLCTTHDMGUTCKHTT_06612!A14),"|",COLUMN(PLCTTHDMGUTCKHTT_06612!A14),",0",",0")</f>
        <v>617531,14|1,0,0</v>
      </c>
      <c r="B14" t="str">
        <f>CONCATENATE(617546,",",ROW(PLCTTHDMGUTCKHTT_06612!B14),"|",COLUMN(PLCTTHDMGUTCKHTT_06612!B14),",0",",0")</f>
        <v>617546,14|2,0,0</v>
      </c>
      <c r="C14" t="str">
        <f>CONCATENATE(617468,",",ROW(PLCTTHDMGUTCKHTT_06612!C14),"|",COLUMN(PLCTTHDMGUTCKHTT_06612!C14),",0",",0")</f>
        <v>617468,14|3,0,0</v>
      </c>
      <c r="D14" t="str">
        <f>CONCATENATE(617416,",",ROW(PLCTTHDMGUTCKHTT_06612!D14),"|",COLUMN(PLCTTHDMGUTCKHTT_06612!D14),",0",",0")</f>
        <v>617416,14|4,0,0</v>
      </c>
      <c r="E14" t="str">
        <f>CONCATENATE(617510,",",ROW(PLCTTHDMGUTCKHTT_06612!E14),"|",COLUMN(PLCTTHDMGUTCKHTT_06612!E14),",0",",0")</f>
        <v>617510,14|5,0,0</v>
      </c>
    </row>
    <row r="15" spans="1:5" x14ac:dyDescent="0.25">
      <c r="A15" t="str">
        <f>CONCATENATE(617532,",",ROW(PLCTTHDMGUTCKHTT_06612!A15),"|",COLUMN(PLCTTHDMGUTCKHTT_06612!A15),",0",",0")</f>
        <v>617532,15|1,0,0</v>
      </c>
      <c r="B15" t="str">
        <f>CONCATENATE(617453,",",ROW(PLCTTHDMGUTCKHTT_06612!B15),"|",COLUMN(PLCTTHDMGUTCKHTT_06612!B15),",0",",0")</f>
        <v>617453,15|2,0,0</v>
      </c>
      <c r="C15" t="str">
        <f>CONCATENATE(617470,",",ROW(PLCTTHDMGUTCKHTT_06612!C15),"|",COLUMN(PLCTTHDMGUTCKHTT_06612!C15),",0",",0")</f>
        <v>617470,15|3,0,0</v>
      </c>
      <c r="D15" t="str">
        <f>CONCATENATE(617417,",",ROW(PLCTTHDMGUTCKHTT_06612!D15),"|",COLUMN(PLCTTHDMGUTCKHTT_06612!D15),",0",",0")</f>
        <v>617417,15|4,0,0</v>
      </c>
      <c r="E15" t="str">
        <f>CONCATENATE(617511,",",ROW(PLCTTHDMGUTCKHTT_06612!E15),"|",COLUMN(PLCTTHDMGUTCKHTT_06612!E15),",0",",0")</f>
        <v>617511,15|5,0,0</v>
      </c>
    </row>
    <row r="16" spans="1:5" x14ac:dyDescent="0.25">
      <c r="A16" t="str">
        <f>CONCATENATE(617555,",",ROW(PLCTTHDMGUTCKHTT_06612!A16),"|",COLUMN(PLCTTHDMGUTCKHTT_06612!A16),",0",",0")</f>
        <v>617555,16|1,0,0</v>
      </c>
      <c r="B16" t="str">
        <f>CONCATENATE(617454,",",ROW(PLCTTHDMGUTCKHTT_06612!B16),"|",COLUMN(PLCTTHDMGUTCKHTT_06612!B16),",0",",0")</f>
        <v>617454,16|2,0,0</v>
      </c>
      <c r="C16" t="str">
        <f>CONCATENATE(617471,",",ROW(PLCTTHDMGUTCKHTT_06612!C16),"|",COLUMN(PLCTTHDMGUTCKHTT_06612!C16),",0",",0")</f>
        <v>617471,16|3,0,0</v>
      </c>
      <c r="D16" t="str">
        <f>CONCATENATE(617418,",",ROW(PLCTTHDMGUTCKHTT_06612!D16),"|",COLUMN(PLCTTHDMGUTCKHTT_06612!D16),",0",",0")</f>
        <v>617418,16|4,0,0</v>
      </c>
      <c r="E16" t="str">
        <f>CONCATENATE(617512,",",ROW(PLCTTHDMGUTCKHTT_06612!E16),"|",COLUMN(PLCTTHDMGUTCKHTT_06612!E16),",0",",0")</f>
        <v>617512,16|5,0,0</v>
      </c>
    </row>
    <row r="17" spans="1:5" x14ac:dyDescent="0.25">
      <c r="A17" t="str">
        <f>CONCATENATE(617533,",",ROW(PLCTTHDMGUTCKHTT_06612!A17),"|",COLUMN(PLCTTHDMGUTCKHTT_06612!A17),",0",",0")</f>
        <v>617533,17|1,0,0</v>
      </c>
      <c r="B17" t="str">
        <f>CONCATENATE(617455,",",ROW(PLCTTHDMGUTCKHTT_06612!B17),"|",COLUMN(PLCTTHDMGUTCKHTT_06612!B17),",0",",0")</f>
        <v>617455,17|2,0,0</v>
      </c>
      <c r="C17" t="str">
        <f>CONCATENATE(617472,",",ROW(PLCTTHDMGUTCKHTT_06612!C17),"|",COLUMN(PLCTTHDMGUTCKHTT_06612!C17),",0",",0")</f>
        <v>617472,17|3,0,0</v>
      </c>
      <c r="D17" t="str">
        <f>CONCATENATE(617419,",",ROW(PLCTTHDMGUTCKHTT_06612!D17),"|",COLUMN(PLCTTHDMGUTCKHTT_06612!D17),",0",",0")</f>
        <v>617419,17|4,0,0</v>
      </c>
      <c r="E17" t="str">
        <f>CONCATENATE(617513,",",ROW(PLCTTHDMGUTCKHTT_06612!E17),"|",COLUMN(PLCTTHDMGUTCKHTT_06612!E17),",0",",0")</f>
        <v>617513,17|5,0,0</v>
      </c>
    </row>
    <row r="18" spans="1:5" x14ac:dyDescent="0.25">
      <c r="A18" t="str">
        <f>CONCATENATE(617429,",",ROW(PLCTTHDMGUTCKHTT_06612!A18),"|",COLUMN(PLCTTHDMGUTCKHTT_06612!A18),",0",",0")</f>
        <v>617429,18|1,0,0</v>
      </c>
      <c r="B18" t="str">
        <f>CONCATENATE(617448,",",ROW(PLCTTHDMGUTCKHTT_06612!B18),"|",COLUMN(PLCTTHDMGUTCKHTT_06612!B18),",0",",0")</f>
        <v>617448,18|2,0,0</v>
      </c>
      <c r="C18" t="str">
        <f>CONCATENATE(617473,",",ROW(PLCTTHDMGUTCKHTT_06612!C18),"|",COLUMN(PLCTTHDMGUTCKHTT_06612!C18),",0",",0")</f>
        <v>617473,18|3,0,0</v>
      </c>
      <c r="D18" t="str">
        <f>CONCATENATE(617420,",",ROW(PLCTTHDMGUTCKHTT_06612!D18),"|",COLUMN(PLCTTHDMGUTCKHTT_06612!D18),",0",",0")</f>
        <v>617420,18|4,0,0</v>
      </c>
      <c r="E18" t="str">
        <f>CONCATENATE(617514,",",ROW(PLCTTHDMGUTCKHTT_06612!E18),"|",COLUMN(PLCTTHDMGUTCKHTT_06612!E18),",0",",0")</f>
        <v>617514,18|5,0,0</v>
      </c>
    </row>
    <row r="19" spans="1:5" x14ac:dyDescent="0.25">
      <c r="A19" t="str">
        <f>CONCATENATE(617399,",",ROW(PLCTTHDMGUTCKHTT_06612!A19),"|",COLUMN(PLCTTHDMGUTCKHTT_06612!A19),",0",",0")</f>
        <v>617399,19|1,0,0</v>
      </c>
      <c r="B19" t="str">
        <f>CONCATENATE(617400,",",ROW(PLCTTHDMGUTCKHTT_06612!B19),"|",COLUMN(PLCTTHDMGUTCKHTT_06612!B19),",0",",0")</f>
        <v>617400,19|2,0,0</v>
      </c>
      <c r="C19" t="str">
        <f>CONCATENATE(617401,",",ROW(PLCTTHDMGUTCKHTT_06612!C19),"|",COLUMN(PLCTTHDMGUTCKHTT_06612!C19),",0",",0")</f>
        <v>617401,19|3,0,0</v>
      </c>
      <c r="D19" t="str">
        <f>CONCATENATE(617402,",",ROW(PLCTTHDMGUTCKHTT_06612!D19),"|",COLUMN(PLCTTHDMGUTCKHTT_06612!D19),",0",",0")</f>
        <v>617402,19|4,0,0</v>
      </c>
      <c r="E19" t="str">
        <f>CONCATENATE(617403,",",ROW(PLCTTHDMGUTCKHTT_06612!E19),"|",COLUMN(PLCTTHDMGUTCKHTT_06612!E19),",0",",0")</f>
        <v>617403,19|5,0,0</v>
      </c>
    </row>
    <row r="20" spans="1:5" x14ac:dyDescent="0.25">
      <c r="A20" t="str">
        <f>CONCATENATE(617430,",",ROW(PLCTTHDMGUTCKHTT_06612!A20),"|",COLUMN(PLCTTHDMGUTCKHTT_06612!A20),",0",",0")</f>
        <v>617430,20|1,0,0</v>
      </c>
      <c r="B20" t="str">
        <f>CONCATENATE(617548,",",ROW(PLCTTHDMGUTCKHTT_06612!B20),"|",COLUMN(PLCTTHDMGUTCKHTT_06612!B20),",0",",0")</f>
        <v>617548,20|2,0,0</v>
      </c>
      <c r="C20" t="str">
        <f>CONCATENATE(617474,",",ROW(PLCTTHDMGUTCKHTT_06612!C20),"|",COLUMN(PLCTTHDMGUTCKHTT_06612!C20),",0",",0")</f>
        <v>617474,20|3,0,0</v>
      </c>
      <c r="D20" t="str">
        <f>CONCATENATE(617421,",",ROW(PLCTTHDMGUTCKHTT_06612!D20),"|",COLUMN(PLCTTHDMGUTCKHTT_06612!D20),",0",",0")</f>
        <v>617421,20|4,0,0</v>
      </c>
      <c r="E20" t="str">
        <f>CONCATENATE(617515,",",ROW(PLCTTHDMGUTCKHTT_06612!E20),"|",COLUMN(PLCTTHDMGUTCKHTT_06612!E20),",0",",0")</f>
        <v>617515,20|5,0,0</v>
      </c>
    </row>
    <row r="21" spans="1:5" x14ac:dyDescent="0.25">
      <c r="A21" t="str">
        <f>CONCATENATE(617431,",",ROW(PLCTTHDMGUTCKHTT_06612!A21),"|",COLUMN(PLCTTHDMGUTCKHTT_06612!A21),",0",",0")</f>
        <v>617431,21|1,0,0</v>
      </c>
      <c r="B21" t="str">
        <f>CONCATENATE(617449,",",ROW(PLCTTHDMGUTCKHTT_06612!B21),"|",COLUMN(PLCTTHDMGUTCKHTT_06612!B21),",0",",0")</f>
        <v>617449,21|2,0,0</v>
      </c>
      <c r="C21" t="str">
        <f>CONCATENATE(617475,",",ROW(PLCTTHDMGUTCKHTT_06612!C21),"|",COLUMN(PLCTTHDMGUTCKHTT_06612!C21),",0",",0")</f>
        <v>617475,21|3,0,0</v>
      </c>
      <c r="D21" t="str">
        <f>CONCATENATE(617422,",",ROW(PLCTTHDMGUTCKHTT_06612!D21),"|",COLUMN(PLCTTHDMGUTCKHTT_06612!D21),",0",",0")</f>
        <v>617422,21|4,0,0</v>
      </c>
      <c r="E21" t="str">
        <f>CONCATENATE(617516,",",ROW(PLCTTHDMGUTCKHTT_06612!E21),"|",COLUMN(PLCTTHDMGUTCKHTT_06612!E21),",0",",0")</f>
        <v>617516,21|5,0,0</v>
      </c>
    </row>
    <row r="22" spans="1:5" x14ac:dyDescent="0.25">
      <c r="A22" t="str">
        <f>CONCATENATE(617432,",",ROW(PLCTTHDMGUTCKHTT_06612!A22),"|",COLUMN(PLCTTHDMGUTCKHTT_06612!A22),",0",",0")</f>
        <v>617432,22|1,0,0</v>
      </c>
      <c r="B22" t="str">
        <f>CONCATENATE(617456,",",ROW(PLCTTHDMGUTCKHTT_06612!B22),"|",COLUMN(PLCTTHDMGUTCKHTT_06612!B22),",0",",0")</f>
        <v>617456,22|2,0,0</v>
      </c>
      <c r="C22" t="str">
        <f>CONCATENATE(617476,",",ROW(PLCTTHDMGUTCKHTT_06612!C22),"|",COLUMN(PLCTTHDMGUTCKHTT_06612!C22),",0",",0")</f>
        <v>617476,22|3,0,0</v>
      </c>
      <c r="D22" t="str">
        <f>CONCATENATE(617488,",",ROW(PLCTTHDMGUTCKHTT_06612!D22),"|",COLUMN(PLCTTHDMGUTCKHTT_06612!D22),",0",",0")</f>
        <v>617488,22|4,0,0</v>
      </c>
      <c r="E22" t="str">
        <f>CONCATENATE(617517,",",ROW(PLCTTHDMGUTCKHTT_06612!E22),"|",COLUMN(PLCTTHDMGUTCKHTT_06612!E22),",0",",0")</f>
        <v>617517,22|5,0,0</v>
      </c>
    </row>
    <row r="23" spans="1:5" x14ac:dyDescent="0.25">
      <c r="A23" t="str">
        <f>CONCATENATE(617433,",",ROW(PLCTTHDMGUTCKHTT_06612!A23),"|",COLUMN(PLCTTHDMGUTCKHTT_06612!A23),",0",",0")</f>
        <v>617433,23|1,0,0</v>
      </c>
      <c r="B23" t="str">
        <f>CONCATENATE(617450,",",ROW(PLCTTHDMGUTCKHTT_06612!B23),"|",COLUMN(PLCTTHDMGUTCKHTT_06612!B23),",0",",0")</f>
        <v>617450,23|2,0,0</v>
      </c>
      <c r="C23" t="str">
        <f>CONCATENATE(617477,",",ROW(PLCTTHDMGUTCKHTT_06612!C23),"|",COLUMN(PLCTTHDMGUTCKHTT_06612!C23),",0",",0")</f>
        <v>617477,23|3,0,0</v>
      </c>
      <c r="D23" t="str">
        <f>CONCATENATE(617489,",",ROW(PLCTTHDMGUTCKHTT_06612!D23),"|",COLUMN(PLCTTHDMGUTCKHTT_06612!D23),",0",",0")</f>
        <v>617489,23|4,0,0</v>
      </c>
      <c r="E23" t="str">
        <f>CONCATENATE(617518,",",ROW(PLCTTHDMGUTCKHTT_06612!E23),"|",COLUMN(PLCTTHDMGUTCKHTT_06612!E23),",0",",0")</f>
        <v>617518,23|5,0,0</v>
      </c>
    </row>
    <row r="24" spans="1:5" x14ac:dyDescent="0.25">
      <c r="A24" t="str">
        <f>CONCATENATE(617443,",",ROW(PLCTTHDMGUTCKHTT_06612!A24),"|",COLUMN(PLCTTHDMGUTCKHTT_06612!A24),",0",",0")</f>
        <v>617443,24|1,0,0</v>
      </c>
      <c r="B24" t="str">
        <f>CONCATENATE(617549,",",ROW(PLCTTHDMGUTCKHTT_06612!B24),"|",COLUMN(PLCTTHDMGUTCKHTT_06612!B24),",0",",0")</f>
        <v>617549,24|2,0,0</v>
      </c>
      <c r="C24" t="str">
        <f>CONCATENATE(617478,",",ROW(PLCTTHDMGUTCKHTT_06612!C24),"|",COLUMN(PLCTTHDMGUTCKHTT_06612!C24),",0",",0")</f>
        <v>617478,24|3,0,0</v>
      </c>
      <c r="D24" t="str">
        <f>CONCATENATE(617490,",",ROW(PLCTTHDMGUTCKHTT_06612!D24),"|",COLUMN(PLCTTHDMGUTCKHTT_06612!D24),",0",",0")</f>
        <v>617490,24|4,0,0</v>
      </c>
      <c r="E24" t="str">
        <f>CONCATENATE(617519,",",ROW(PLCTTHDMGUTCKHTT_06612!E24),"|",COLUMN(PLCTTHDMGUTCKHTT_06612!E24),",0",",0")</f>
        <v>617519,24|5,0,0</v>
      </c>
    </row>
    <row r="25" spans="1:5" x14ac:dyDescent="0.25">
      <c r="A25" t="str">
        <f>CONCATENATE(617556,",",ROW(PLCTTHDMGUTCKHTT_06612!A25),"|",COLUMN(PLCTTHDMGUTCKHTT_06612!A25),",0",",0")</f>
        <v>617556,25|1,0,0</v>
      </c>
      <c r="B25" t="str">
        <f>CONCATENATE(617451,",",ROW(PLCTTHDMGUTCKHTT_06612!B25),"|",COLUMN(PLCTTHDMGUTCKHTT_06612!B25),",0",",0")</f>
        <v>617451,25|2,0,0</v>
      </c>
      <c r="C25" t="str">
        <f>CONCATENATE(617479,",",ROW(PLCTTHDMGUTCKHTT_06612!C25),"|",COLUMN(PLCTTHDMGUTCKHTT_06612!C25),",0",",0")</f>
        <v>617479,25|3,0,0</v>
      </c>
      <c r="D25" t="str">
        <f>CONCATENATE(617491,",",ROW(PLCTTHDMGUTCKHTT_06612!D25),"|",COLUMN(PLCTTHDMGUTCKHTT_06612!D25),",0",",0")</f>
        <v>617491,25|4,0,0</v>
      </c>
      <c r="E25" t="str">
        <f>CONCATENATE(617520,",",ROW(PLCTTHDMGUTCKHTT_06612!E25),"|",COLUMN(PLCTTHDMGUTCKHTT_06612!E25),",0",",0")</f>
        <v>617520,25|5,0,0</v>
      </c>
    </row>
    <row r="26" spans="1:5" x14ac:dyDescent="0.25">
      <c r="A26" t="str">
        <f>CONCATENATE(617461,",",ROW(PLCTTHDMGUTCKHTT_06612!A26),"|",COLUMN(PLCTTHDMGUTCKHTT_06612!A26),",0",",0")</f>
        <v>617461,26|1,0,0</v>
      </c>
      <c r="B26" t="str">
        <f>CONCATENATE(617436,",",ROW(PLCTTHDMGUTCKHTT_06612!B26),"|",COLUMN(PLCTTHDMGUTCKHTT_06612!B26),",0",",0")</f>
        <v>617436,26|2,0,0</v>
      </c>
      <c r="C26" t="str">
        <f>CONCATENATE(617480,",",ROW(PLCTTHDMGUTCKHTT_06612!C26),"|",COLUMN(PLCTTHDMGUTCKHTT_06612!C26),",0",",0")</f>
        <v>617480,26|3,0,0</v>
      </c>
      <c r="D26" t="str">
        <f>CONCATENATE(617492,",",ROW(PLCTTHDMGUTCKHTT_06612!D26),"|",COLUMN(PLCTTHDMGUTCKHTT_06612!D26),",0",",0")</f>
        <v>617492,26|4,0,0</v>
      </c>
      <c r="E26" t="str">
        <f>CONCATENATE(617521,",",ROW(PLCTTHDMGUTCKHTT_06612!E26),"|",COLUMN(PLCTTHDMGUTCKHTT_06612!E26),",0",",0")</f>
        <v>617521,26|5,0,0</v>
      </c>
    </row>
    <row r="27" spans="1:5" x14ac:dyDescent="0.25">
      <c r="A27" t="str">
        <f>CONCATENATE(617501,",",ROW(PLCTTHDMGUTCKHTT_06612!A27),"|",COLUMN(PLCTTHDMGUTCKHTT_06612!A27),",0",",0")</f>
        <v>617501,27|1,0,0</v>
      </c>
      <c r="B27" t="str">
        <f>CONCATENATE(617457,",",ROW(PLCTTHDMGUTCKHTT_06612!B27),"|",COLUMN(PLCTTHDMGUTCKHTT_06612!B27),",0",",0")</f>
        <v>617457,27|2,0,0</v>
      </c>
      <c r="C27" t="str">
        <f>CONCATENATE(617481,",",ROW(PLCTTHDMGUTCKHTT_06612!C27),"|",COLUMN(PLCTTHDMGUTCKHTT_06612!C27),",0",",0")</f>
        <v>617481,27|3,0,0</v>
      </c>
      <c r="D27" t="str">
        <f>CONCATENATE(617493,",",ROW(PLCTTHDMGUTCKHTT_06612!D27),"|",COLUMN(PLCTTHDMGUTCKHTT_06612!D27),",0",",0")</f>
        <v>617493,27|4,0,0</v>
      </c>
      <c r="E27" t="str">
        <f>CONCATENATE(617522,",",ROW(PLCTTHDMGUTCKHTT_06612!E27),"|",COLUMN(PLCTTHDMGUTCKHTT_06612!E27),",0",",0")</f>
        <v>617522,27|5,0,0</v>
      </c>
    </row>
    <row r="28" spans="1:5" x14ac:dyDescent="0.25">
      <c r="A28" t="str">
        <f>CONCATENATE(617464,",",ROW(PLCTTHDMGUTCKHTT_06612!A28),"|",COLUMN(PLCTTHDMGUTCKHTT_06612!A28),",0",",0")</f>
        <v>617464,28|1,0,0</v>
      </c>
      <c r="B28" t="str">
        <f>CONCATENATE(617576,",",ROW(PLCTTHDMGUTCKHTT_06612!B28),"|",COLUMN(PLCTTHDMGUTCKHTT_06612!B28),",0",",0")</f>
        <v>617576,28|2,0,0</v>
      </c>
      <c r="C28" t="str">
        <f>CONCATENATE(617482,",",ROW(PLCTTHDMGUTCKHTT_06612!C28),"|",COLUMN(PLCTTHDMGUTCKHTT_06612!C28),",0",",0")</f>
        <v>617482,28|3,0,0</v>
      </c>
      <c r="D28" t="str">
        <f>CONCATENATE(617494,",",ROW(PLCTTHDMGUTCKHTT_06612!D28),"|",COLUMN(PLCTTHDMGUTCKHTT_06612!D28),",0",",0")</f>
        <v>617494,28|4,0,0</v>
      </c>
      <c r="E28" t="str">
        <f>CONCATENATE(617523,",",ROW(PLCTTHDMGUTCKHTT_06612!E28),"|",COLUMN(PLCTTHDMGUTCKHTT_06612!E28),",0",",0")</f>
        <v>617523,28|5,0,0</v>
      </c>
    </row>
    <row r="29" spans="1:5" x14ac:dyDescent="0.25">
      <c r="A29" t="str">
        <f>CONCATENATE(617462,",",ROW(PLCTTHDMGUTCKHTT_06612!A29),"|",COLUMN(PLCTTHDMGUTCKHTT_06612!A29),",0",",0")</f>
        <v>617462,29|1,0,0</v>
      </c>
      <c r="B29" t="str">
        <f>CONCATENATE(617577,",",ROW(PLCTTHDMGUTCKHTT_06612!B29),"|",COLUMN(PLCTTHDMGUTCKHTT_06612!B29),",0",",0")</f>
        <v>617577,29|2,0,0</v>
      </c>
      <c r="C29" t="str">
        <f>CONCATENATE(617483,",",ROW(PLCTTHDMGUTCKHTT_06612!C29),"|",COLUMN(PLCTTHDMGUTCKHTT_06612!C29),",0",",0")</f>
        <v>617483,29|3,0,0</v>
      </c>
      <c r="D29" t="str">
        <f>CONCATENATE(617495,",",ROW(PLCTTHDMGUTCKHTT_06612!D29),"|",COLUMN(PLCTTHDMGUTCKHTT_06612!D29),",0",",0")</f>
        <v>617495,29|4,0,0</v>
      </c>
      <c r="E29" t="str">
        <f>CONCATENATE(617524,",",ROW(PLCTTHDMGUTCKHTT_06612!E29),"|",COLUMN(PLCTTHDMGUTCKHTT_06612!E29),",0",",0")</f>
        <v>617524,29|5,0,0</v>
      </c>
    </row>
    <row r="30" spans="1:5" x14ac:dyDescent="0.25">
      <c r="A30" t="str">
        <f>CONCATENATE(617463,",",ROW(PLCTTHDMGUTCKHTT_06612!A30),"|",COLUMN(PLCTTHDMGUTCKHTT_06612!A30),",0",",0")</f>
        <v>617463,30|1,0,0</v>
      </c>
      <c r="B30" t="str">
        <f>CONCATENATE(617578,",",ROW(PLCTTHDMGUTCKHTT_06612!B30),"|",COLUMN(PLCTTHDMGUTCKHTT_06612!B30),",0",",0")</f>
        <v>617578,30|2,0,0</v>
      </c>
      <c r="C30" t="str">
        <f>CONCATENATE(617484,",",ROW(PLCTTHDMGUTCKHTT_06612!C30),"|",COLUMN(PLCTTHDMGUTCKHTT_06612!C30),",0",",0")</f>
        <v>617484,30|3,0,0</v>
      </c>
      <c r="D30" t="str">
        <f>CONCATENATE(617496,",",ROW(PLCTTHDMGUTCKHTT_06612!D30),"|",COLUMN(PLCTTHDMGUTCKHTT_06612!D30),",0",",0")</f>
        <v>617496,30|4,0,0</v>
      </c>
      <c r="E30" t="str">
        <f>CONCATENATE(617525,",",ROW(PLCTTHDMGUTCKHTT_06612!E30),"|",COLUMN(PLCTTHDMGUTCKHTT_06612!E30),",0",",0")</f>
        <v>617525,30|5,0,0</v>
      </c>
    </row>
    <row r="31" spans="1:5" x14ac:dyDescent="0.25">
      <c r="A31" t="str">
        <f>CONCATENATE(617534,",",ROW(PLCTTHDMGUTCKHTT_06612!A31),"|",COLUMN(PLCTTHDMGUTCKHTT_06612!A31),",0",",0")</f>
        <v>617534,31|1,0,0</v>
      </c>
      <c r="B31" t="str">
        <f>CONCATENATE(617550,",",ROW(PLCTTHDMGUTCKHTT_06612!B31),"|",COLUMN(PLCTTHDMGUTCKHTT_06612!B31),",0",",0")</f>
        <v>617550,31|2,0,0</v>
      </c>
      <c r="C31" t="str">
        <f>CONCATENATE(617485,",",ROW(PLCTTHDMGUTCKHTT_06612!C31),"|",COLUMN(PLCTTHDMGUTCKHTT_06612!C31),",0",",0")</f>
        <v>617485,31|3,0,0</v>
      </c>
      <c r="D31" t="str">
        <f>CONCATENATE(617497,",",ROW(PLCTTHDMGUTCKHTT_06612!D31),"|",COLUMN(PLCTTHDMGUTCKHTT_06612!D31),",0",",0")</f>
        <v>617497,31|4,0,0</v>
      </c>
      <c r="E31" t="str">
        <f>CONCATENATE(617526,",",ROW(PLCTTHDMGUTCKHTT_06612!E31),"|",COLUMN(PLCTTHDMGUTCKHTT_06612!E31),",0",",0")</f>
        <v>617526,31|5,0,0</v>
      </c>
    </row>
    <row r="32" spans="1:5" x14ac:dyDescent="0.25">
      <c r="A32" t="str">
        <f>CONCATENATE(617434,",",ROW(PLCTTHDMGUTCKHTT_06612!A32),"|",COLUMN(PLCTTHDMGUTCKHTT_06612!A32),",0",",0")</f>
        <v>617434,32|1,0,0</v>
      </c>
      <c r="B32" t="str">
        <f>CONCATENATE(617579,",",ROW(PLCTTHDMGUTCKHTT_06612!B32),"|",COLUMN(PLCTTHDMGUTCKHTT_06612!B32),",0",",0")</f>
        <v>617579,32|2,0,0</v>
      </c>
      <c r="C32" t="str">
        <f>CONCATENATE(617486,",",ROW(PLCTTHDMGUTCKHTT_06612!C32),"|",COLUMN(PLCTTHDMGUTCKHTT_06612!C32),",0",",0")</f>
        <v>617486,32|3,0,0</v>
      </c>
      <c r="D32" t="str">
        <f>CONCATENATE(617498,",",ROW(PLCTTHDMGUTCKHTT_06612!D32),"|",COLUMN(PLCTTHDMGUTCKHTT_06612!D32),",0",",0")</f>
        <v>617498,32|4,0,0</v>
      </c>
      <c r="E32" t="str">
        <f>CONCATENATE(617527,",",ROW(PLCTTHDMGUTCKHTT_06612!E32),"|",COLUMN(PLCTTHDMGUTCKHTT_06612!E32),",0",",0")</f>
        <v>617527,32|5,0,0</v>
      </c>
    </row>
    <row r="33" spans="1:5" x14ac:dyDescent="0.25">
      <c r="A33" t="str">
        <f>CONCATENATE(617557,",",ROW(PLCTTHDMGUTCKHTT_06612!A33),"|",COLUMN(PLCTTHDMGUTCKHTT_06612!A33),",0",",0")</f>
        <v>617557,33|1,0,0</v>
      </c>
      <c r="B33" t="str">
        <f>CONCATENATE(617580,",",ROW(PLCTTHDMGUTCKHTT_06612!B33),"|",COLUMN(PLCTTHDMGUTCKHTT_06612!B33),",0",",0")</f>
        <v>617580,33|2,0,0</v>
      </c>
      <c r="C33" t="str">
        <f>CONCATENATE(617487,",",ROW(PLCTTHDMGUTCKHTT_06612!C33),"|",COLUMN(PLCTTHDMGUTCKHTT_06612!C33),",0",",0")</f>
        <v>617487,33|3,0,0</v>
      </c>
      <c r="D33" t="str">
        <f>CONCATENATE(617536,",",ROW(PLCTTHDMGUTCKHTT_06612!D33),"|",COLUMN(PLCTTHDMGUTCKHTT_06612!D33),",0",",0")</f>
        <v>617536,33|4,0,0</v>
      </c>
      <c r="E33" t="str">
        <f>CONCATENATE(617561,",",ROW(PLCTTHDMGUTCKHTT_06612!E33),"|",COLUMN(PLCTTHDMGUTCKHTT_06612!E33),",0",",0")</f>
        <v>617561,33|5,0,0</v>
      </c>
    </row>
    <row r="34" spans="1:5" x14ac:dyDescent="0.25">
      <c r="A34" t="str">
        <f>CONCATENATE(617446,",",ROW(PLCTTHDMGUTCKHTT_06612!A34),"|",COLUMN(PLCTTHDMGUTCKHTT_06612!A34),",0",",0")</f>
        <v>617446,34|1,0,0</v>
      </c>
      <c r="B34" t="str">
        <f>CONCATENATE(617528,",",ROW(PLCTTHDMGUTCKHTT_06612!B34),"|",COLUMN(PLCTTHDMGUTCKHTT_06612!B34),",0",",0")</f>
        <v>617528,34|2,0,0</v>
      </c>
      <c r="C34" t="str">
        <f>CONCATENATE(617441,",",ROW(PLCTTHDMGUTCKHTT_06612!C34),"|",COLUMN(PLCTTHDMGUTCKHTT_06612!C34),",0",",0")</f>
        <v>617441,34|3,0,0</v>
      </c>
      <c r="D34" t="str">
        <f>CONCATENATE(617537,",",ROW(PLCTTHDMGUTCKHTT_06612!D34),"|",COLUMN(PLCTTHDMGUTCKHTT_06612!D34),",0",",0")</f>
        <v>617537,34|4,0,0</v>
      </c>
      <c r="E34" t="str">
        <f>CONCATENATE(617562,",",ROW(PLCTTHDMGUTCKHTT_06612!E34),"|",COLUMN(PLCTTHDMGUTCKHTT_06612!E34),",0",",0")</f>
        <v>617562,34|5,0,0</v>
      </c>
    </row>
    <row r="35" spans="1:5" x14ac:dyDescent="0.25">
      <c r="A35" t="str">
        <f>CONCATENATE(617558,",",ROW(PLCTTHDMGUTCKHTT_06612!A35),"|",COLUMN(PLCTTHDMGUTCKHTT_06612!A35),",0",",0")</f>
        <v>617558,35|1,0,0</v>
      </c>
      <c r="B35" t="str">
        <f>CONCATENATE(617437,",",ROW(PLCTTHDMGUTCKHTT_06612!B35),"|",COLUMN(PLCTTHDMGUTCKHTT_06612!B35),",0",",0")</f>
        <v>617437,35|2,0,0</v>
      </c>
      <c r="C35" t="str">
        <f>CONCATENATE(617469,",",ROW(PLCTTHDMGUTCKHTT_06612!C35),"|",COLUMN(PLCTTHDMGUTCKHTT_06612!C35),",0",",0")</f>
        <v>617469,35|3,0,0</v>
      </c>
      <c r="D35" t="str">
        <f>CONCATENATE(617538,",",ROW(PLCTTHDMGUTCKHTT_06612!D35),"|",COLUMN(PLCTTHDMGUTCKHTT_06612!D35),",0",",0")</f>
        <v>617538,35|4,0,0</v>
      </c>
      <c r="E35" t="str">
        <f>CONCATENATE(617563,",",ROW(PLCTTHDMGUTCKHTT_06612!E35),"|",COLUMN(PLCTTHDMGUTCKHTT_06612!E35),",0",",0")</f>
        <v>617563,35|5,0,0</v>
      </c>
    </row>
    <row r="36" spans="1:5" x14ac:dyDescent="0.25">
      <c r="A36" t="str">
        <f>CONCATENATE(617435,",",ROW(PLCTTHDMGUTCKHTT_06612!A36),"|",COLUMN(PLCTTHDMGUTCKHTT_06612!A36),",0",",0")</f>
        <v>617435,36|1,0,0</v>
      </c>
      <c r="B36" t="str">
        <f>CONCATENATE(617438,",",ROW(PLCTTHDMGUTCKHTT_06612!B36),"|",COLUMN(PLCTTHDMGUTCKHTT_06612!B36),",0",",0")</f>
        <v>617438,36|2,0,0</v>
      </c>
      <c r="C36" t="str">
        <f>CONCATENATE(617442,",",ROW(PLCTTHDMGUTCKHTT_06612!C36),"|",COLUMN(PLCTTHDMGUTCKHTT_06612!C36),",0",",0")</f>
        <v>617442,36|3,0,0</v>
      </c>
      <c r="D36" t="str">
        <f>CONCATENATE(617539,",",ROW(PLCTTHDMGUTCKHTT_06612!D36),"|",COLUMN(PLCTTHDMGUTCKHTT_06612!D36),",0",",0")</f>
        <v>617539,36|4,0,0</v>
      </c>
      <c r="E36" t="str">
        <f>CONCATENATE(617564,",",ROW(PLCTTHDMGUTCKHTT_06612!E36),"|",COLUMN(PLCTTHDMGUTCKHTT_06612!E36),",0",",0")</f>
        <v>617564,36|5,0,0</v>
      </c>
    </row>
    <row r="37" spans="1:5" x14ac:dyDescent="0.25">
      <c r="A37" t="str">
        <f>CONCATENATE(617559,",",ROW(PLCTTHDMGUTCKHTT_06612!A37),"|",COLUMN(PLCTTHDMGUTCKHTT_06612!A37),",0",",0")</f>
        <v>617559,37|1,0,0</v>
      </c>
      <c r="B37" t="str">
        <f>CONCATENATE(617423,",",ROW(PLCTTHDMGUTCKHTT_06612!B37),"|",COLUMN(PLCTTHDMGUTCKHTT_06612!B37),",0",",0")</f>
        <v>617423,37|2,0,0</v>
      </c>
      <c r="C37" t="str">
        <f>CONCATENATE(617445,",",ROW(PLCTTHDMGUTCKHTT_06612!C37),"|",COLUMN(PLCTTHDMGUTCKHTT_06612!C37),",0",",0")</f>
        <v>617445,37|3,0,0</v>
      </c>
      <c r="D37" t="str">
        <f>CONCATENATE(617540,",",ROW(PLCTTHDMGUTCKHTT_06612!D37),"|",COLUMN(PLCTTHDMGUTCKHTT_06612!D37),",0",",0")</f>
        <v>617540,37|4,0,0</v>
      </c>
      <c r="E37" t="str">
        <f>CONCATENATE(617565,",",ROW(PLCTTHDMGUTCKHTT_06612!E37),"|",COLUMN(PLCTTHDMGUTCKHTT_06612!E37),",0",",0")</f>
        <v>617565,37|5,0,0</v>
      </c>
    </row>
    <row r="38" spans="1:5" x14ac:dyDescent="0.25">
      <c r="A38" t="str">
        <f>CONCATENATE(617560,",",ROW(PLCTTHDMGUTCKHTT_06612!A38),"|",COLUMN(PLCTTHDMGUTCKHTT_06612!A38),",0",",0")</f>
        <v>617560,38|1,0,0</v>
      </c>
      <c r="B38" t="str">
        <f>CONCATENATE(617529,",",ROW(PLCTTHDMGUTCKHTT_06612!B38),"|",COLUMN(PLCTTHDMGUTCKHTT_06612!B38),",0",",0")</f>
        <v>617529,38|2,0,0</v>
      </c>
      <c r="C38" t="str">
        <f>CONCATENATE(617404,",",ROW(PLCTTHDMGUTCKHTT_06612!C38),"|",COLUMN(PLCTTHDMGUTCKHTT_06612!C38),",0",",0")</f>
        <v>617404,38|3,0,0</v>
      </c>
      <c r="D38" t="str">
        <f>CONCATENATE(617541,",",ROW(PLCTTHDMGUTCKHTT_06612!D38),"|",COLUMN(PLCTTHDMGUTCKHTT_06612!D38),",0",",0")</f>
        <v>617541,38|4,0,0</v>
      </c>
      <c r="E38" t="str">
        <f>CONCATENATE(617566,",",ROW(PLCTTHDMGUTCKHTT_06612!E38),"|",COLUMN(PLCTTHDMGUTCKHTT_06612!E38),",0",",0")</f>
        <v>617566,38|5,0,0</v>
      </c>
    </row>
    <row r="39" spans="1:5" x14ac:dyDescent="0.25">
      <c r="A39" t="str">
        <f>CONCATENATE(617545,",",ROW(PLCTTHDMGUTCKHTT_06612!A39),"|",COLUMN(PLCTTHDMGUTCKHTT_06612!A39),",0",",0")</f>
        <v>617545,39|1,0,0</v>
      </c>
      <c r="B39" t="str">
        <f>CONCATENATE(617458,",",ROW(PLCTTHDMGUTCKHTT_06612!B39),"|",COLUMN(PLCTTHDMGUTCKHTT_06612!B39),",0",",0")</f>
        <v>617458,39|2,0,0</v>
      </c>
      <c r="C39" t="str">
        <f>CONCATENATE(617405,",",ROW(PLCTTHDMGUTCKHTT_06612!C39),"|",COLUMN(PLCTTHDMGUTCKHTT_06612!C39),",0",",0")</f>
        <v>617405,39|3,0,0</v>
      </c>
      <c r="D39" t="str">
        <f>CONCATENATE(617542,",",ROW(PLCTTHDMGUTCKHTT_06612!D39),"|",COLUMN(PLCTTHDMGUTCKHTT_06612!D39),",0",",0")</f>
        <v>617542,39|4,0,0</v>
      </c>
      <c r="E39" t="str">
        <f>CONCATENATE(617567,",",ROW(PLCTTHDMGUTCKHTT_06612!E39),"|",COLUMN(PLCTTHDMGUTCKHTT_06612!E39),",0",",0")</f>
        <v>617567,39|5,0,0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0"/>
  <sheetViews>
    <sheetView zoomScale="90" zoomScaleNormal="90" workbookViewId="0">
      <selection activeCell="Q13" sqref="Q13"/>
    </sheetView>
  </sheetViews>
  <sheetFormatPr defaultRowHeight="15" x14ac:dyDescent="0.25"/>
  <cols>
    <col min="1" max="1" width="31.28515625" bestFit="1" customWidth="1"/>
    <col min="2" max="2" width="12.7109375" bestFit="1" customWidth="1"/>
    <col min="3" max="3" width="16.7109375" bestFit="1" customWidth="1"/>
    <col min="4" max="5" width="21.140625" customWidth="1"/>
  </cols>
  <sheetData>
    <row r="1" spans="1:5" ht="20.25" x14ac:dyDescent="0.3">
      <c r="A1" s="1628" t="s">
        <v>18</v>
      </c>
      <c r="B1" s="1628" t="s">
        <v>5</v>
      </c>
      <c r="C1" s="1628" t="s">
        <v>5</v>
      </c>
      <c r="D1" s="1628" t="s">
        <v>5</v>
      </c>
      <c r="E1" s="1628" t="s">
        <v>5</v>
      </c>
    </row>
    <row r="2" spans="1:5" ht="18.75" x14ac:dyDescent="0.3">
      <c r="A2" s="1629" t="s">
        <v>605</v>
      </c>
      <c r="B2" s="1629" t="s">
        <v>5</v>
      </c>
      <c r="C2" s="1629" t="s">
        <v>5</v>
      </c>
      <c r="D2" s="1629" t="s">
        <v>5</v>
      </c>
      <c r="E2" s="1629" t="s">
        <v>5</v>
      </c>
    </row>
    <row r="3" spans="1:5" ht="18.75" x14ac:dyDescent="0.3">
      <c r="A3" s="1629" t="s">
        <v>35</v>
      </c>
      <c r="B3" s="1629" t="s">
        <v>5</v>
      </c>
      <c r="C3" s="1629" t="s">
        <v>5</v>
      </c>
      <c r="D3" s="1629" t="s">
        <v>5</v>
      </c>
      <c r="E3" s="1629" t="s">
        <v>5</v>
      </c>
    </row>
    <row r="4" spans="1:5" ht="18.75" x14ac:dyDescent="0.25">
      <c r="A4" s="1191" t="s">
        <v>30</v>
      </c>
      <c r="B4" s="1191" t="s">
        <v>31</v>
      </c>
      <c r="C4" s="1191" t="s">
        <v>32</v>
      </c>
      <c r="D4" s="1191" t="s">
        <v>387</v>
      </c>
      <c r="E4" s="1191" t="s">
        <v>388</v>
      </c>
    </row>
    <row r="5" spans="1:5" ht="16.5" x14ac:dyDescent="0.25">
      <c r="A5" s="1305" t="s">
        <v>39</v>
      </c>
      <c r="B5" s="1214" t="s">
        <v>114</v>
      </c>
      <c r="C5" s="1306" t="s">
        <v>79</v>
      </c>
      <c r="D5" s="1307" t="s">
        <v>223</v>
      </c>
      <c r="E5" s="1234" t="s">
        <v>80</v>
      </c>
    </row>
    <row r="6" spans="1:5" ht="49.5" x14ac:dyDescent="0.25">
      <c r="A6" s="1235" t="s">
        <v>539</v>
      </c>
      <c r="B6" s="1190" t="s">
        <v>5</v>
      </c>
      <c r="C6" s="1330"/>
      <c r="D6" s="2160" t="s">
        <v>5</v>
      </c>
      <c r="E6" s="2161" t="s">
        <v>5</v>
      </c>
    </row>
    <row r="7" spans="1:5" ht="49.5" x14ac:dyDescent="0.25">
      <c r="A7" s="1308" t="s">
        <v>677</v>
      </c>
      <c r="B7" s="1232" t="s">
        <v>223</v>
      </c>
      <c r="C7" s="1394"/>
      <c r="D7" s="2162">
        <v>-196743149474</v>
      </c>
      <c r="E7" s="2163">
        <v>17862576325</v>
      </c>
    </row>
    <row r="8" spans="1:5" ht="49.5" x14ac:dyDescent="0.25">
      <c r="A8" s="1236" t="s">
        <v>628</v>
      </c>
      <c r="B8" s="1294" t="s">
        <v>80</v>
      </c>
      <c r="C8" s="1395"/>
      <c r="D8" s="2164">
        <v>8998083630</v>
      </c>
      <c r="E8" s="2165">
        <v>24092577141</v>
      </c>
    </row>
    <row r="9" spans="1:5" ht="33" x14ac:dyDescent="0.25">
      <c r="A9" s="1398" t="s">
        <v>687</v>
      </c>
      <c r="B9" s="1233" t="s">
        <v>380</v>
      </c>
      <c r="C9" s="1396"/>
      <c r="D9" s="2166">
        <v>1389122360</v>
      </c>
      <c r="E9" s="2167">
        <v>1550539967</v>
      </c>
    </row>
    <row r="10" spans="1:5" ht="33" x14ac:dyDescent="0.25">
      <c r="A10" s="1271" t="s">
        <v>650</v>
      </c>
      <c r="B10" s="1249" t="s">
        <v>381</v>
      </c>
      <c r="C10" s="1397"/>
      <c r="D10" s="2168">
        <v>685289435</v>
      </c>
      <c r="E10" s="2169">
        <v>14786247711</v>
      </c>
    </row>
    <row r="11" spans="1:5" ht="49.5" x14ac:dyDescent="0.25">
      <c r="A11" s="1399" t="s">
        <v>688</v>
      </c>
      <c r="B11" s="1250" t="s">
        <v>328</v>
      </c>
      <c r="C11" s="1223"/>
      <c r="D11" s="2170" t="s">
        <v>5</v>
      </c>
      <c r="E11" s="2171" t="s">
        <v>5</v>
      </c>
    </row>
    <row r="12" spans="1:5" ht="33" x14ac:dyDescent="0.25">
      <c r="A12" s="1309" t="s">
        <v>678</v>
      </c>
      <c r="B12" s="1270" t="s">
        <v>384</v>
      </c>
      <c r="C12" s="1310"/>
      <c r="D12" s="2112">
        <v>6677652485</v>
      </c>
      <c r="E12" s="2113">
        <v>9058190700</v>
      </c>
    </row>
    <row r="13" spans="1:5" ht="33" x14ac:dyDescent="0.25">
      <c r="A13" s="1215" t="s">
        <v>617</v>
      </c>
      <c r="B13" s="1251" t="s">
        <v>385</v>
      </c>
      <c r="C13" s="1311"/>
      <c r="D13" s="2114">
        <v>246019350</v>
      </c>
      <c r="E13" s="2115">
        <v>-1302401237</v>
      </c>
    </row>
    <row r="14" spans="1:5" ht="33" x14ac:dyDescent="0.25">
      <c r="A14" s="1272" t="s">
        <v>651</v>
      </c>
      <c r="B14" s="1295" t="s">
        <v>329</v>
      </c>
      <c r="C14" s="1312"/>
      <c r="D14" s="2172" t="s">
        <v>5</v>
      </c>
      <c r="E14" s="2173" t="s">
        <v>5</v>
      </c>
    </row>
    <row r="15" spans="1:5" ht="33" x14ac:dyDescent="0.25">
      <c r="A15" s="1278" t="s">
        <v>657</v>
      </c>
      <c r="B15" s="1219" t="s">
        <v>318</v>
      </c>
      <c r="C15" s="1313"/>
      <c r="D15" s="2174" t="s">
        <v>5</v>
      </c>
      <c r="E15" s="2175" t="s">
        <v>5</v>
      </c>
    </row>
    <row r="16" spans="1:5" ht="49.5" x14ac:dyDescent="0.25">
      <c r="A16" s="1237" t="s">
        <v>629</v>
      </c>
      <c r="B16" s="1296" t="s">
        <v>382</v>
      </c>
      <c r="C16" s="1314"/>
      <c r="D16" s="2116">
        <v>182316116150</v>
      </c>
      <c r="E16" s="2117">
        <v>33570191736</v>
      </c>
    </row>
    <row r="17" spans="1:5" ht="66" x14ac:dyDescent="0.25">
      <c r="A17" s="1238" t="s">
        <v>630</v>
      </c>
      <c r="B17" s="1363" t="s">
        <v>299</v>
      </c>
      <c r="C17" s="1315"/>
      <c r="D17" s="2118">
        <v>182316116150</v>
      </c>
      <c r="E17" s="2119">
        <v>33570191736</v>
      </c>
    </row>
    <row r="18" spans="1:5" ht="66" x14ac:dyDescent="0.25">
      <c r="A18" s="1279" t="s">
        <v>658</v>
      </c>
      <c r="B18" s="1196" t="s">
        <v>330</v>
      </c>
      <c r="C18" s="1316"/>
      <c r="D18" s="2176" t="s">
        <v>5</v>
      </c>
      <c r="E18" s="2177" t="s">
        <v>5</v>
      </c>
    </row>
    <row r="19" spans="1:5" ht="49.5" x14ac:dyDescent="0.25">
      <c r="A19" s="1273" t="s">
        <v>652</v>
      </c>
      <c r="B19" s="1195" t="s">
        <v>331</v>
      </c>
      <c r="C19" s="1317"/>
      <c r="D19" s="2178" t="s">
        <v>5</v>
      </c>
      <c r="E19" s="2179" t="s">
        <v>5</v>
      </c>
    </row>
    <row r="20" spans="1:5" ht="82.5" x14ac:dyDescent="0.25">
      <c r="A20" s="1274" t="s">
        <v>653</v>
      </c>
      <c r="B20" s="1220" t="s">
        <v>619</v>
      </c>
      <c r="C20" s="1318"/>
      <c r="D20" s="2180" t="s">
        <v>5</v>
      </c>
      <c r="E20" s="2181" t="s">
        <v>5</v>
      </c>
    </row>
    <row r="21" spans="1:5" ht="49.5" x14ac:dyDescent="0.25">
      <c r="A21" s="1275" t="s">
        <v>654</v>
      </c>
      <c r="B21" s="1364" t="s">
        <v>682</v>
      </c>
      <c r="C21" s="1319"/>
      <c r="D21" s="2182" t="s">
        <v>5</v>
      </c>
      <c r="E21" s="2183" t="s">
        <v>5</v>
      </c>
    </row>
    <row r="22" spans="1:5" ht="66" x14ac:dyDescent="0.25">
      <c r="A22" s="1280" t="s">
        <v>659</v>
      </c>
      <c r="B22" s="1221" t="s">
        <v>620</v>
      </c>
      <c r="C22" s="1320"/>
      <c r="D22" s="2184" t="s">
        <v>5</v>
      </c>
      <c r="E22" s="2185" t="s">
        <v>5</v>
      </c>
    </row>
    <row r="23" spans="1:5" ht="33" x14ac:dyDescent="0.25">
      <c r="A23" s="1276" t="s">
        <v>655</v>
      </c>
      <c r="B23" s="1252" t="s">
        <v>640</v>
      </c>
      <c r="C23" s="1321"/>
      <c r="D23" s="2186" t="s">
        <v>5</v>
      </c>
      <c r="E23" s="2187" t="s">
        <v>5</v>
      </c>
    </row>
    <row r="24" spans="1:5" ht="49.5" x14ac:dyDescent="0.25">
      <c r="A24" s="1277" t="s">
        <v>656</v>
      </c>
      <c r="B24" s="1297" t="s">
        <v>670</v>
      </c>
      <c r="C24" s="1322"/>
      <c r="D24" s="2120">
        <v>-424399236</v>
      </c>
      <c r="E24" s="2121">
        <v>-71012550453</v>
      </c>
    </row>
    <row r="25" spans="1:5" ht="66" x14ac:dyDescent="0.25">
      <c r="A25" s="1281" t="s">
        <v>660</v>
      </c>
      <c r="B25" s="1298" t="s">
        <v>671</v>
      </c>
      <c r="C25" s="1323"/>
      <c r="D25" s="2122">
        <v>-424399236</v>
      </c>
      <c r="E25" s="2123">
        <v>-71012550453</v>
      </c>
    </row>
    <row r="26" spans="1:5" ht="82.5" x14ac:dyDescent="0.25">
      <c r="A26" s="1226" t="s">
        <v>623</v>
      </c>
      <c r="B26" s="1197" t="s">
        <v>527</v>
      </c>
      <c r="C26" s="1324"/>
      <c r="D26" s="2188" t="s">
        <v>5</v>
      </c>
      <c r="E26" s="2189" t="s">
        <v>5</v>
      </c>
    </row>
    <row r="27" spans="1:5" ht="33" x14ac:dyDescent="0.25">
      <c r="A27" s="1227" t="s">
        <v>624</v>
      </c>
      <c r="B27" s="1408" t="s">
        <v>383</v>
      </c>
      <c r="C27" s="1392"/>
      <c r="D27" s="2190" t="s">
        <v>5</v>
      </c>
      <c r="E27" s="2191" t="s">
        <v>5</v>
      </c>
    </row>
    <row r="28" spans="1:5" ht="66" x14ac:dyDescent="0.25">
      <c r="A28" s="1240" t="s">
        <v>632</v>
      </c>
      <c r="B28" s="1365" t="s">
        <v>514</v>
      </c>
      <c r="C28" s="1325"/>
      <c r="D28" s="2124">
        <v>-10431153955</v>
      </c>
      <c r="E28" s="2125">
        <v>25511872160</v>
      </c>
    </row>
    <row r="29" spans="1:5" ht="66" x14ac:dyDescent="0.25">
      <c r="A29" s="1282" t="s">
        <v>661</v>
      </c>
      <c r="B29" s="1333" t="s">
        <v>515</v>
      </c>
      <c r="C29" s="1326"/>
      <c r="D29" s="2126">
        <v>-602398401374</v>
      </c>
      <c r="E29" s="2127">
        <v>26257751657</v>
      </c>
    </row>
    <row r="30" spans="1:5" ht="66" x14ac:dyDescent="0.25">
      <c r="A30" s="1267" t="s">
        <v>647</v>
      </c>
      <c r="B30" s="1198" t="s">
        <v>528</v>
      </c>
      <c r="C30" s="1336"/>
      <c r="D30" s="2192" t="s">
        <v>5</v>
      </c>
      <c r="E30" s="2193" t="s">
        <v>5</v>
      </c>
    </row>
    <row r="31" spans="1:5" ht="49.5" x14ac:dyDescent="0.25">
      <c r="A31" s="1268" t="s">
        <v>648</v>
      </c>
      <c r="B31" s="1253" t="s">
        <v>525</v>
      </c>
      <c r="C31" s="1337"/>
      <c r="D31" s="2128">
        <v>7990727724</v>
      </c>
      <c r="E31" s="2129">
        <v>25022889804</v>
      </c>
    </row>
    <row r="32" spans="1:5" ht="49.5" x14ac:dyDescent="0.25">
      <c r="A32" s="1216" t="s">
        <v>618</v>
      </c>
      <c r="B32" s="1222" t="s">
        <v>583</v>
      </c>
      <c r="C32" s="1327"/>
      <c r="D32" s="2194" t="s">
        <v>5</v>
      </c>
      <c r="E32" s="2195" t="s">
        <v>5</v>
      </c>
    </row>
    <row r="33" spans="1:5" ht="49.5" x14ac:dyDescent="0.25">
      <c r="A33" s="1400" t="s">
        <v>689</v>
      </c>
      <c r="B33" s="1409" t="s">
        <v>579</v>
      </c>
      <c r="C33" s="1393"/>
      <c r="D33" s="2196">
        <v>625330599928</v>
      </c>
      <c r="E33" s="2197">
        <v>-8557614776</v>
      </c>
    </row>
    <row r="34" spans="1:5" ht="66" x14ac:dyDescent="0.25">
      <c r="A34" s="1241" t="s">
        <v>633</v>
      </c>
      <c r="B34" s="1254" t="s">
        <v>601</v>
      </c>
      <c r="C34" s="1328"/>
      <c r="D34" s="2198">
        <v>0</v>
      </c>
      <c r="E34" s="2199">
        <v>113000</v>
      </c>
    </row>
    <row r="35" spans="1:5" ht="66" x14ac:dyDescent="0.25">
      <c r="A35" s="1242" t="s">
        <v>634</v>
      </c>
      <c r="B35" s="1255" t="s">
        <v>602</v>
      </c>
      <c r="C35" s="1329"/>
      <c r="D35" s="2200">
        <v>-26227259</v>
      </c>
      <c r="E35" s="2201">
        <v>-142613945</v>
      </c>
    </row>
    <row r="36" spans="1:5" ht="66" x14ac:dyDescent="0.25">
      <c r="A36" s="1243" t="s">
        <v>635</v>
      </c>
      <c r="B36" s="1199" t="s">
        <v>607</v>
      </c>
      <c r="C36" s="1339"/>
      <c r="D36" s="2202" t="s">
        <v>5</v>
      </c>
      <c r="E36" s="2203" t="s">
        <v>5</v>
      </c>
    </row>
    <row r="37" spans="1:5" ht="49.5" x14ac:dyDescent="0.25">
      <c r="A37" s="1244" t="s">
        <v>636</v>
      </c>
      <c r="B37" s="1256" t="s">
        <v>641</v>
      </c>
      <c r="C37" s="1340"/>
      <c r="D37" s="2130">
        <v>-50638137</v>
      </c>
      <c r="E37" s="2131">
        <v>-11013834</v>
      </c>
    </row>
    <row r="38" spans="1:5" ht="33" x14ac:dyDescent="0.25">
      <c r="A38" s="1269" t="s">
        <v>649</v>
      </c>
      <c r="B38" s="1366" t="s">
        <v>603</v>
      </c>
      <c r="C38" s="1338"/>
      <c r="D38" s="2132">
        <v>-89770468</v>
      </c>
      <c r="E38" s="2133">
        <v>3657232099</v>
      </c>
    </row>
    <row r="39" spans="1:5" ht="66" x14ac:dyDescent="0.25">
      <c r="A39" s="1401" t="s">
        <v>690</v>
      </c>
      <c r="B39" s="1257" t="s">
        <v>597</v>
      </c>
      <c r="C39" s="1341"/>
      <c r="D39" s="2134">
        <v>-3017042987</v>
      </c>
      <c r="E39" s="2135">
        <v>-11070184590</v>
      </c>
    </row>
    <row r="40" spans="1:5" ht="49.5" x14ac:dyDescent="0.25">
      <c r="A40" s="1283" t="s">
        <v>662</v>
      </c>
      <c r="B40" s="1410" t="s">
        <v>604</v>
      </c>
      <c r="C40" s="1342"/>
      <c r="D40" s="2136">
        <v>124416830</v>
      </c>
      <c r="E40" s="2137">
        <v>875713536</v>
      </c>
    </row>
    <row r="41" spans="1:5" ht="33" x14ac:dyDescent="0.25">
      <c r="A41" s="1228" t="s">
        <v>625</v>
      </c>
      <c r="B41" s="1287" t="s">
        <v>590</v>
      </c>
      <c r="C41" s="1343"/>
      <c r="D41" s="2204" t="s">
        <v>5</v>
      </c>
      <c r="E41" s="2205" t="s">
        <v>5</v>
      </c>
    </row>
    <row r="42" spans="1:5" ht="33" x14ac:dyDescent="0.25">
      <c r="A42" s="1402" t="s">
        <v>691</v>
      </c>
      <c r="B42" s="1200" t="s">
        <v>580</v>
      </c>
      <c r="C42" s="1344"/>
      <c r="D42" s="2138">
        <v>-9421536148</v>
      </c>
      <c r="E42" s="2139">
        <v>-12061273541</v>
      </c>
    </row>
    <row r="43" spans="1:5" ht="49.5" x14ac:dyDescent="0.25">
      <c r="A43" s="1284" t="s">
        <v>663</v>
      </c>
      <c r="B43" s="1258" t="s">
        <v>569</v>
      </c>
      <c r="C43" s="1345"/>
      <c r="D43" s="2206">
        <v>-28588555312</v>
      </c>
      <c r="E43" s="2207">
        <v>2380236019</v>
      </c>
    </row>
    <row r="44" spans="1:5" ht="49.5" x14ac:dyDescent="0.25">
      <c r="A44" s="1285" t="s">
        <v>664</v>
      </c>
      <c r="B44" s="1288" t="s">
        <v>591</v>
      </c>
      <c r="C44" s="1346"/>
      <c r="D44" s="2208">
        <v>5144500</v>
      </c>
      <c r="E44" s="2209">
        <v>63406001</v>
      </c>
    </row>
    <row r="45" spans="1:5" ht="82.5" x14ac:dyDescent="0.25">
      <c r="A45" s="1245" t="s">
        <v>637</v>
      </c>
      <c r="B45" s="1259" t="s">
        <v>584</v>
      </c>
      <c r="C45" s="1347"/>
      <c r="D45" s="2210">
        <v>-37960369</v>
      </c>
      <c r="E45" s="2211">
        <v>-639958509</v>
      </c>
    </row>
    <row r="46" spans="1:5" ht="49.5" x14ac:dyDescent="0.25">
      <c r="A46" s="1403" t="s">
        <v>692</v>
      </c>
      <c r="B46" s="1201" t="s">
        <v>608</v>
      </c>
      <c r="C46" s="1348"/>
      <c r="D46" s="2212">
        <v>326282727</v>
      </c>
      <c r="E46" s="2213">
        <v>-55729329</v>
      </c>
    </row>
    <row r="47" spans="1:5" ht="49.5" x14ac:dyDescent="0.25">
      <c r="A47" s="1263" t="s">
        <v>645</v>
      </c>
      <c r="B47" s="1260" t="s">
        <v>642</v>
      </c>
      <c r="C47" s="1349"/>
      <c r="D47" s="2214" t="s">
        <v>5</v>
      </c>
      <c r="E47" s="2215" t="s">
        <v>5</v>
      </c>
    </row>
    <row r="48" spans="1:5" ht="49.5" x14ac:dyDescent="0.25">
      <c r="A48" s="1404" t="s">
        <v>693</v>
      </c>
      <c r="B48" s="1202" t="s">
        <v>521</v>
      </c>
      <c r="C48" s="1350"/>
      <c r="D48" s="2140">
        <v>-82339633</v>
      </c>
      <c r="E48" s="2141">
        <v>339957279</v>
      </c>
    </row>
    <row r="49" spans="1:5" ht="49.5" x14ac:dyDescent="0.25">
      <c r="A49" s="1246" t="s">
        <v>638</v>
      </c>
      <c r="B49" s="1411" t="s">
        <v>695</v>
      </c>
      <c r="C49" s="1351"/>
      <c r="D49" s="2216" t="s">
        <v>5</v>
      </c>
      <c r="E49" s="2217" t="s">
        <v>5</v>
      </c>
    </row>
    <row r="50" spans="1:5" ht="49.5" x14ac:dyDescent="0.25">
      <c r="A50" s="1290" t="s">
        <v>666</v>
      </c>
      <c r="B50" s="1299" t="s">
        <v>672</v>
      </c>
      <c r="C50" s="1352"/>
      <c r="D50" s="2142">
        <v>-495853977</v>
      </c>
      <c r="E50" s="2143">
        <v>-547038711</v>
      </c>
    </row>
    <row r="51" spans="1:5" ht="51.75" x14ac:dyDescent="0.25">
      <c r="A51" s="1415" t="s">
        <v>509</v>
      </c>
      <c r="B51" s="1300" t="s">
        <v>518</v>
      </c>
      <c r="C51" s="1353"/>
      <c r="D51" s="2144">
        <v>-16284502885</v>
      </c>
      <c r="E51" s="2145">
        <v>30024666909</v>
      </c>
    </row>
    <row r="52" spans="1:5" ht="49.5" x14ac:dyDescent="0.25">
      <c r="A52" s="1264" t="s">
        <v>564</v>
      </c>
      <c r="B52" s="1190" t="s">
        <v>5</v>
      </c>
      <c r="C52" s="1354"/>
      <c r="D52" s="2218" t="s">
        <v>5</v>
      </c>
      <c r="E52" s="2219" t="s">
        <v>5</v>
      </c>
    </row>
    <row r="53" spans="1:5" ht="66" x14ac:dyDescent="0.25">
      <c r="A53" s="1291" t="s">
        <v>667</v>
      </c>
      <c r="B53" s="1367" t="s">
        <v>522</v>
      </c>
      <c r="C53" s="1355"/>
      <c r="D53" s="2220">
        <v>0</v>
      </c>
      <c r="E53" s="2146">
        <v>-34378560</v>
      </c>
    </row>
    <row r="54" spans="1:5" ht="66" x14ac:dyDescent="0.25">
      <c r="A54" s="1405" t="s">
        <v>694</v>
      </c>
      <c r="B54" s="1368" t="s">
        <v>683</v>
      </c>
      <c r="C54" s="1356"/>
      <c r="D54" s="2147">
        <v>1253636364</v>
      </c>
      <c r="E54" s="2221">
        <v>0</v>
      </c>
    </row>
    <row r="55" spans="1:5" ht="66" x14ac:dyDescent="0.25">
      <c r="A55" s="1247" t="s">
        <v>639</v>
      </c>
      <c r="B55" s="1261" t="s">
        <v>643</v>
      </c>
      <c r="C55" s="1357"/>
      <c r="D55" s="2222" t="s">
        <v>5</v>
      </c>
      <c r="E55" s="2223" t="s">
        <v>5</v>
      </c>
    </row>
    <row r="56" spans="1:5" ht="82.5" x14ac:dyDescent="0.25">
      <c r="A56" s="1225" t="s">
        <v>622</v>
      </c>
      <c r="B56" s="1301" t="s">
        <v>673</v>
      </c>
      <c r="C56" s="1358"/>
      <c r="D56" s="2224" t="s">
        <v>5</v>
      </c>
      <c r="E56" s="2225" t="s">
        <v>5</v>
      </c>
    </row>
    <row r="57" spans="1:5" ht="66" x14ac:dyDescent="0.25">
      <c r="A57" s="1229" t="s">
        <v>626</v>
      </c>
      <c r="B57" s="1302" t="s">
        <v>674</v>
      </c>
      <c r="C57" s="1359"/>
      <c r="D57" s="2148">
        <v>80940869</v>
      </c>
      <c r="E57" s="2149">
        <v>1302401237</v>
      </c>
    </row>
    <row r="58" spans="1:5" ht="51.75" x14ac:dyDescent="0.25">
      <c r="A58" s="1406" t="s">
        <v>531</v>
      </c>
      <c r="B58" s="1203" t="s">
        <v>609</v>
      </c>
      <c r="C58" s="1360"/>
      <c r="D58" s="2150">
        <v>1334577233</v>
      </c>
      <c r="E58" s="2151">
        <v>1268022677</v>
      </c>
    </row>
    <row r="59" spans="1:5" ht="49.5" x14ac:dyDescent="0.25">
      <c r="A59" s="1210" t="s">
        <v>541</v>
      </c>
      <c r="B59" s="1190" t="s">
        <v>5</v>
      </c>
      <c r="C59" s="1361"/>
      <c r="D59" s="2226" t="s">
        <v>5</v>
      </c>
      <c r="E59" s="2227" t="s">
        <v>5</v>
      </c>
    </row>
    <row r="60" spans="1:5" ht="66" x14ac:dyDescent="0.25">
      <c r="A60" s="1211" t="s">
        <v>510</v>
      </c>
      <c r="B60" s="1262" t="s">
        <v>644</v>
      </c>
      <c r="C60" s="1373"/>
      <c r="D60" s="2228" t="s">
        <v>5</v>
      </c>
      <c r="E60" s="2229" t="s">
        <v>5</v>
      </c>
    </row>
    <row r="61" spans="1:5" ht="66" x14ac:dyDescent="0.25">
      <c r="A61" s="1416" t="s">
        <v>698</v>
      </c>
      <c r="B61" s="1369" t="s">
        <v>557</v>
      </c>
      <c r="C61" s="1374"/>
      <c r="D61" s="2230" t="s">
        <v>5</v>
      </c>
      <c r="E61" s="2231" t="s">
        <v>5</v>
      </c>
    </row>
    <row r="62" spans="1:5" ht="33" x14ac:dyDescent="0.25">
      <c r="A62" s="1292" t="s">
        <v>668</v>
      </c>
      <c r="B62" s="1412" t="s">
        <v>558</v>
      </c>
      <c r="C62" s="1375"/>
      <c r="D62" s="2152">
        <v>132026315000</v>
      </c>
      <c r="E62" s="2153">
        <v>525187904698</v>
      </c>
    </row>
    <row r="63" spans="1:5" ht="49.5" x14ac:dyDescent="0.25">
      <c r="A63" s="1230" t="s">
        <v>546</v>
      </c>
      <c r="B63" s="1370" t="s">
        <v>684</v>
      </c>
      <c r="C63" s="1376"/>
      <c r="D63" s="2232" t="s">
        <v>5</v>
      </c>
      <c r="E63" s="2233" t="s">
        <v>5</v>
      </c>
    </row>
    <row r="64" spans="1:5" ht="33" x14ac:dyDescent="0.25">
      <c r="A64" s="1417" t="s">
        <v>532</v>
      </c>
      <c r="B64" s="1303" t="s">
        <v>675</v>
      </c>
      <c r="C64" s="1377"/>
      <c r="D64" s="2234">
        <v>132026315000</v>
      </c>
      <c r="E64" s="2235">
        <v>525187904698</v>
      </c>
    </row>
    <row r="65" spans="1:5" ht="33" x14ac:dyDescent="0.25">
      <c r="A65" s="1418" t="s">
        <v>512</v>
      </c>
      <c r="B65" s="1289" t="s">
        <v>665</v>
      </c>
      <c r="C65" s="1378"/>
      <c r="D65" s="2236">
        <v>-178177250000</v>
      </c>
      <c r="E65" s="2237">
        <v>-581759409804</v>
      </c>
    </row>
    <row r="66" spans="1:5" ht="49.5" x14ac:dyDescent="0.25">
      <c r="A66" s="1192" t="s">
        <v>537</v>
      </c>
      <c r="B66" s="1204" t="s">
        <v>610</v>
      </c>
      <c r="C66" s="1379"/>
      <c r="D66" s="2238" t="s">
        <v>5</v>
      </c>
      <c r="E66" s="2239" t="s">
        <v>5</v>
      </c>
    </row>
    <row r="67" spans="1:5" ht="49.5" x14ac:dyDescent="0.25">
      <c r="A67" s="1193" t="s">
        <v>606</v>
      </c>
      <c r="B67" s="1371" t="s">
        <v>685</v>
      </c>
      <c r="C67" s="1380"/>
      <c r="D67" s="2240" t="s">
        <v>5</v>
      </c>
      <c r="E67" s="2241" t="s">
        <v>5</v>
      </c>
    </row>
    <row r="68" spans="1:5" ht="33" x14ac:dyDescent="0.25">
      <c r="A68" s="1265" t="s">
        <v>548</v>
      </c>
      <c r="B68" s="1239" t="s">
        <v>631</v>
      </c>
      <c r="C68" s="1381"/>
      <c r="D68" s="2154">
        <v>-178177250000</v>
      </c>
      <c r="E68" s="2155">
        <v>-581759409804</v>
      </c>
    </row>
    <row r="69" spans="1:5" ht="49.5" x14ac:dyDescent="0.25">
      <c r="A69" s="1293" t="s">
        <v>669</v>
      </c>
      <c r="B69" s="1304" t="s">
        <v>676</v>
      </c>
      <c r="C69" s="1382"/>
      <c r="D69" s="2242" t="s">
        <v>5</v>
      </c>
      <c r="E69" s="2243" t="s">
        <v>5</v>
      </c>
    </row>
    <row r="70" spans="1:5" ht="49.5" x14ac:dyDescent="0.25">
      <c r="A70" s="1248" t="s">
        <v>538</v>
      </c>
      <c r="B70" s="1413" t="s">
        <v>696</v>
      </c>
      <c r="C70" s="1383"/>
      <c r="D70" s="2244" t="s">
        <v>5</v>
      </c>
      <c r="E70" s="2245" t="s">
        <v>5</v>
      </c>
    </row>
    <row r="71" spans="1:5" ht="51.75" x14ac:dyDescent="0.25">
      <c r="A71" s="1194" t="s">
        <v>553</v>
      </c>
      <c r="B71" s="1205" t="s">
        <v>500</v>
      </c>
      <c r="C71" s="1384"/>
      <c r="D71" s="2246">
        <v>-46150935000</v>
      </c>
      <c r="E71" s="2247">
        <v>-56571505106</v>
      </c>
    </row>
    <row r="72" spans="1:5" ht="49.5" x14ac:dyDescent="0.25">
      <c r="A72" s="1217" t="s">
        <v>533</v>
      </c>
      <c r="B72" s="1206" t="s">
        <v>611</v>
      </c>
      <c r="C72" s="1385"/>
      <c r="D72" s="2248">
        <v>-61100860652</v>
      </c>
      <c r="E72" s="2249">
        <v>-25278815520</v>
      </c>
    </row>
    <row r="73" spans="1:5" ht="49.5" x14ac:dyDescent="0.25">
      <c r="A73" s="1218" t="s">
        <v>534</v>
      </c>
      <c r="B73" s="1207" t="s">
        <v>612</v>
      </c>
      <c r="C73" s="1386"/>
      <c r="D73" s="2250">
        <v>138223648674</v>
      </c>
      <c r="E73" s="2251">
        <v>108953346950</v>
      </c>
    </row>
    <row r="74" spans="1:5" ht="33" x14ac:dyDescent="0.25">
      <c r="A74" s="1212" t="s">
        <v>615</v>
      </c>
      <c r="B74" s="1372" t="s">
        <v>686</v>
      </c>
      <c r="C74" s="1387"/>
      <c r="D74" s="2252">
        <v>138223648674</v>
      </c>
      <c r="E74" s="2253">
        <v>108953346950</v>
      </c>
    </row>
    <row r="75" spans="1:5" ht="33" x14ac:dyDescent="0.25">
      <c r="A75" s="1231" t="s">
        <v>627</v>
      </c>
      <c r="B75" s="1414" t="s">
        <v>697</v>
      </c>
      <c r="C75" s="1388"/>
      <c r="D75" s="2254" t="s">
        <v>5</v>
      </c>
      <c r="E75" s="2255" t="s">
        <v>5</v>
      </c>
    </row>
    <row r="76" spans="1:5" ht="33" x14ac:dyDescent="0.25">
      <c r="A76" s="1362" t="s">
        <v>681</v>
      </c>
      <c r="B76" s="1266" t="s">
        <v>646</v>
      </c>
      <c r="C76" s="1390"/>
      <c r="D76" s="2256" t="s">
        <v>5</v>
      </c>
      <c r="E76" s="2257" t="s">
        <v>5</v>
      </c>
    </row>
    <row r="77" spans="1:5" ht="49.5" x14ac:dyDescent="0.25">
      <c r="A77" s="1213" t="s">
        <v>616</v>
      </c>
      <c r="B77" s="1209" t="s">
        <v>614</v>
      </c>
      <c r="C77" s="1391"/>
      <c r="D77" s="2156">
        <v>77122788022</v>
      </c>
      <c r="E77" s="2157">
        <v>83674531430</v>
      </c>
    </row>
    <row r="78" spans="1:5" ht="33" x14ac:dyDescent="0.25">
      <c r="A78" s="1407" t="s">
        <v>615</v>
      </c>
      <c r="B78" s="1208" t="s">
        <v>613</v>
      </c>
      <c r="C78" s="1389"/>
      <c r="D78" s="2158">
        <v>77122788022</v>
      </c>
      <c r="E78" s="2159">
        <v>83674531430</v>
      </c>
    </row>
    <row r="79" spans="1:5" ht="33" x14ac:dyDescent="0.25">
      <c r="A79" s="1286" t="s">
        <v>627</v>
      </c>
      <c r="B79" s="1224" t="s">
        <v>621</v>
      </c>
      <c r="C79" s="1331"/>
      <c r="D79" s="2258" t="s">
        <v>5</v>
      </c>
      <c r="E79" s="2259" t="s">
        <v>5</v>
      </c>
    </row>
    <row r="80" spans="1:5" ht="49.5" x14ac:dyDescent="0.25">
      <c r="A80" s="1334" t="s">
        <v>679</v>
      </c>
      <c r="B80" s="1335" t="s">
        <v>680</v>
      </c>
      <c r="C80" s="1332"/>
      <c r="D80" s="2260" t="s">
        <v>5</v>
      </c>
      <c r="E80" s="2261" t="s">
        <v>5</v>
      </c>
    </row>
  </sheetData>
  <mergeCells count="3">
    <mergeCell ref="A1:E1"/>
    <mergeCell ref="A2:E2"/>
    <mergeCell ref="A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E80"/>
  <sheetViews>
    <sheetView workbookViewId="0"/>
  </sheetViews>
  <sheetFormatPr defaultRowHeight="15" x14ac:dyDescent="0.25"/>
  <cols>
    <col min="1" max="1" width="1" style="437" bestFit="1" customWidth="1"/>
    <col min="2" max="5" width="1" bestFit="1" customWidth="1"/>
  </cols>
  <sheetData>
    <row r="5" spans="1:5" x14ac:dyDescent="0.25">
      <c r="A5" t="str">
        <f>CONCATENATE(618665,",",ROW(BCLCTTRGT_06613!A5),"|",COLUMN(BCLCTTRGT_06613!A5),",0",",0")</f>
        <v>618665,5|1,0,0</v>
      </c>
      <c r="B5" t="str">
        <f>CONCATENATE(618490,",",ROW(BCLCTTRGT_06613!B5),"|",COLUMN(BCLCTTRGT_06613!B5),",0",",0")</f>
        <v>618490,5|2,0,0</v>
      </c>
      <c r="C5" t="str">
        <f>CONCATENATE(618666,",",ROW(BCLCTTRGT_06613!C5),"|",COLUMN(BCLCTTRGT_06613!C5),",0",",0")</f>
        <v>618666,5|3,0,0</v>
      </c>
      <c r="D5" t="str">
        <f>CONCATENATE(618667,",",ROW(BCLCTTRGT_06613!D5),"|",COLUMN(BCLCTTRGT_06613!D5),",0",",0")</f>
        <v>618667,5|4,0,0</v>
      </c>
      <c r="E5" t="str">
        <f>CONCATENATE(618578,",",ROW(BCLCTTRGT_06613!E5),"|",COLUMN(BCLCTTRGT_06613!E5),",0",",0")</f>
        <v>618578,5|5,0,0</v>
      </c>
    </row>
    <row r="6" spans="1:5" x14ac:dyDescent="0.25">
      <c r="A6" t="str">
        <f>CONCATENATE(618579,",",ROW(BCLCTTRGT_06613!A6),"|",COLUMN(BCLCTTRGT_06613!A6),",0",",0")</f>
        <v>618579,6|1,0,0</v>
      </c>
      <c r="B6" t="s">
        <v>5</v>
      </c>
      <c r="C6" t="str">
        <f>CONCATENATE(618690,",",ROW(BCLCTTRGT_06613!C6),"|",COLUMN(BCLCTTRGT_06613!C6),",0",",0")</f>
        <v>618690,6|3,0,0</v>
      </c>
      <c r="D6" t="str">
        <f>CONCATENATE(618566,",",ROW(BCLCTTRGT_06613!D6),"|",COLUMN(BCLCTTRGT_06613!D6),",0",",0")</f>
        <v>618566,6|4,0,0</v>
      </c>
      <c r="E6" t="str">
        <f>CONCATENATE(618752,",",ROW(BCLCTTRGT_06613!E6),"|",COLUMN(BCLCTTRGT_06613!E6),",0",",0")</f>
        <v>618752,6|5,0,0</v>
      </c>
    </row>
    <row r="7" spans="1:5" x14ac:dyDescent="0.25">
      <c r="A7" t="str">
        <f>CONCATENATE(618668,",",ROW(BCLCTTRGT_06613!A7),"|",COLUMN(BCLCTTRGT_06613!A7),",0",",0")</f>
        <v>618668,7|1,0,0</v>
      </c>
      <c r="B7" t="str">
        <f>CONCATENATE(618576,",",ROW(BCLCTTRGT_06613!B7),"|",COLUMN(BCLCTTRGT_06613!B7),",0",",0")</f>
        <v>618576,7|2,0,0</v>
      </c>
      <c r="C7" t="str">
        <f>CONCATENATE(618815,",",ROW(BCLCTTRGT_06613!C7),"|",COLUMN(BCLCTTRGT_06613!C7),",0",",0")</f>
        <v>618815,7|3,0,0</v>
      </c>
      <c r="D7" t="str">
        <f>CONCATENATE(618541,",",ROW(BCLCTTRGT_06613!D7),"|",COLUMN(BCLCTTRGT_06613!D7),",0",",0")</f>
        <v>618541,7|4,0,0</v>
      </c>
      <c r="E7" t="str">
        <f>CONCATENATE(618726,",",ROW(BCLCTTRGT_06613!E7),"|",COLUMN(BCLCTTRGT_06613!E7),",0",",0")</f>
        <v>618726,7|5,0,0</v>
      </c>
    </row>
    <row r="8" spans="1:5" x14ac:dyDescent="0.25">
      <c r="A8" t="str">
        <f>CONCATENATE(618580,",",ROW(BCLCTTRGT_06613!A8),"|",COLUMN(BCLCTTRGT_06613!A8),",0",",0")</f>
        <v>618580,8|1,0,0</v>
      </c>
      <c r="B8" t="str">
        <f>CONCATENATE(618654,",",ROW(BCLCTTRGT_06613!B8),"|",COLUMN(BCLCTTRGT_06613!B8),",0",",0")</f>
        <v>618654,8|2,0,0</v>
      </c>
      <c r="C8" t="str">
        <f>CONCATENATE(618816,",",ROW(BCLCTTRGT_06613!C8),"|",COLUMN(BCLCTTRGT_06613!C8),",0",",0")</f>
        <v>618816,8|3,0,0</v>
      </c>
      <c r="D8" t="str">
        <f>CONCATENATE(618542,",",ROW(BCLCTTRGT_06613!D8),"|",COLUMN(BCLCTTRGT_06613!D8),",0",",0")</f>
        <v>618542,8|4,0,0</v>
      </c>
      <c r="E8" t="str">
        <f>CONCATENATE(618727,",",ROW(BCLCTTRGT_06613!E8),"|",COLUMN(BCLCTTRGT_06613!E8),",0",",0")</f>
        <v>618727,8|5,0,0</v>
      </c>
    </row>
    <row r="9" spans="1:5" x14ac:dyDescent="0.25">
      <c r="A9" t="str">
        <f>CONCATENATE(618824,",",ROW(BCLCTTRGT_06613!A9),"|",COLUMN(BCLCTTRGT_06613!A9),",0",",0")</f>
        <v>618824,9|1,0,0</v>
      </c>
      <c r="B9" t="str">
        <f>CONCATENATE(618577,",",ROW(BCLCTTRGT_06613!B9),"|",COLUMN(BCLCTTRGT_06613!B9),",0",",0")</f>
        <v>618577,9|2,0,0</v>
      </c>
      <c r="C9" t="str">
        <f>CONCATENATE(618817,",",ROW(BCLCTTRGT_06613!C9),"|",COLUMN(BCLCTTRGT_06613!C9),",0",",0")</f>
        <v>618817,9|3,0,0</v>
      </c>
      <c r="D9" t="str">
        <f>CONCATENATE(618543,",",ROW(BCLCTTRGT_06613!D9),"|",COLUMN(BCLCTTRGT_06613!D9),",0",",0")</f>
        <v>618543,9|4,0,0</v>
      </c>
      <c r="E9" t="str">
        <f>CONCATENATE(618728,",",ROW(BCLCTTRGT_06613!E9),"|",COLUMN(BCLCTTRGT_06613!E9),",0",",0")</f>
        <v>618728,9|5,0,0</v>
      </c>
    </row>
    <row r="10" spans="1:5" x14ac:dyDescent="0.25">
      <c r="A10" t="str">
        <f>CONCATENATE(618615,",",ROW(BCLCTTRGT_06613!A10),"|",COLUMN(BCLCTTRGT_06613!A10),",0",",0")</f>
        <v>618615,10|1,0,0</v>
      </c>
      <c r="B10" t="str">
        <f>CONCATENATE(618593,",",ROW(BCLCTTRGT_06613!B10),"|",COLUMN(BCLCTTRGT_06613!B10),",0",",0")</f>
        <v>618593,10|2,0,0</v>
      </c>
      <c r="C10" t="str">
        <f>CONCATENATE(618818,",",ROW(BCLCTTRGT_06613!C10),"|",COLUMN(BCLCTTRGT_06613!C10),",0",",0")</f>
        <v>618818,10|3,0,0</v>
      </c>
      <c r="D10" t="str">
        <f>CONCATENATE(618544,",",ROW(BCLCTTRGT_06613!D10),"|",COLUMN(BCLCTTRGT_06613!D10),",0",",0")</f>
        <v>618544,10|4,0,0</v>
      </c>
      <c r="E10" t="str">
        <f>CONCATENATE(618729,",",ROW(BCLCTTRGT_06613!E10),"|",COLUMN(BCLCTTRGT_06613!E10),",0",",0")</f>
        <v>618729,10|5,0,0</v>
      </c>
    </row>
    <row r="11" spans="1:5" x14ac:dyDescent="0.25">
      <c r="A11" t="str">
        <f>CONCATENATE(618825,",",ROW(BCLCTTRGT_06613!A11),"|",COLUMN(BCLCTTRGT_06613!A11),",0",",0")</f>
        <v>618825,11|1,0,0</v>
      </c>
      <c r="B11" t="str">
        <f>CONCATENATE(618594,",",ROW(BCLCTTRGT_06613!B11),"|",COLUMN(BCLCTTRGT_06613!B11),",0",",0")</f>
        <v>618594,11|2,0,0</v>
      </c>
      <c r="C11" t="str">
        <f>CONCATENATE(618499,",",ROW(BCLCTTRGT_06613!C11),"|",COLUMN(BCLCTTRGT_06613!C11),",0",",0")</f>
        <v>618499,11|3,0,0</v>
      </c>
      <c r="D11" t="str">
        <f>CONCATENATE(618545,",",ROW(BCLCTTRGT_06613!D11),"|",COLUMN(BCLCTTRGT_06613!D11),",0",",0")</f>
        <v>618545,11|4,0,0</v>
      </c>
      <c r="E11" t="str">
        <f>CONCATENATE(618730,",",ROW(BCLCTTRGT_06613!E11),"|",COLUMN(BCLCTTRGT_06613!E11),",0",",0")</f>
        <v>618730,11|5,0,0</v>
      </c>
    </row>
    <row r="12" spans="1:5" x14ac:dyDescent="0.25">
      <c r="A12" t="str">
        <f>CONCATENATE(618669,",",ROW(BCLCTTRGT_06613!A12),"|",COLUMN(BCLCTTRGT_06613!A12),",0",",0")</f>
        <v>618669,12|1,0,0</v>
      </c>
      <c r="B12" t="str">
        <f>CONCATENATE(618614,",",ROW(BCLCTTRGT_06613!B12),"|",COLUMN(BCLCTTRGT_06613!B12),",0",",0")</f>
        <v>618614,12|2,0,0</v>
      </c>
      <c r="C12" t="str">
        <f>CONCATENATE(618670,",",ROW(BCLCTTRGT_06613!C12),"|",COLUMN(BCLCTTRGT_06613!C12),",0",",0")</f>
        <v>618670,12|3,0,0</v>
      </c>
      <c r="D12" t="str">
        <f>CONCATENATE(618546,",",ROW(BCLCTTRGT_06613!D12),"|",COLUMN(BCLCTTRGT_06613!D12),",0",",0")</f>
        <v>618546,12|4,0,0</v>
      </c>
      <c r="E12" t="str">
        <f>CONCATENATE(618731,",",ROW(BCLCTTRGT_06613!E12),"|",COLUMN(BCLCTTRGT_06613!E12),",0",",0")</f>
        <v>618731,12|5,0,0</v>
      </c>
    </row>
    <row r="13" spans="1:5" x14ac:dyDescent="0.25">
      <c r="A13" t="str">
        <f>CONCATENATE(618491,",",ROW(BCLCTTRGT_06613!A13),"|",COLUMN(BCLCTTRGT_06613!A13),",0",",0")</f>
        <v>618491,13|1,0,0</v>
      </c>
      <c r="B13" t="str">
        <f>CONCATENATE(618595,",",ROW(BCLCTTRGT_06613!B13),"|",COLUMN(BCLCTTRGT_06613!B13),",0",",0")</f>
        <v>618595,13|2,0,0</v>
      </c>
      <c r="C13" t="str">
        <f>CONCATENATE(618671,",",ROW(BCLCTTRGT_06613!C13),"|",COLUMN(BCLCTTRGT_06613!C13),",0",",0")</f>
        <v>618671,13|3,0,0</v>
      </c>
      <c r="D13" t="str">
        <f>CONCATENATE(618547,",",ROW(BCLCTTRGT_06613!D13),"|",COLUMN(BCLCTTRGT_06613!D13),",0",",0")</f>
        <v>618547,13|4,0,0</v>
      </c>
      <c r="E13" t="str">
        <f>CONCATENATE(618732,",",ROW(BCLCTTRGT_06613!E13),"|",COLUMN(BCLCTTRGT_06613!E13),",0",",0")</f>
        <v>618732,13|5,0,0</v>
      </c>
    </row>
    <row r="14" spans="1:5" x14ac:dyDescent="0.25">
      <c r="A14" t="str">
        <f>CONCATENATE(618616,",",ROW(BCLCTTRGT_06613!A14),"|",COLUMN(BCLCTTRGT_06613!A14),",0",",0")</f>
        <v>618616,14|1,0,0</v>
      </c>
      <c r="B14" t="str">
        <f>CONCATENATE(618655,",",ROW(BCLCTTRGT_06613!B14),"|",COLUMN(BCLCTTRGT_06613!B14),",0",",0")</f>
        <v>618655,14|2,0,0</v>
      </c>
      <c r="C14" t="str">
        <f>CONCATENATE(618672,",",ROW(BCLCTTRGT_06613!C14),"|",COLUMN(BCLCTTRGT_06613!C14),",0",",0")</f>
        <v>618672,14|3,0,0</v>
      </c>
      <c r="D14" t="str">
        <f>CONCATENATE(618548,",",ROW(BCLCTTRGT_06613!D14),"|",COLUMN(BCLCTTRGT_06613!D14),",0",",0")</f>
        <v>618548,14|4,0,0</v>
      </c>
      <c r="E14" t="str">
        <f>CONCATENATE(618733,",",ROW(BCLCTTRGT_06613!E14),"|",COLUMN(BCLCTTRGT_06613!E14),",0",",0")</f>
        <v>618733,14|5,0,0</v>
      </c>
    </row>
    <row r="15" spans="1:5" x14ac:dyDescent="0.25">
      <c r="A15" t="str">
        <f>CONCATENATE(618622,",",ROW(BCLCTTRGT_06613!A15),"|",COLUMN(BCLCTTRGT_06613!A15),",0",",0")</f>
        <v>618622,15|1,0,0</v>
      </c>
      <c r="B15" t="str">
        <f>CONCATENATE(618495,",",ROW(BCLCTTRGT_06613!B15),"|",COLUMN(BCLCTTRGT_06613!B15),",0",",0")</f>
        <v>618495,15|2,0,0</v>
      </c>
      <c r="C15" t="str">
        <f>CONCATENATE(618673,",",ROW(BCLCTTRGT_06613!C15),"|",COLUMN(BCLCTTRGT_06613!C15),",0",",0")</f>
        <v>618673,15|3,0,0</v>
      </c>
      <c r="D15" t="str">
        <f>CONCATENATE(618549,",",ROW(BCLCTTRGT_06613!D15),"|",COLUMN(BCLCTTRGT_06613!D15),",0",",0")</f>
        <v>618549,15|4,0,0</v>
      </c>
      <c r="E15" t="str">
        <f>CONCATENATE(618734,",",ROW(BCLCTTRGT_06613!E15),"|",COLUMN(BCLCTTRGT_06613!E15),",0",",0")</f>
        <v>618734,15|5,0,0</v>
      </c>
    </row>
    <row r="16" spans="1:5" x14ac:dyDescent="0.25">
      <c r="A16" t="str">
        <f>CONCATENATE(618581,",",ROW(BCLCTTRGT_06613!A16),"|",COLUMN(BCLCTTRGT_06613!A16),",0",",0")</f>
        <v>618581,16|1,0,0</v>
      </c>
      <c r="B16" t="str">
        <f>CONCATENATE(618656,",",ROW(BCLCTTRGT_06613!B16),"|",COLUMN(BCLCTTRGT_06613!B16),",0",",0")</f>
        <v>618656,16|2,0,0</v>
      </c>
      <c r="C16" t="str">
        <f>CONCATENATE(618674,",",ROW(BCLCTTRGT_06613!C16),"|",COLUMN(BCLCTTRGT_06613!C16),",0",",0")</f>
        <v>618674,16|3,0,0</v>
      </c>
      <c r="D16" t="str">
        <f>CONCATENATE(618550,",",ROW(BCLCTTRGT_06613!D16),"|",COLUMN(BCLCTTRGT_06613!D16),",0",",0")</f>
        <v>618550,16|4,0,0</v>
      </c>
      <c r="E16" t="str">
        <f>CONCATENATE(618735,",",ROW(BCLCTTRGT_06613!E16),"|",COLUMN(BCLCTTRGT_06613!E16),",0",",0")</f>
        <v>618735,16|5,0,0</v>
      </c>
    </row>
    <row r="17" spans="1:5" x14ac:dyDescent="0.25">
      <c r="A17" t="str">
        <f>CONCATENATE(618582,",",ROW(BCLCTTRGT_06613!A17),"|",COLUMN(BCLCTTRGT_06613!A17),",0",",0")</f>
        <v>618582,17|1,0,0</v>
      </c>
      <c r="B17" t="str">
        <f>CONCATENATE(618784,",",ROW(BCLCTTRGT_06613!B17),"|",COLUMN(BCLCTTRGT_06613!B17),",0",",0")</f>
        <v>618784,17|2,0,0</v>
      </c>
      <c r="C17" t="str">
        <f>CONCATENATE(618675,",",ROW(BCLCTTRGT_06613!C17),"|",COLUMN(BCLCTTRGT_06613!C17),",0",",0")</f>
        <v>618675,17|3,0,0</v>
      </c>
      <c r="D17" t="str">
        <f>CONCATENATE(618551,",",ROW(BCLCTTRGT_06613!D17),"|",COLUMN(BCLCTTRGT_06613!D17),",0",",0")</f>
        <v>618551,17|4,0,0</v>
      </c>
      <c r="E17" t="str">
        <f>CONCATENATE(618737,",",ROW(BCLCTTRGT_06613!E17),"|",COLUMN(BCLCTTRGT_06613!E17),",0",",0")</f>
        <v>618737,17|5,0,0</v>
      </c>
    </row>
    <row r="18" spans="1:5" x14ac:dyDescent="0.25">
      <c r="A18" t="str">
        <f>CONCATENATE(618623,",",ROW(BCLCTTRGT_06613!A18),"|",COLUMN(BCLCTTRGT_06613!A18),",0",",0")</f>
        <v>618623,18|1,0,0</v>
      </c>
      <c r="B18" t="str">
        <f>CONCATENATE(618472,",",ROW(BCLCTTRGT_06613!B18),"|",COLUMN(BCLCTTRGT_06613!B18),",0",",0")</f>
        <v>618472,18|2,0,0</v>
      </c>
      <c r="C18" t="str">
        <f>CONCATENATE(618676,",",ROW(BCLCTTRGT_06613!C18),"|",COLUMN(BCLCTTRGT_06613!C18),",0",",0")</f>
        <v>618676,18|3,0,0</v>
      </c>
      <c r="D18" t="str">
        <f>CONCATENATE(618552,",",ROW(BCLCTTRGT_06613!D18),"|",COLUMN(BCLCTTRGT_06613!D18),",0",",0")</f>
        <v>618552,18|4,0,0</v>
      </c>
      <c r="E18" t="str">
        <f>CONCATENATE(618738,",",ROW(BCLCTTRGT_06613!E18),"|",COLUMN(BCLCTTRGT_06613!E18),",0",",0")</f>
        <v>618738,18|5,0,0</v>
      </c>
    </row>
    <row r="19" spans="1:5" x14ac:dyDescent="0.25">
      <c r="A19" t="str">
        <f>CONCATENATE(618617,",",ROW(BCLCTTRGT_06613!A19),"|",COLUMN(BCLCTTRGT_06613!A19),",0",",0")</f>
        <v>618617,19|1,0,0</v>
      </c>
      <c r="B19" t="str">
        <f>CONCATENATE(618471,",",ROW(BCLCTTRGT_06613!B19),"|",COLUMN(BCLCTTRGT_06613!B19),",0",",0")</f>
        <v>618471,19|2,0,0</v>
      </c>
      <c r="C19" t="str">
        <f>CONCATENATE(618677,",",ROW(BCLCTTRGT_06613!C19),"|",COLUMN(BCLCTTRGT_06613!C19),",0",",0")</f>
        <v>618677,19|3,0,0</v>
      </c>
      <c r="D19" t="str">
        <f>CONCATENATE(618553,",",ROW(BCLCTTRGT_06613!D19),"|",COLUMN(BCLCTTRGT_06613!D19),",0",",0")</f>
        <v>618553,19|4,0,0</v>
      </c>
      <c r="E19" t="str">
        <f>CONCATENATE(618739,",",ROW(BCLCTTRGT_06613!E19),"|",COLUMN(BCLCTTRGT_06613!E19),",0",",0")</f>
        <v>618739,19|5,0,0</v>
      </c>
    </row>
    <row r="20" spans="1:5" x14ac:dyDescent="0.25">
      <c r="A20" t="str">
        <f>CONCATENATE(618618,",",ROW(BCLCTTRGT_06613!A20),"|",COLUMN(BCLCTTRGT_06613!A20),",0",",0")</f>
        <v>618618,20|1,0,0</v>
      </c>
      <c r="B20" t="str">
        <f>CONCATENATE(618496,",",ROW(BCLCTTRGT_06613!B20),"|",COLUMN(BCLCTTRGT_06613!B20),",0",",0")</f>
        <v>618496,20|2,0,0</v>
      </c>
      <c r="C20" t="str">
        <f>CONCATENATE(618678,",",ROW(BCLCTTRGT_06613!C20),"|",COLUMN(BCLCTTRGT_06613!C20),",0",",0")</f>
        <v>618678,20|3,0,0</v>
      </c>
      <c r="D20" t="str">
        <f>CONCATENATE(618554,",",ROW(BCLCTTRGT_06613!D20),"|",COLUMN(BCLCTTRGT_06613!D20),",0",",0")</f>
        <v>618554,20|4,0,0</v>
      </c>
      <c r="E20" t="str">
        <f>CONCATENATE(618740,",",ROW(BCLCTTRGT_06613!E20),"|",COLUMN(BCLCTTRGT_06613!E20),",0",",0")</f>
        <v>618740,20|5,0,0</v>
      </c>
    </row>
    <row r="21" spans="1:5" x14ac:dyDescent="0.25">
      <c r="A21" t="str">
        <f>CONCATENATE(618619,",",ROW(BCLCTTRGT_06613!A21),"|",COLUMN(BCLCTTRGT_06613!A21),",0",",0")</f>
        <v>618619,21|1,0,0</v>
      </c>
      <c r="B21" t="str">
        <f>CONCATENATE(618785,",",ROW(BCLCTTRGT_06613!B21),"|",COLUMN(BCLCTTRGT_06613!B21),",0",",0")</f>
        <v>618785,21|2,0,0</v>
      </c>
      <c r="C21" t="str">
        <f>CONCATENATE(618679,",",ROW(BCLCTTRGT_06613!C21),"|",COLUMN(BCLCTTRGT_06613!C21),",0",",0")</f>
        <v>618679,21|3,0,0</v>
      </c>
      <c r="D21" t="str">
        <f>CONCATENATE(618555,",",ROW(BCLCTTRGT_06613!D21),"|",COLUMN(BCLCTTRGT_06613!D21),",0",",0")</f>
        <v>618555,21|4,0,0</v>
      </c>
      <c r="E21" t="str">
        <f>CONCATENATE(618741,",",ROW(BCLCTTRGT_06613!E21),"|",COLUMN(BCLCTTRGT_06613!E21),",0",",0")</f>
        <v>618741,21|5,0,0</v>
      </c>
    </row>
    <row r="22" spans="1:5" x14ac:dyDescent="0.25">
      <c r="A22" t="str">
        <f>CONCATENATE(618624,",",ROW(BCLCTTRGT_06613!A22),"|",COLUMN(BCLCTTRGT_06613!A22),",0",",0")</f>
        <v>618624,22|1,0,0</v>
      </c>
      <c r="B22" t="str">
        <f>CONCATENATE(618497,",",ROW(BCLCTTRGT_06613!B22),"|",COLUMN(BCLCTTRGT_06613!B22),",0",",0")</f>
        <v>618497,22|2,0,0</v>
      </c>
      <c r="C22" t="str">
        <f>CONCATENATE(618680,",",ROW(BCLCTTRGT_06613!C22),"|",COLUMN(BCLCTTRGT_06613!C22),",0",",0")</f>
        <v>618680,22|3,0,0</v>
      </c>
      <c r="D22" t="str">
        <f>CONCATENATE(618556,",",ROW(BCLCTTRGT_06613!D22),"|",COLUMN(BCLCTTRGT_06613!D22),",0",",0")</f>
        <v>618556,22|4,0,0</v>
      </c>
      <c r="E22" t="str">
        <f>CONCATENATE(618742,",",ROW(BCLCTTRGT_06613!E22),"|",COLUMN(BCLCTTRGT_06613!E22),",0",",0")</f>
        <v>618742,22|5,0,0</v>
      </c>
    </row>
    <row r="23" spans="1:5" x14ac:dyDescent="0.25">
      <c r="A23" t="str">
        <f>CONCATENATE(618620,",",ROW(BCLCTTRGT_06613!A23),"|",COLUMN(BCLCTTRGT_06613!A23),",0",",0")</f>
        <v>618620,23|1,0,0</v>
      </c>
      <c r="B23" t="str">
        <f>CONCATENATE(618596,",",ROW(BCLCTTRGT_06613!B23),"|",COLUMN(BCLCTTRGT_06613!B23),",0",",0")</f>
        <v>618596,23|2,0,0</v>
      </c>
      <c r="C23" t="str">
        <f>CONCATENATE(618681,",",ROW(BCLCTTRGT_06613!C23),"|",COLUMN(BCLCTTRGT_06613!C23),",0",",0")</f>
        <v>618681,23|3,0,0</v>
      </c>
      <c r="D23" t="str">
        <f>CONCATENATE(618557,",",ROW(BCLCTTRGT_06613!D23),"|",COLUMN(BCLCTTRGT_06613!D23),",0",",0")</f>
        <v>618557,23|4,0,0</v>
      </c>
      <c r="E23" t="str">
        <f>CONCATENATE(618743,",",ROW(BCLCTTRGT_06613!E23),"|",COLUMN(BCLCTTRGT_06613!E23),",0",",0")</f>
        <v>618743,23|5,0,0</v>
      </c>
    </row>
    <row r="24" spans="1:5" x14ac:dyDescent="0.25">
      <c r="A24" t="str">
        <f>CONCATENATE(618621,",",ROW(BCLCTTRGT_06613!A24),"|",COLUMN(BCLCTTRGT_06613!A24),",0",",0")</f>
        <v>618621,24|1,0,0</v>
      </c>
      <c r="B24" t="str">
        <f>CONCATENATE(618657,",",ROW(BCLCTTRGT_06613!B24),"|",COLUMN(BCLCTTRGT_06613!B24),",0",",0")</f>
        <v>618657,24|2,0,0</v>
      </c>
      <c r="C24" t="str">
        <f>CONCATENATE(618682,",",ROW(BCLCTTRGT_06613!C24),"|",COLUMN(BCLCTTRGT_06613!C24),",0",",0")</f>
        <v>618682,24|3,0,0</v>
      </c>
      <c r="D24" t="str">
        <f>CONCATENATE(618558,",",ROW(BCLCTTRGT_06613!D24),"|",COLUMN(BCLCTTRGT_06613!D24),",0",",0")</f>
        <v>618558,24|4,0,0</v>
      </c>
      <c r="E24" t="str">
        <f>CONCATENATE(618744,",",ROW(BCLCTTRGT_06613!E24),"|",COLUMN(BCLCTTRGT_06613!E24),",0",",0")</f>
        <v>618744,24|5,0,0</v>
      </c>
    </row>
    <row r="25" spans="1:5" x14ac:dyDescent="0.25">
      <c r="A25" t="str">
        <f>CONCATENATE(618625,",",ROW(BCLCTTRGT_06613!A25),"|",COLUMN(BCLCTTRGT_06613!A25),",0",",0")</f>
        <v>618625,25|1,0,0</v>
      </c>
      <c r="B25" t="str">
        <f>CONCATENATE(618658,",",ROW(BCLCTTRGT_06613!B25),"|",COLUMN(BCLCTTRGT_06613!B25),",0",",0")</f>
        <v>618658,25|2,0,0</v>
      </c>
      <c r="C25" t="str">
        <f>CONCATENATE(618683,",",ROW(BCLCTTRGT_06613!C25),"|",COLUMN(BCLCTTRGT_06613!C25),",0",",0")</f>
        <v>618683,25|3,0,0</v>
      </c>
      <c r="D25" t="str">
        <f>CONCATENATE(618559,",",ROW(BCLCTTRGT_06613!D25),"|",COLUMN(BCLCTTRGT_06613!D25),",0",",0")</f>
        <v>618559,25|4,0,0</v>
      </c>
      <c r="E25" t="str">
        <f>CONCATENATE(618745,",",ROW(BCLCTTRGT_06613!E25),"|",COLUMN(BCLCTTRGT_06613!E25),",0",",0")</f>
        <v>618745,25|5,0,0</v>
      </c>
    </row>
    <row r="26" spans="1:5" x14ac:dyDescent="0.25">
      <c r="A26" t="str">
        <f>CONCATENATE(618570,",",ROW(BCLCTTRGT_06613!A26),"|",COLUMN(BCLCTTRGT_06613!A26),",0",",0")</f>
        <v>618570,26|1,0,0</v>
      </c>
      <c r="B26" t="str">
        <f>CONCATENATE(618473,",",ROW(BCLCTTRGT_06613!B26),"|",COLUMN(BCLCTTRGT_06613!B26),",0",",0")</f>
        <v>618473,26|2,0,0</v>
      </c>
      <c r="C26" t="str">
        <f>CONCATENATE(618684,",",ROW(BCLCTTRGT_06613!C26),"|",COLUMN(BCLCTTRGT_06613!C26),",0",",0")</f>
        <v>618684,26|3,0,0</v>
      </c>
      <c r="D26" t="str">
        <f>CONCATENATE(618560,",",ROW(BCLCTTRGT_06613!D26),"|",COLUMN(BCLCTTRGT_06613!D26),",0",",0")</f>
        <v>618560,26|4,0,0</v>
      </c>
      <c r="E26" t="str">
        <f>CONCATENATE(618746,",",ROW(BCLCTTRGT_06613!E26),"|",COLUMN(BCLCTTRGT_06613!E26),",0",",0")</f>
        <v>618746,26|5,0,0</v>
      </c>
    </row>
    <row r="27" spans="1:5" x14ac:dyDescent="0.25">
      <c r="A27" t="str">
        <f>CONCATENATE(618571,",",ROW(BCLCTTRGT_06613!A27),"|",COLUMN(BCLCTTRGT_06613!A27),",0",",0")</f>
        <v>618571,27|1,0,0</v>
      </c>
      <c r="B27" t="str">
        <f>CONCATENATE(618834,",",ROW(BCLCTTRGT_06613!B27),"|",COLUMN(BCLCTTRGT_06613!B27),",0",",0")</f>
        <v>618834,27|2,0,0</v>
      </c>
      <c r="C27" t="str">
        <f>CONCATENATE(618813,",",ROW(BCLCTTRGT_06613!C27),"|",COLUMN(BCLCTTRGT_06613!C27),",0",",0")</f>
        <v>618813,27|3,0,0</v>
      </c>
      <c r="D27" t="str">
        <f>CONCATENATE(618539,",",ROW(BCLCTTRGT_06613!D27),"|",COLUMN(BCLCTTRGT_06613!D27),",0",",0")</f>
        <v>618539,27|4,0,0</v>
      </c>
      <c r="E27" t="str">
        <f>CONCATENATE(618724,",",ROW(BCLCTTRGT_06613!E27),"|",COLUMN(BCLCTTRGT_06613!E27),",0",",0")</f>
        <v>618724,27|5,0,0</v>
      </c>
    </row>
    <row r="28" spans="1:5" x14ac:dyDescent="0.25">
      <c r="A28" t="str">
        <f>CONCATENATE(618584,",",ROW(BCLCTTRGT_06613!A28),"|",COLUMN(BCLCTTRGT_06613!A28),",0",",0")</f>
        <v>618584,28|1,0,0</v>
      </c>
      <c r="B28" t="str">
        <f>CONCATENATE(618786,",",ROW(BCLCTTRGT_06613!B28),"|",COLUMN(BCLCTTRGT_06613!B28),",0",",0")</f>
        <v>618786,28|2,0,0</v>
      </c>
      <c r="C28" t="str">
        <f>CONCATENATE(618685,",",ROW(BCLCTTRGT_06613!C28),"|",COLUMN(BCLCTTRGT_06613!C28),",0",",0")</f>
        <v>618685,28|3,0,0</v>
      </c>
      <c r="D28" t="str">
        <f>CONCATENATE(618561,",",ROW(BCLCTTRGT_06613!D28),"|",COLUMN(BCLCTTRGT_06613!D28),",0",",0")</f>
        <v>618561,28|4,0,0</v>
      </c>
      <c r="E28" t="str">
        <f>CONCATENATE(618747,",",ROW(BCLCTTRGT_06613!E28),"|",COLUMN(BCLCTTRGT_06613!E28),",0",",0")</f>
        <v>618747,28|5,0,0</v>
      </c>
    </row>
    <row r="29" spans="1:5" x14ac:dyDescent="0.25">
      <c r="A29" t="str">
        <f>CONCATENATE(618626,",",ROW(BCLCTTRGT_06613!A29),"|",COLUMN(BCLCTTRGT_06613!A29),",0",",0")</f>
        <v>618626,29|1,0,0</v>
      </c>
      <c r="B29" t="str">
        <f>CONCATENATE(618736,",",ROW(BCLCTTRGT_06613!B29),"|",COLUMN(BCLCTTRGT_06613!B29),",0",",0")</f>
        <v>618736,29|2,0,0</v>
      </c>
      <c r="C29" t="str">
        <f>CONCATENATE(618686,",",ROW(BCLCTTRGT_06613!C29),"|",COLUMN(BCLCTTRGT_06613!C29),",0",",0")</f>
        <v>618686,29|3,0,0</v>
      </c>
      <c r="D29" t="str">
        <f>CONCATENATE(618562,",",ROW(BCLCTTRGT_06613!D29),"|",COLUMN(BCLCTTRGT_06613!D29),",0",",0")</f>
        <v>618562,29|4,0,0</v>
      </c>
      <c r="E29" t="str">
        <f>CONCATENATE(618748,",",ROW(BCLCTTRGT_06613!E29),"|",COLUMN(BCLCTTRGT_06613!E29),",0",",0")</f>
        <v>618748,29|5,0,0</v>
      </c>
    </row>
    <row r="30" spans="1:5" x14ac:dyDescent="0.25">
      <c r="A30" t="str">
        <f>CONCATENATE(618611,",",ROW(BCLCTTRGT_06613!A30),"|",COLUMN(BCLCTTRGT_06613!A30),",0",",0")</f>
        <v>618611,30|1,0,0</v>
      </c>
      <c r="B30" t="str">
        <f>CONCATENATE(618474,",",ROW(BCLCTTRGT_06613!B30),"|",COLUMN(BCLCTTRGT_06613!B30),",0",",0")</f>
        <v>618474,30|2,0,0</v>
      </c>
      <c r="C30" t="str">
        <f>CONCATENATE(618757,",",ROW(BCLCTTRGT_06613!C30),"|",COLUMN(BCLCTTRGT_06613!C30),",0",",0")</f>
        <v>618757,30|3,0,0</v>
      </c>
      <c r="D30" t="str">
        <f>CONCATENATE(618693,",",ROW(BCLCTTRGT_06613!D30),"|",COLUMN(BCLCTTRGT_06613!D30),",0",",0")</f>
        <v>618693,30|4,0,0</v>
      </c>
      <c r="E30" t="str">
        <f>CONCATENATE(618631,",",ROW(BCLCTTRGT_06613!E30),"|",COLUMN(BCLCTTRGT_06613!E30),",0",",0")</f>
        <v>618631,30|5,0,0</v>
      </c>
    </row>
    <row r="31" spans="1:5" x14ac:dyDescent="0.25">
      <c r="A31" t="str">
        <f>CONCATENATE(618612,",",ROW(BCLCTTRGT_06613!A31),"|",COLUMN(BCLCTTRGT_06613!A31),",0",",0")</f>
        <v>618612,31|1,0,0</v>
      </c>
      <c r="B31" t="str">
        <f>CONCATENATE(618597,",",ROW(BCLCTTRGT_06613!B31),"|",COLUMN(BCLCTTRGT_06613!B31),",0",",0")</f>
        <v>618597,31|2,0,0</v>
      </c>
      <c r="C31" t="str">
        <f>CONCATENATE(618758,",",ROW(BCLCTTRGT_06613!C31),"|",COLUMN(BCLCTTRGT_06613!C31),",0",",0")</f>
        <v>618758,31|3,0,0</v>
      </c>
      <c r="D31" t="str">
        <f>CONCATENATE(618694,",",ROW(BCLCTTRGT_06613!D31),"|",COLUMN(BCLCTTRGT_06613!D31),",0",",0")</f>
        <v>618694,31|4,0,0</v>
      </c>
      <c r="E31" t="str">
        <f>CONCATENATE(618635,",",ROW(BCLCTTRGT_06613!E31),"|",COLUMN(BCLCTTRGT_06613!E31),",0",",0")</f>
        <v>618635,31|5,0,0</v>
      </c>
    </row>
    <row r="32" spans="1:5" x14ac:dyDescent="0.25">
      <c r="A32" t="str">
        <f>CONCATENATE(618492,",",ROW(BCLCTTRGT_06613!A32),"|",COLUMN(BCLCTTRGT_06613!A32),",0",",0")</f>
        <v>618492,32|1,0,0</v>
      </c>
      <c r="B32" t="str">
        <f>CONCATENATE(618498,",",ROW(BCLCTTRGT_06613!B32),"|",COLUMN(BCLCTTRGT_06613!B32),",0",",0")</f>
        <v>618498,32|2,0,0</v>
      </c>
      <c r="C32" t="str">
        <f>CONCATENATE(618687,",",ROW(BCLCTTRGT_06613!C32),"|",COLUMN(BCLCTTRGT_06613!C32),",0",",0")</f>
        <v>618687,32|3,0,0</v>
      </c>
      <c r="D32" t="str">
        <f>CONCATENATE(618563,",",ROW(BCLCTTRGT_06613!D32),"|",COLUMN(BCLCTTRGT_06613!D32),",0",",0")</f>
        <v>618563,32|4,0,0</v>
      </c>
      <c r="E32" t="str">
        <f>CONCATENATE(618749,",",ROW(BCLCTTRGT_06613!E32),"|",COLUMN(BCLCTTRGT_06613!E32),",0",",0")</f>
        <v>618749,32|5,0,0</v>
      </c>
    </row>
    <row r="33" spans="1:5" x14ac:dyDescent="0.25">
      <c r="A33" t="str">
        <f>CONCATENATE(618826,",",ROW(BCLCTTRGT_06613!A33),"|",COLUMN(BCLCTTRGT_06613!A33),",0",",0")</f>
        <v>618826,33|1,0,0</v>
      </c>
      <c r="B33" t="str">
        <f>CONCATENATE(618835,",",ROW(BCLCTTRGT_06613!B33),"|",COLUMN(BCLCTTRGT_06613!B33),",0",",0")</f>
        <v>618835,33|2,0,0</v>
      </c>
      <c r="C33" t="str">
        <f>CONCATENATE(618814,",",ROW(BCLCTTRGT_06613!C33),"|",COLUMN(BCLCTTRGT_06613!C33),",0",",0")</f>
        <v>618814,33|3,0,0</v>
      </c>
      <c r="D33" t="str">
        <f>CONCATENATE(618540,",",ROW(BCLCTTRGT_06613!D33),"|",COLUMN(BCLCTTRGT_06613!D33),",0",",0")</f>
        <v>618540,33|4,0,0</v>
      </c>
      <c r="E33" t="str">
        <f>CONCATENATE(618725,",",ROW(BCLCTTRGT_06613!E33),"|",COLUMN(BCLCTTRGT_06613!E33),",0",",0")</f>
        <v>618725,33|5,0,0</v>
      </c>
    </row>
    <row r="34" spans="1:5" x14ac:dyDescent="0.25">
      <c r="A34" t="str">
        <f>CONCATENATE(618585,",",ROW(BCLCTTRGT_06613!A34),"|",COLUMN(BCLCTTRGT_06613!A34),",0",",0")</f>
        <v>618585,34|1,0,0</v>
      </c>
      <c r="B34" t="str">
        <f>CONCATENATE(618598,",",ROW(BCLCTTRGT_06613!B34),"|",COLUMN(BCLCTTRGT_06613!B34),",0",",0")</f>
        <v>618598,34|2,0,0</v>
      </c>
      <c r="C34" t="str">
        <f>CONCATENATE(618688,",",ROW(BCLCTTRGT_06613!C34),"|",COLUMN(BCLCTTRGT_06613!C34),",0",",0")</f>
        <v>618688,34|3,0,0</v>
      </c>
      <c r="D34" t="str">
        <f>CONCATENATE(618564,",",ROW(BCLCTTRGT_06613!D34),"|",COLUMN(BCLCTTRGT_06613!D34),",0",",0")</f>
        <v>618564,34|4,0,0</v>
      </c>
      <c r="E34" t="str">
        <f>CONCATENATE(618750,",",ROW(BCLCTTRGT_06613!E34),"|",COLUMN(BCLCTTRGT_06613!E34),",0",",0")</f>
        <v>618750,34|5,0,0</v>
      </c>
    </row>
    <row r="35" spans="1:5" x14ac:dyDescent="0.25">
      <c r="A35" t="str">
        <f>CONCATENATE(618586,",",ROW(BCLCTTRGT_06613!A35),"|",COLUMN(BCLCTTRGT_06613!A35),",0",",0")</f>
        <v>618586,35|1,0,0</v>
      </c>
      <c r="B35" t="str">
        <f>CONCATENATE(618599,",",ROW(BCLCTTRGT_06613!B35),"|",COLUMN(BCLCTTRGT_06613!B35),",0",",0")</f>
        <v>618599,35|2,0,0</v>
      </c>
      <c r="C35" t="str">
        <f>CONCATENATE(618689,",",ROW(BCLCTTRGT_06613!C35),"|",COLUMN(BCLCTTRGT_06613!C35),",0",",0")</f>
        <v>618689,35|3,0,0</v>
      </c>
      <c r="D35" t="str">
        <f>CONCATENATE(618565,",",ROW(BCLCTTRGT_06613!D35),"|",COLUMN(BCLCTTRGT_06613!D35),",0",",0")</f>
        <v>618565,35|4,0,0</v>
      </c>
      <c r="E35" t="str">
        <f>CONCATENATE(618751,",",ROW(BCLCTTRGT_06613!E35),"|",COLUMN(BCLCTTRGT_06613!E35),",0",",0")</f>
        <v>618751,35|5,0,0</v>
      </c>
    </row>
    <row r="36" spans="1:5" x14ac:dyDescent="0.25">
      <c r="A36" t="str">
        <f>CONCATENATE(618587,",",ROW(BCLCTTRGT_06613!A36),"|",COLUMN(BCLCTTRGT_06613!A36),",0",",0")</f>
        <v>618587,36|1,0,0</v>
      </c>
      <c r="B36" t="str">
        <f>CONCATENATE(618475,",",ROW(BCLCTTRGT_06613!B36),"|",COLUMN(BCLCTTRGT_06613!B36),",0",",0")</f>
        <v>618475,36|2,0,0</v>
      </c>
      <c r="C36" t="str">
        <f>CONCATENATE(618760,",",ROW(BCLCTTRGT_06613!C36),"|",COLUMN(BCLCTTRGT_06613!C36),",0",",0")</f>
        <v>618760,36|3,0,0</v>
      </c>
      <c r="D36" t="str">
        <f>CONCATENATE(618696,",",ROW(BCLCTTRGT_06613!D36),"|",COLUMN(BCLCTTRGT_06613!D36),",0",",0")</f>
        <v>618696,36|4,0,0</v>
      </c>
      <c r="E36" t="str">
        <f>CONCATENATE(618633,",",ROW(BCLCTTRGT_06613!E36),"|",COLUMN(BCLCTTRGT_06613!E36),",0",",0")</f>
        <v>618633,36|5,0,0</v>
      </c>
    </row>
    <row r="37" spans="1:5" x14ac:dyDescent="0.25">
      <c r="A37" t="str">
        <f>CONCATENATE(618588,",",ROW(BCLCTTRGT_06613!A37),"|",COLUMN(BCLCTTRGT_06613!A37),",0",",0")</f>
        <v>618588,37|1,0,0</v>
      </c>
      <c r="B37" t="str">
        <f>CONCATENATE(618600,",",ROW(BCLCTTRGT_06613!B37),"|",COLUMN(BCLCTTRGT_06613!B37),",0",",0")</f>
        <v>618600,37|2,0,0</v>
      </c>
      <c r="C37" t="str">
        <f>CONCATENATE(618761,",",ROW(BCLCTTRGT_06613!C37),"|",COLUMN(BCLCTTRGT_06613!C37),",0",",0")</f>
        <v>618761,37|3,0,0</v>
      </c>
      <c r="D37" t="str">
        <f>CONCATENATE(618697,",",ROW(BCLCTTRGT_06613!D37),"|",COLUMN(BCLCTTRGT_06613!D37),",0",",0")</f>
        <v>618697,37|4,0,0</v>
      </c>
      <c r="E37" t="str">
        <f>CONCATENATE(618634,",",ROW(BCLCTTRGT_06613!E37),"|",COLUMN(BCLCTTRGT_06613!E37),",0",",0")</f>
        <v>618634,37|5,0,0</v>
      </c>
    </row>
    <row r="38" spans="1:5" x14ac:dyDescent="0.25">
      <c r="A38" t="str">
        <f>CONCATENATE(618613,",",ROW(BCLCTTRGT_06613!A38),"|",COLUMN(BCLCTTRGT_06613!A38),",0",",0")</f>
        <v>618613,38|1,0,0</v>
      </c>
      <c r="B38" t="str">
        <f>CONCATENATE(618787,",",ROW(BCLCTTRGT_06613!B38),"|",COLUMN(BCLCTTRGT_06613!B38),",0",",0")</f>
        <v>618787,38|2,0,0</v>
      </c>
      <c r="C38" t="str">
        <f>CONCATENATE(618759,",",ROW(BCLCTTRGT_06613!C38),"|",COLUMN(BCLCTTRGT_06613!C38),",0",",0")</f>
        <v>618759,38|3,0,0</v>
      </c>
      <c r="D38" t="str">
        <f>CONCATENATE(618695,",",ROW(BCLCTTRGT_06613!D38),"|",COLUMN(BCLCTTRGT_06613!D38),",0",",0")</f>
        <v>618695,38|4,0,0</v>
      </c>
      <c r="E38" t="str">
        <f>CONCATENATE(618632,",",ROW(BCLCTTRGT_06613!E38),"|",COLUMN(BCLCTTRGT_06613!E38),",0",",0")</f>
        <v>618632,38|5,0,0</v>
      </c>
    </row>
    <row r="39" spans="1:5" x14ac:dyDescent="0.25">
      <c r="A39" t="str">
        <f>CONCATENATE(618827,",",ROW(BCLCTTRGT_06613!A39),"|",COLUMN(BCLCTTRGT_06613!A39),",0",",0")</f>
        <v>618827,39|1,0,0</v>
      </c>
      <c r="B39" t="str">
        <f>CONCATENATE(618601,",",ROW(BCLCTTRGT_06613!B39),"|",COLUMN(BCLCTTRGT_06613!B39),",0",",0")</f>
        <v>618601,39|2,0,0</v>
      </c>
      <c r="C39" t="str">
        <f>CONCATENATE(618762,",",ROW(BCLCTTRGT_06613!C39),"|",COLUMN(BCLCTTRGT_06613!C39),",0",",0")</f>
        <v>618762,39|3,0,0</v>
      </c>
      <c r="D39" t="str">
        <f>CONCATENATE(618698,",",ROW(BCLCTTRGT_06613!D39),"|",COLUMN(BCLCTTRGT_06613!D39),",0",",0")</f>
        <v>618698,39|4,0,0</v>
      </c>
      <c r="E39" t="str">
        <f>CONCATENATE(618636,",",ROW(BCLCTTRGT_06613!E39),"|",COLUMN(BCLCTTRGT_06613!E39),",0",",0")</f>
        <v>618636,39|5,0,0</v>
      </c>
    </row>
    <row r="40" spans="1:5" x14ac:dyDescent="0.25">
      <c r="A40" t="str">
        <f>CONCATENATE(618627,",",ROW(BCLCTTRGT_06613!A40),"|",COLUMN(BCLCTTRGT_06613!A40),",0",",0")</f>
        <v>618627,40|1,0,0</v>
      </c>
      <c r="B40" t="str">
        <f>CONCATENATE(618836,",",ROW(BCLCTTRGT_06613!B40),"|",COLUMN(BCLCTTRGT_06613!B40),",0",",0")</f>
        <v>618836,40|2,0,0</v>
      </c>
      <c r="C40" t="str">
        <f>CONCATENATE(618763,",",ROW(BCLCTTRGT_06613!C40),"|",COLUMN(BCLCTTRGT_06613!C40),",0",",0")</f>
        <v>618763,40|3,0,0</v>
      </c>
      <c r="D40" t="str">
        <f>CONCATENATE(618699,",",ROW(BCLCTTRGT_06613!D40),"|",COLUMN(BCLCTTRGT_06613!D40),",0",",0")</f>
        <v>618699,40|4,0,0</v>
      </c>
      <c r="E40" t="str">
        <f>CONCATENATE(618637,",",ROW(BCLCTTRGT_06613!E40),"|",COLUMN(BCLCTTRGT_06613!E40),",0",",0")</f>
        <v>618637,40|5,0,0</v>
      </c>
    </row>
    <row r="41" spans="1:5" x14ac:dyDescent="0.25">
      <c r="A41" t="str">
        <f>CONCATENATE(618572,",",ROW(BCLCTTRGT_06613!A41),"|",COLUMN(BCLCTTRGT_06613!A41),",0",",0")</f>
        <v>618572,41|1,0,0</v>
      </c>
      <c r="B41" t="str">
        <f>CONCATENATE(618647,",",ROW(BCLCTTRGT_06613!B41),"|",COLUMN(BCLCTTRGT_06613!B41),",0",",0")</f>
        <v>618647,41|2,0,0</v>
      </c>
      <c r="C41" t="str">
        <f>CONCATENATE(618764,",",ROW(BCLCTTRGT_06613!C41),"|",COLUMN(BCLCTTRGT_06613!C41),",0",",0")</f>
        <v>618764,41|3,0,0</v>
      </c>
      <c r="D41" t="str">
        <f>CONCATENATE(618500,",",ROW(BCLCTTRGT_06613!D41),"|",COLUMN(BCLCTTRGT_06613!D41),",0",",0")</f>
        <v>618500,41|4,0,0</v>
      </c>
      <c r="E41" t="str">
        <f>CONCATENATE(618638,",",ROW(BCLCTTRGT_06613!E41),"|",COLUMN(BCLCTTRGT_06613!E41),",0",",0")</f>
        <v>618638,41|5,0,0</v>
      </c>
    </row>
    <row r="42" spans="1:5" x14ac:dyDescent="0.25">
      <c r="A42" t="str">
        <f>CONCATENATE(618828,",",ROW(BCLCTTRGT_06613!A42),"|",COLUMN(BCLCTTRGT_06613!A42),",0",",0")</f>
        <v>618828,42|1,0,0</v>
      </c>
      <c r="B42" t="str">
        <f>CONCATENATE(618476,",",ROW(BCLCTTRGT_06613!B42),"|",COLUMN(BCLCTTRGT_06613!B42),",0",",0")</f>
        <v>618476,42|2,0,0</v>
      </c>
      <c r="C42" t="str">
        <f>CONCATENATE(618765,",",ROW(BCLCTTRGT_06613!C42),"|",COLUMN(BCLCTTRGT_06613!C42),",0",",0")</f>
        <v>618765,42|3,0,0</v>
      </c>
      <c r="D42" t="str">
        <f>CONCATENATE(618501,",",ROW(BCLCTTRGT_06613!D42),"|",COLUMN(BCLCTTRGT_06613!D42),",0",",0")</f>
        <v>618501,42|4,0,0</v>
      </c>
      <c r="E42" t="str">
        <f>CONCATENATE(618639,",",ROW(BCLCTTRGT_06613!E42),"|",COLUMN(BCLCTTRGT_06613!E42),",0",",0")</f>
        <v>618639,42|5,0,0</v>
      </c>
    </row>
    <row r="43" spans="1:5" x14ac:dyDescent="0.25">
      <c r="A43" t="str">
        <f>CONCATENATE(618628,",",ROW(BCLCTTRGT_06613!A43),"|",COLUMN(BCLCTTRGT_06613!A43),",0",",0")</f>
        <v>618628,43|1,0,0</v>
      </c>
      <c r="B43" t="str">
        <f>CONCATENATE(618602,",",ROW(BCLCTTRGT_06613!B43),"|",COLUMN(BCLCTTRGT_06613!B43),",0",",0")</f>
        <v>618602,43|2,0,0</v>
      </c>
      <c r="C43" t="str">
        <f>CONCATENATE(618766,",",ROW(BCLCTTRGT_06613!C43),"|",COLUMN(BCLCTTRGT_06613!C43),",0",",0")</f>
        <v>618766,43|3,0,0</v>
      </c>
      <c r="D43" t="str">
        <f>CONCATENATE(618503,",",ROW(BCLCTTRGT_06613!D43),"|",COLUMN(BCLCTTRGT_06613!D43),",0",",0")</f>
        <v>618503,43|4,0,0</v>
      </c>
      <c r="E43" t="str">
        <f>CONCATENATE(618640,",",ROW(BCLCTTRGT_06613!E43),"|",COLUMN(BCLCTTRGT_06613!E43),",0",",0")</f>
        <v>618640,43|5,0,0</v>
      </c>
    </row>
    <row r="44" spans="1:5" x14ac:dyDescent="0.25">
      <c r="A44" t="str">
        <f>CONCATENATE(618629,",",ROW(BCLCTTRGT_06613!A44),"|",COLUMN(BCLCTTRGT_06613!A44),",0",",0")</f>
        <v>618629,44|1,0,0</v>
      </c>
      <c r="B44" t="str">
        <f>CONCATENATE(618648,",",ROW(BCLCTTRGT_06613!B44),"|",COLUMN(BCLCTTRGT_06613!B44),",0",",0")</f>
        <v>618648,44|2,0,0</v>
      </c>
      <c r="C44" t="str">
        <f>CONCATENATE(618767,",",ROW(BCLCTTRGT_06613!C44),"|",COLUMN(BCLCTTRGT_06613!C44),",0",",0")</f>
        <v>618767,44|3,0,0</v>
      </c>
      <c r="D44" t="str">
        <f>CONCATENATE(618504,",",ROW(BCLCTTRGT_06613!D44),"|",COLUMN(BCLCTTRGT_06613!D44),",0",",0")</f>
        <v>618504,44|4,0,0</v>
      </c>
      <c r="E44" t="str">
        <f>CONCATENATE(618641,",",ROW(BCLCTTRGT_06613!E44),"|",COLUMN(BCLCTTRGT_06613!E44),",0",",0")</f>
        <v>618641,44|5,0,0</v>
      </c>
    </row>
    <row r="45" spans="1:5" x14ac:dyDescent="0.25">
      <c r="A45" t="str">
        <f>CONCATENATE(618589,",",ROW(BCLCTTRGT_06613!A45),"|",COLUMN(BCLCTTRGT_06613!A45),",0",",0")</f>
        <v>618589,45|1,0,0</v>
      </c>
      <c r="B45" t="str">
        <f>CONCATENATE(618603,",",ROW(BCLCTTRGT_06613!B45),"|",COLUMN(BCLCTTRGT_06613!B45),",0",",0")</f>
        <v>618603,45|2,0,0</v>
      </c>
      <c r="C45" t="str">
        <f>CONCATENATE(618768,",",ROW(BCLCTTRGT_06613!C45),"|",COLUMN(BCLCTTRGT_06613!C45),",0",",0")</f>
        <v>618768,45|3,0,0</v>
      </c>
      <c r="D45" t="str">
        <f>CONCATENATE(618505,",",ROW(BCLCTTRGT_06613!D45),"|",COLUMN(BCLCTTRGT_06613!D45),",0",",0")</f>
        <v>618505,45|4,0,0</v>
      </c>
      <c r="E45" t="str">
        <f>CONCATENATE(618642,",",ROW(BCLCTTRGT_06613!E45),"|",COLUMN(BCLCTTRGT_06613!E45),",0",",0")</f>
        <v>618642,45|5,0,0</v>
      </c>
    </row>
    <row r="46" spans="1:5" x14ac:dyDescent="0.25">
      <c r="A46" t="str">
        <f>CONCATENATE(618829,",",ROW(BCLCTTRGT_06613!A46),"|",COLUMN(BCLCTTRGT_06613!A46),",0",",0")</f>
        <v>618829,46|1,0,0</v>
      </c>
      <c r="B46" t="str">
        <f>CONCATENATE(618477,",",ROW(BCLCTTRGT_06613!B46),"|",COLUMN(BCLCTTRGT_06613!B46),",0",",0")</f>
        <v>618477,46|2,0,0</v>
      </c>
      <c r="C46" t="str">
        <f>CONCATENATE(618769,",",ROW(BCLCTTRGT_06613!C46),"|",COLUMN(BCLCTTRGT_06613!C46),",0",",0")</f>
        <v>618769,46|3,0,0</v>
      </c>
      <c r="D46" t="str">
        <f>CONCATENATE(618506,",",ROW(BCLCTTRGT_06613!D46),"|",COLUMN(BCLCTTRGT_06613!D46),",0",",0")</f>
        <v>618506,46|4,0,0</v>
      </c>
      <c r="E46" t="str">
        <f>CONCATENATE(618643,",",ROW(BCLCTTRGT_06613!E46),"|",COLUMN(BCLCTTRGT_06613!E46),",0",",0")</f>
        <v>618643,46|5,0,0</v>
      </c>
    </row>
    <row r="47" spans="1:5" x14ac:dyDescent="0.25">
      <c r="A47" t="str">
        <f>CONCATENATE(618607,",",ROW(BCLCTTRGT_06613!A47),"|",COLUMN(BCLCTTRGT_06613!A47),",0",",0")</f>
        <v>618607,47|1,0,0</v>
      </c>
      <c r="B47" t="str">
        <f>CONCATENATE(618604,",",ROW(BCLCTTRGT_06613!B47),"|",COLUMN(BCLCTTRGT_06613!B47),",0",",0")</f>
        <v>618604,47|2,0,0</v>
      </c>
      <c r="C47" t="str">
        <f>CONCATENATE(618770,",",ROW(BCLCTTRGT_06613!C47),"|",COLUMN(BCLCTTRGT_06613!C47),",0",",0")</f>
        <v>618770,47|3,0,0</v>
      </c>
      <c r="D47" t="str">
        <f>CONCATENATE(618507,",",ROW(BCLCTTRGT_06613!D47),"|",COLUMN(BCLCTTRGT_06613!D47),",0",",0")</f>
        <v>618507,47|4,0,0</v>
      </c>
      <c r="E47" t="str">
        <f>CONCATENATE(618644,",",ROW(BCLCTTRGT_06613!E47),"|",COLUMN(BCLCTTRGT_06613!E47),",0",",0")</f>
        <v>618644,47|5,0,0</v>
      </c>
    </row>
    <row r="48" spans="1:5" x14ac:dyDescent="0.25">
      <c r="A48" t="str">
        <f>CONCATENATE(618830,",",ROW(BCLCTTRGT_06613!A48),"|",COLUMN(BCLCTTRGT_06613!A48),",0",",0")</f>
        <v>618830,48|1,0,0</v>
      </c>
      <c r="B48" t="str">
        <f>CONCATENATE(618478,",",ROW(BCLCTTRGT_06613!B48),"|",COLUMN(BCLCTTRGT_06613!B48),",0",",0")</f>
        <v>618478,48|2,0,0</v>
      </c>
      <c r="C48" t="str">
        <f>CONCATENATE(618771,",",ROW(BCLCTTRGT_06613!C48),"|",COLUMN(BCLCTTRGT_06613!C48),",0",",0")</f>
        <v>618771,48|3,0,0</v>
      </c>
      <c r="D48" t="str">
        <f>CONCATENATE(618508,",",ROW(BCLCTTRGT_06613!D48),"|",COLUMN(BCLCTTRGT_06613!D48),",0",",0")</f>
        <v>618508,48|4,0,0</v>
      </c>
      <c r="E48" t="str">
        <f>CONCATENATE(618645,",",ROW(BCLCTTRGT_06613!E48),"|",COLUMN(BCLCTTRGT_06613!E48),",0",",0")</f>
        <v>618645,48|5,0,0</v>
      </c>
    </row>
    <row r="49" spans="1:5" x14ac:dyDescent="0.25">
      <c r="A49" t="str">
        <f>CONCATENATE(618590,",",ROW(BCLCTTRGT_06613!A49),"|",COLUMN(BCLCTTRGT_06613!A49),",0",",0")</f>
        <v>618590,49|1,0,0</v>
      </c>
      <c r="B49" t="str">
        <f>CONCATENATE(618837,",",ROW(BCLCTTRGT_06613!B49),"|",COLUMN(BCLCTTRGT_06613!B49),",0",",0")</f>
        <v>618837,49|2,0,0</v>
      </c>
      <c r="C49" t="str">
        <f>CONCATENATE(618772,",",ROW(BCLCTTRGT_06613!C49),"|",COLUMN(BCLCTTRGT_06613!C49),",0",",0")</f>
        <v>618772,49|3,0,0</v>
      </c>
      <c r="D49" t="str">
        <f>CONCATENATE(618509,",",ROW(BCLCTTRGT_06613!D49),"|",COLUMN(BCLCTTRGT_06613!D49),",0",",0")</f>
        <v>618509,49|4,0,0</v>
      </c>
      <c r="E49" t="str">
        <f>CONCATENATE(618646,",",ROW(BCLCTTRGT_06613!E49),"|",COLUMN(BCLCTTRGT_06613!E49),",0",",0")</f>
        <v>618646,49|5,0,0</v>
      </c>
    </row>
    <row r="50" spans="1:5" x14ac:dyDescent="0.25">
      <c r="A50" t="str">
        <f>CONCATENATE(618650,",",ROW(BCLCTTRGT_06613!A50),"|",COLUMN(BCLCTTRGT_06613!A50),",0",",0")</f>
        <v>618650,50|1,0,0</v>
      </c>
      <c r="B50" t="str">
        <f>CONCATENATE(618659,",",ROW(BCLCTTRGT_06613!B50),"|",COLUMN(BCLCTTRGT_06613!B50),",0",",0")</f>
        <v>618659,50|2,0,0</v>
      </c>
      <c r="C50" t="str">
        <f>CONCATENATE(618773,",",ROW(BCLCTTRGT_06613!C50),"|",COLUMN(BCLCTTRGT_06613!C50),",0",",0")</f>
        <v>618773,50|3,0,0</v>
      </c>
      <c r="D50" t="str">
        <f>CONCATENATE(618510,",",ROW(BCLCTTRGT_06613!D50),"|",COLUMN(BCLCTTRGT_06613!D50),",0",",0")</f>
        <v>618510,50|4,0,0</v>
      </c>
      <c r="E50" t="str">
        <f>CONCATENATE(618819,",",ROW(BCLCTTRGT_06613!E50),"|",COLUMN(BCLCTTRGT_06613!E50),",0",",0")</f>
        <v>618819,50|5,0,0</v>
      </c>
    </row>
    <row r="51" spans="1:5" x14ac:dyDescent="0.25">
      <c r="A51" t="str">
        <f>CONCATENATE(618841,",",ROW(BCLCTTRGT_06613!A51),"|",COLUMN(BCLCTTRGT_06613!A51),",0",",0")</f>
        <v>618841,51|1,0,0</v>
      </c>
      <c r="B51" t="str">
        <f>CONCATENATE(618660,",",ROW(BCLCTTRGT_06613!B51),"|",COLUMN(BCLCTTRGT_06613!B51),",0",",0")</f>
        <v>618660,51|2,0,0</v>
      </c>
      <c r="C51" t="str">
        <f>CONCATENATE(618774,",",ROW(BCLCTTRGT_06613!C51),"|",COLUMN(BCLCTTRGT_06613!C51),",0",",0")</f>
        <v>618774,51|3,0,0</v>
      </c>
      <c r="D51" t="str">
        <f>CONCATENATE(618511,",",ROW(BCLCTTRGT_06613!D51),"|",COLUMN(BCLCTTRGT_06613!D51),",0",",0")</f>
        <v>618511,51|4,0,0</v>
      </c>
      <c r="E51" t="str">
        <f>CONCATENATE(618820,",",ROW(BCLCTTRGT_06613!E51),"|",COLUMN(BCLCTTRGT_06613!E51),",0",",0")</f>
        <v>618820,51|5,0,0</v>
      </c>
    </row>
    <row r="52" spans="1:5" x14ac:dyDescent="0.25">
      <c r="A52" t="str">
        <f>CONCATENATE(618608,",",ROW(BCLCTTRGT_06613!A52),"|",COLUMN(BCLCTTRGT_06613!A52),",0",",0")</f>
        <v>618608,52|1,0,0</v>
      </c>
      <c r="B52" t="s">
        <v>5</v>
      </c>
      <c r="C52" t="str">
        <f>CONCATENATE(618775,",",ROW(BCLCTTRGT_06613!C52),"|",COLUMN(BCLCTTRGT_06613!C52),",0",",0")</f>
        <v>618775,52|3,0,0</v>
      </c>
      <c r="D52" t="str">
        <f>CONCATENATE(618512,",",ROW(BCLCTTRGT_06613!D52),"|",COLUMN(BCLCTTRGT_06613!D52),",0",",0")</f>
        <v>618512,52|4,0,0</v>
      </c>
      <c r="E52" t="str">
        <f>CONCATENATE(618821,",",ROW(BCLCTTRGT_06613!E52),"|",COLUMN(BCLCTTRGT_06613!E52),",0",",0")</f>
        <v>618821,52|5,0,0</v>
      </c>
    </row>
    <row r="53" spans="1:5" x14ac:dyDescent="0.25">
      <c r="A53" t="str">
        <f>CONCATENATE(618651,",",ROW(BCLCTTRGT_06613!A53),"|",COLUMN(BCLCTTRGT_06613!A53),",0",",0")</f>
        <v>618651,53|1,0,0</v>
      </c>
      <c r="B53" t="str">
        <f>CONCATENATE(618788,",",ROW(BCLCTTRGT_06613!B53),"|",COLUMN(BCLCTTRGT_06613!B53),",0",",0")</f>
        <v>618788,53|2,0,0</v>
      </c>
      <c r="C53" t="str">
        <f>CONCATENATE(618776,",",ROW(BCLCTTRGT_06613!C53),"|",COLUMN(BCLCTTRGT_06613!C53),",0",",0")</f>
        <v>618776,53|3,0,0</v>
      </c>
      <c r="D53" t="str">
        <f>CONCATENATE(618513,",",ROW(BCLCTTRGT_06613!D53),"|",COLUMN(BCLCTTRGT_06613!D53),",0",",0")</f>
        <v>618513,53|4,0,0</v>
      </c>
      <c r="E53" t="str">
        <f>CONCATENATE(618822,",",ROW(BCLCTTRGT_06613!E53),"|",COLUMN(BCLCTTRGT_06613!E53),",0",",0")</f>
        <v>618822,53|5,0,0</v>
      </c>
    </row>
    <row r="54" spans="1:5" x14ac:dyDescent="0.25">
      <c r="A54" t="str">
        <f>CONCATENATE(618831,",",ROW(BCLCTTRGT_06613!A54),"|",COLUMN(BCLCTTRGT_06613!A54),",0",",0")</f>
        <v>618831,54|1,0,0</v>
      </c>
      <c r="B54" t="str">
        <f>CONCATENATE(618789,",",ROW(BCLCTTRGT_06613!B54),"|",COLUMN(BCLCTTRGT_06613!B54),",0",",0")</f>
        <v>618789,54|2,0,0</v>
      </c>
      <c r="C54" t="str">
        <f>CONCATENATE(618777,",",ROW(BCLCTTRGT_06613!C54),"|",COLUMN(BCLCTTRGT_06613!C54),",0",",0")</f>
        <v>618777,54|3,0,0</v>
      </c>
      <c r="D54" t="str">
        <f>CONCATENATE(618514,",",ROW(BCLCTTRGT_06613!D54),"|",COLUMN(BCLCTTRGT_06613!D54),",0",",0")</f>
        <v>618514,54|4,0,0</v>
      </c>
      <c r="E54" t="str">
        <f>CONCATENATE(618823,",",ROW(BCLCTTRGT_06613!E54),"|",COLUMN(BCLCTTRGT_06613!E54),",0",",0")</f>
        <v>618823,54|5,0,0</v>
      </c>
    </row>
    <row r="55" spans="1:5" x14ac:dyDescent="0.25">
      <c r="A55" t="str">
        <f>CONCATENATE(618591,",",ROW(BCLCTTRGT_06613!A55),"|",COLUMN(BCLCTTRGT_06613!A55),",0",",0")</f>
        <v>618591,55|1,0,0</v>
      </c>
      <c r="B55" t="str">
        <f>CONCATENATE(618605,",",ROW(BCLCTTRGT_06613!B55),"|",COLUMN(BCLCTTRGT_06613!B55),",0",",0")</f>
        <v>618605,55|2,0,0</v>
      </c>
      <c r="C55" t="str">
        <f>CONCATENATE(618778,",",ROW(BCLCTTRGT_06613!C55),"|",COLUMN(BCLCTTRGT_06613!C55),",0",",0")</f>
        <v>618778,55|3,0,0</v>
      </c>
      <c r="D55" t="str">
        <f>CONCATENATE(618515,",",ROW(BCLCTTRGT_06613!D55),"|",COLUMN(BCLCTTRGT_06613!D55),",0",",0")</f>
        <v>618515,55|4,0,0</v>
      </c>
      <c r="E55" t="str">
        <f>CONCATENATE(618700,",",ROW(BCLCTTRGT_06613!E55),"|",COLUMN(BCLCTTRGT_06613!E55),",0",",0")</f>
        <v>618700,55|5,0,0</v>
      </c>
    </row>
    <row r="56" spans="1:5" x14ac:dyDescent="0.25">
      <c r="A56" t="str">
        <f>CONCATENATE(618569,",",ROW(BCLCTTRGT_06613!A56),"|",COLUMN(BCLCTTRGT_06613!A56),",0",",0")</f>
        <v>618569,56|1,0,0</v>
      </c>
      <c r="B56" t="str">
        <f>CONCATENATE(618661,",",ROW(BCLCTTRGT_06613!B56),"|",COLUMN(BCLCTTRGT_06613!B56),",0",",0")</f>
        <v>618661,56|2,0,0</v>
      </c>
      <c r="C56" t="str">
        <f>CONCATENATE(618779,",",ROW(BCLCTTRGT_06613!C56),"|",COLUMN(BCLCTTRGT_06613!C56),",0",",0")</f>
        <v>618779,56|3,0,0</v>
      </c>
      <c r="D56" t="str">
        <f>CONCATENATE(618516,",",ROW(BCLCTTRGT_06613!D56),"|",COLUMN(BCLCTTRGT_06613!D56),",0",",0")</f>
        <v>618516,56|4,0,0</v>
      </c>
      <c r="E56" t="str">
        <f>CONCATENATE(618701,",",ROW(BCLCTTRGT_06613!E56),"|",COLUMN(BCLCTTRGT_06613!E56),",0",",0")</f>
        <v>618701,56|5,0,0</v>
      </c>
    </row>
    <row r="57" spans="1:5" x14ac:dyDescent="0.25">
      <c r="A57" t="str">
        <f>CONCATENATE(618573,",",ROW(BCLCTTRGT_06613!A57),"|",COLUMN(BCLCTTRGT_06613!A57),",0",",0")</f>
        <v>618573,57|1,0,0</v>
      </c>
      <c r="B57" t="str">
        <f>CONCATENATE(618662,",",ROW(BCLCTTRGT_06613!B57),"|",COLUMN(BCLCTTRGT_06613!B57),",0",",0")</f>
        <v>618662,57|2,0,0</v>
      </c>
      <c r="C57" t="str">
        <f>CONCATENATE(618780,",",ROW(BCLCTTRGT_06613!C57),"|",COLUMN(BCLCTTRGT_06613!C57),",0",",0")</f>
        <v>618780,57|3,0,0</v>
      </c>
      <c r="D57" t="str">
        <f>CONCATENATE(618517,",",ROW(BCLCTTRGT_06613!D57),"|",COLUMN(BCLCTTRGT_06613!D57),",0",",0")</f>
        <v>618517,57|4,0,0</v>
      </c>
      <c r="E57" t="str">
        <f>CONCATENATE(618702,",",ROW(BCLCTTRGT_06613!E57),"|",COLUMN(BCLCTTRGT_06613!E57),",0",",0")</f>
        <v>618702,57|5,0,0</v>
      </c>
    </row>
    <row r="58" spans="1:5" x14ac:dyDescent="0.25">
      <c r="A58" t="str">
        <f>CONCATENATE(618832,",",ROW(BCLCTTRGT_06613!A58),"|",COLUMN(BCLCTTRGT_06613!A58),",0",",0")</f>
        <v>618832,58|1,0,0</v>
      </c>
      <c r="B58" t="str">
        <f>CONCATENATE(618479,",",ROW(BCLCTTRGT_06613!B58),"|",COLUMN(BCLCTTRGT_06613!B58),",0",",0")</f>
        <v>618479,58|2,0,0</v>
      </c>
      <c r="C58" t="str">
        <f>CONCATENATE(618781,",",ROW(BCLCTTRGT_06613!C58),"|",COLUMN(BCLCTTRGT_06613!C58),",0",",0")</f>
        <v>618781,58|3,0,0</v>
      </c>
      <c r="D58" t="str">
        <f>CONCATENATE(618518,",",ROW(BCLCTTRGT_06613!D58),"|",COLUMN(BCLCTTRGT_06613!D58),",0",",0")</f>
        <v>618518,58|4,0,0</v>
      </c>
      <c r="E58" t="str">
        <f>CONCATENATE(618703,",",ROW(BCLCTTRGT_06613!E58),"|",COLUMN(BCLCTTRGT_06613!E58),",0",",0")</f>
        <v>618703,58|5,0,0</v>
      </c>
    </row>
    <row r="59" spans="1:5" x14ac:dyDescent="0.25">
      <c r="A59" t="str">
        <f>CONCATENATE(618486,",",ROW(BCLCTTRGT_06613!A59),"|",COLUMN(BCLCTTRGT_06613!A59),",0",",0")</f>
        <v>618486,59|1,0,0</v>
      </c>
      <c r="B59" t="s">
        <v>5</v>
      </c>
      <c r="C59" t="str">
        <f>CONCATENATE(618782,",",ROW(BCLCTTRGT_06613!C59),"|",COLUMN(BCLCTTRGT_06613!C59),",0",",0")</f>
        <v>618782,59|3,0,0</v>
      </c>
      <c r="D59" t="str">
        <f>CONCATENATE(618519,",",ROW(BCLCTTRGT_06613!D59),"|",COLUMN(BCLCTTRGT_06613!D59),",0",",0")</f>
        <v>618519,59|4,0,0</v>
      </c>
      <c r="E59" t="str">
        <f>CONCATENATE(618704,",",ROW(BCLCTTRGT_06613!E59),"|",COLUMN(BCLCTTRGT_06613!E59),",0",",0")</f>
        <v>618704,59|5,0,0</v>
      </c>
    </row>
    <row r="60" spans="1:5" x14ac:dyDescent="0.25">
      <c r="A60" t="str">
        <f>CONCATENATE(618487,",",ROW(BCLCTTRGT_06613!A60),"|",COLUMN(BCLCTTRGT_06613!A60),",0",",0")</f>
        <v>618487,60|1,0,0</v>
      </c>
      <c r="B60" t="str">
        <f>CONCATENATE(618606,",",ROW(BCLCTTRGT_06613!B60),"|",COLUMN(BCLCTTRGT_06613!B60),",0",",0")</f>
        <v>618606,60|2,0,0</v>
      </c>
      <c r="C60" t="str">
        <f>CONCATENATE(618794,",",ROW(BCLCTTRGT_06613!C60),"|",COLUMN(BCLCTTRGT_06613!C60),",0",",0")</f>
        <v>618794,60|3,0,0</v>
      </c>
      <c r="D60" t="str">
        <f>CONCATENATE(618520,",",ROW(BCLCTTRGT_06613!D60),"|",COLUMN(BCLCTTRGT_06613!D60),",0",",0")</f>
        <v>618520,60|4,0,0</v>
      </c>
      <c r="E60" t="str">
        <f>CONCATENATE(618705,",",ROW(BCLCTTRGT_06613!E60),"|",COLUMN(BCLCTTRGT_06613!E60),",0",",0")</f>
        <v>618705,60|5,0,0</v>
      </c>
    </row>
    <row r="61" spans="1:5" x14ac:dyDescent="0.25">
      <c r="A61" t="str">
        <f>CONCATENATE(618842,",",ROW(BCLCTTRGT_06613!A61),"|",COLUMN(BCLCTTRGT_06613!A61),",0",",0")</f>
        <v>618842,61|1,0,0</v>
      </c>
      <c r="B61" t="str">
        <f>CONCATENATE(618790,",",ROW(BCLCTTRGT_06613!B61),"|",COLUMN(BCLCTTRGT_06613!B61),",0",",0")</f>
        <v>618790,61|2,0,0</v>
      </c>
      <c r="C61" t="str">
        <f>CONCATENATE(618795,",",ROW(BCLCTTRGT_06613!C61),"|",COLUMN(BCLCTTRGT_06613!C61),",0",",0")</f>
        <v>618795,61|3,0,0</v>
      </c>
      <c r="D61" t="str">
        <f>CONCATENATE(618521,",",ROW(BCLCTTRGT_06613!D61),"|",COLUMN(BCLCTTRGT_06613!D61),",0",",0")</f>
        <v>618521,61|4,0,0</v>
      </c>
      <c r="E61" t="str">
        <f>CONCATENATE(618706,",",ROW(BCLCTTRGT_06613!E61),"|",COLUMN(BCLCTTRGT_06613!E61),",0",",0")</f>
        <v>618706,61|5,0,0</v>
      </c>
    </row>
    <row r="62" spans="1:5" x14ac:dyDescent="0.25">
      <c r="A62" t="str">
        <f>CONCATENATE(618652,",",ROW(BCLCTTRGT_06613!A62),"|",COLUMN(BCLCTTRGT_06613!A62),",0",",0")</f>
        <v>618652,62|1,0,0</v>
      </c>
      <c r="B62" t="str">
        <f>CONCATENATE(618838,",",ROW(BCLCTTRGT_06613!B62),"|",COLUMN(BCLCTTRGT_06613!B62),",0",",0")</f>
        <v>618838,62|2,0,0</v>
      </c>
      <c r="C62" t="str">
        <f>CONCATENATE(618796,",",ROW(BCLCTTRGT_06613!C62),"|",COLUMN(BCLCTTRGT_06613!C62),",0",",0")</f>
        <v>618796,62|3,0,0</v>
      </c>
      <c r="D62" t="str">
        <f>CONCATENATE(618522,",",ROW(BCLCTTRGT_06613!D62),"|",COLUMN(BCLCTTRGT_06613!D62),",0",",0")</f>
        <v>618522,62|4,0,0</v>
      </c>
      <c r="E62" t="str">
        <f>CONCATENATE(618707,",",ROW(BCLCTTRGT_06613!E62),"|",COLUMN(BCLCTTRGT_06613!E62),",0",",0")</f>
        <v>618707,62|5,0,0</v>
      </c>
    </row>
    <row r="63" spans="1:5" x14ac:dyDescent="0.25">
      <c r="A63" t="str">
        <f>CONCATENATE(618574,",",ROW(BCLCTTRGT_06613!A63),"|",COLUMN(BCLCTTRGT_06613!A63),",0",",0")</f>
        <v>618574,63|1,0,0</v>
      </c>
      <c r="B63" t="str">
        <f>CONCATENATE(618791,",",ROW(BCLCTTRGT_06613!B63),"|",COLUMN(BCLCTTRGT_06613!B63),",0",",0")</f>
        <v>618791,63|2,0,0</v>
      </c>
      <c r="C63" t="str">
        <f>CONCATENATE(618797,",",ROW(BCLCTTRGT_06613!C63),"|",COLUMN(BCLCTTRGT_06613!C63),",0",",0")</f>
        <v>618797,63|3,0,0</v>
      </c>
      <c r="D63" t="str">
        <f>CONCATENATE(618523,",",ROW(BCLCTTRGT_06613!D63),"|",COLUMN(BCLCTTRGT_06613!D63),",0",",0")</f>
        <v>618523,63|4,0,0</v>
      </c>
      <c r="E63" t="str">
        <f>CONCATENATE(618708,",",ROW(BCLCTTRGT_06613!E63),"|",COLUMN(BCLCTTRGT_06613!E63),",0",",0")</f>
        <v>618708,63|5,0,0</v>
      </c>
    </row>
    <row r="64" spans="1:5" x14ac:dyDescent="0.25">
      <c r="A64" t="str">
        <f>CONCATENATE(618843,",",ROW(BCLCTTRGT_06613!A64),"|",COLUMN(BCLCTTRGT_06613!A64),",0",",0")</f>
        <v>618843,64|1,0,0</v>
      </c>
      <c r="B64" t="str">
        <f>CONCATENATE(618663,",",ROW(BCLCTTRGT_06613!B64),"|",COLUMN(BCLCTTRGT_06613!B64),",0",",0")</f>
        <v>618663,64|2,0,0</v>
      </c>
      <c r="C64" t="str">
        <f>CONCATENATE(618798,",",ROW(BCLCTTRGT_06613!C64),"|",COLUMN(BCLCTTRGT_06613!C64),",0",",0")</f>
        <v>618798,64|3,0,0</v>
      </c>
      <c r="D64" t="str">
        <f>CONCATENATE(618524,",",ROW(BCLCTTRGT_06613!D64),"|",COLUMN(BCLCTTRGT_06613!D64),",0",",0")</f>
        <v>618524,64|4,0,0</v>
      </c>
      <c r="E64" t="str">
        <f>CONCATENATE(618709,",",ROW(BCLCTTRGT_06613!E64),"|",COLUMN(BCLCTTRGT_06613!E64),",0",",0")</f>
        <v>618709,64|5,0,0</v>
      </c>
    </row>
    <row r="65" spans="1:5" x14ac:dyDescent="0.25">
      <c r="A65" t="str">
        <f>CONCATENATE(618844,",",ROW(BCLCTTRGT_06613!A65),"|",COLUMN(BCLCTTRGT_06613!A65),",0",",0")</f>
        <v>618844,65|1,0,0</v>
      </c>
      <c r="B65" t="str">
        <f>CONCATENATE(618649,",",ROW(BCLCTTRGT_06613!B65),"|",COLUMN(BCLCTTRGT_06613!B65),",0",",0")</f>
        <v>618649,65|2,0,0</v>
      </c>
      <c r="C65" t="str">
        <f>CONCATENATE(618799,",",ROW(BCLCTTRGT_06613!C65),"|",COLUMN(BCLCTTRGT_06613!C65),",0",",0")</f>
        <v>618799,65|3,0,0</v>
      </c>
      <c r="D65" t="str">
        <f>CONCATENATE(618525,",",ROW(BCLCTTRGT_06613!D65),"|",COLUMN(BCLCTTRGT_06613!D65),",0",",0")</f>
        <v>618525,65|4,0,0</v>
      </c>
      <c r="E65" t="str">
        <f>CONCATENATE(618710,",",ROW(BCLCTTRGT_06613!E65),"|",COLUMN(BCLCTTRGT_06613!E65),",0",",0")</f>
        <v>618710,65|5,0,0</v>
      </c>
    </row>
    <row r="66" spans="1:5" x14ac:dyDescent="0.25">
      <c r="A66" t="str">
        <f>CONCATENATE(618468,",",ROW(BCLCTTRGT_06613!A66),"|",COLUMN(BCLCTTRGT_06613!A66),",0",",0")</f>
        <v>618468,66|1,0,0</v>
      </c>
      <c r="B66" t="str">
        <f>CONCATENATE(618480,",",ROW(BCLCTTRGT_06613!B66),"|",COLUMN(BCLCTTRGT_06613!B66),",0",",0")</f>
        <v>618480,66|2,0,0</v>
      </c>
      <c r="C66" t="str">
        <f>CONCATENATE(618800,",",ROW(BCLCTTRGT_06613!C66),"|",COLUMN(BCLCTTRGT_06613!C66),",0",",0")</f>
        <v>618800,66|3,0,0</v>
      </c>
      <c r="D66" t="str">
        <f>CONCATENATE(618526,",",ROW(BCLCTTRGT_06613!D66),"|",COLUMN(BCLCTTRGT_06613!D66),",0",",0")</f>
        <v>618526,66|4,0,0</v>
      </c>
      <c r="E66" t="str">
        <f>CONCATENATE(618711,",",ROW(BCLCTTRGT_06613!E66),"|",COLUMN(BCLCTTRGT_06613!E66),",0",",0")</f>
        <v>618711,66|5,0,0</v>
      </c>
    </row>
    <row r="67" spans="1:5" x14ac:dyDescent="0.25">
      <c r="A67" t="str">
        <f>CONCATENATE(618469,",",ROW(BCLCTTRGT_06613!A67),"|",COLUMN(BCLCTTRGT_06613!A67),",0",",0")</f>
        <v>618469,67|1,0,0</v>
      </c>
      <c r="B67" t="str">
        <f>CONCATENATE(618792,",",ROW(BCLCTTRGT_06613!B67),"|",COLUMN(BCLCTTRGT_06613!B67),",0",",0")</f>
        <v>618792,67|2,0,0</v>
      </c>
      <c r="C67" t="str">
        <f>CONCATENATE(618801,",",ROW(BCLCTTRGT_06613!C67),"|",COLUMN(BCLCTTRGT_06613!C67),",0",",0")</f>
        <v>618801,67|3,0,0</v>
      </c>
      <c r="D67" t="str">
        <f>CONCATENATE(618527,",",ROW(BCLCTTRGT_06613!D67),"|",COLUMN(BCLCTTRGT_06613!D67),",0",",0")</f>
        <v>618527,67|4,0,0</v>
      </c>
      <c r="E67" t="str">
        <f>CONCATENATE(618712,",",ROW(BCLCTTRGT_06613!E67),"|",COLUMN(BCLCTTRGT_06613!E67),",0",",0")</f>
        <v>618712,67|5,0,0</v>
      </c>
    </row>
    <row r="68" spans="1:5" x14ac:dyDescent="0.25">
      <c r="A68" t="str">
        <f>CONCATENATE(618609,",",ROW(BCLCTTRGT_06613!A68),"|",COLUMN(BCLCTTRGT_06613!A68),",0",",0")</f>
        <v>618609,68|1,0,0</v>
      </c>
      <c r="B68" t="str">
        <f>CONCATENATE(618583,",",ROW(BCLCTTRGT_06613!B68),"|",COLUMN(BCLCTTRGT_06613!B68),",0",",0")</f>
        <v>618583,68|2,0,0</v>
      </c>
      <c r="C68" t="str">
        <f>CONCATENATE(618802,",",ROW(BCLCTTRGT_06613!C68),"|",COLUMN(BCLCTTRGT_06613!C68),",0",",0")</f>
        <v>618802,68|3,0,0</v>
      </c>
      <c r="D68" t="str">
        <f>CONCATENATE(618528,",",ROW(BCLCTTRGT_06613!D68),"|",COLUMN(BCLCTTRGT_06613!D68),",0",",0")</f>
        <v>618528,68|4,0,0</v>
      </c>
      <c r="E68" t="str">
        <f>CONCATENATE(618713,",",ROW(BCLCTTRGT_06613!E68),"|",COLUMN(BCLCTTRGT_06613!E68),",0",",0")</f>
        <v>618713,68|5,0,0</v>
      </c>
    </row>
    <row r="69" spans="1:5" x14ac:dyDescent="0.25">
      <c r="A69" t="str">
        <f>CONCATENATE(618653,",",ROW(BCLCTTRGT_06613!A69),"|",COLUMN(BCLCTTRGT_06613!A69),",0",",0")</f>
        <v>618653,69|1,0,0</v>
      </c>
      <c r="B69" t="str">
        <f>CONCATENATE(618664,",",ROW(BCLCTTRGT_06613!B69),"|",COLUMN(BCLCTTRGT_06613!B69),",0",",0")</f>
        <v>618664,69|2,0,0</v>
      </c>
      <c r="C69" t="str">
        <f>CONCATENATE(618803,",",ROW(BCLCTTRGT_06613!C69),"|",COLUMN(BCLCTTRGT_06613!C69),",0",",0")</f>
        <v>618803,69|3,0,0</v>
      </c>
      <c r="D69" t="str">
        <f>CONCATENATE(618529,",",ROW(BCLCTTRGT_06613!D69),"|",COLUMN(BCLCTTRGT_06613!D69),",0",",0")</f>
        <v>618529,69|4,0,0</v>
      </c>
      <c r="E69" t="str">
        <f>CONCATENATE(618714,",",ROW(BCLCTTRGT_06613!E69),"|",COLUMN(BCLCTTRGT_06613!E69),",0",",0")</f>
        <v>618714,69|5,0,0</v>
      </c>
    </row>
    <row r="70" spans="1:5" x14ac:dyDescent="0.25">
      <c r="A70" t="str">
        <f>CONCATENATE(618592,",",ROW(BCLCTTRGT_06613!A70),"|",COLUMN(BCLCTTRGT_06613!A70),",0",",0")</f>
        <v>618592,70|1,0,0</v>
      </c>
      <c r="B70" t="str">
        <f>CONCATENATE(618839,",",ROW(BCLCTTRGT_06613!B70),"|",COLUMN(BCLCTTRGT_06613!B70),",0",",0")</f>
        <v>618839,70|2,0,0</v>
      </c>
      <c r="C70" t="str">
        <f>CONCATENATE(618804,",",ROW(BCLCTTRGT_06613!C70),"|",COLUMN(BCLCTTRGT_06613!C70),",0",",0")</f>
        <v>618804,70|3,0,0</v>
      </c>
      <c r="D70" t="str">
        <f>CONCATENATE(618530,",",ROW(BCLCTTRGT_06613!D70),"|",COLUMN(BCLCTTRGT_06613!D70),",0",",0")</f>
        <v>618530,70|4,0,0</v>
      </c>
      <c r="E70" t="str">
        <f>CONCATENATE(618715,",",ROW(BCLCTTRGT_06613!E70),"|",COLUMN(BCLCTTRGT_06613!E70),",0",",0")</f>
        <v>618715,70|5,0,0</v>
      </c>
    </row>
    <row r="71" spans="1:5" x14ac:dyDescent="0.25">
      <c r="A71" t="str">
        <f>CONCATENATE(618470,",",ROW(BCLCTTRGT_06613!A71),"|",COLUMN(BCLCTTRGT_06613!A71),",0",",0")</f>
        <v>618470,71|1,0,0</v>
      </c>
      <c r="B71" t="str">
        <f>CONCATENATE(618481,",",ROW(BCLCTTRGT_06613!B71),"|",COLUMN(BCLCTTRGT_06613!B71),",0",",0")</f>
        <v>618481,71|2,0,0</v>
      </c>
      <c r="C71" t="str">
        <f>CONCATENATE(618805,",",ROW(BCLCTTRGT_06613!C71),"|",COLUMN(BCLCTTRGT_06613!C71),",0",",0")</f>
        <v>618805,71|3,0,0</v>
      </c>
      <c r="D71" t="str">
        <f>CONCATENATE(618531,",",ROW(BCLCTTRGT_06613!D71),"|",COLUMN(BCLCTTRGT_06613!D71),",0",",0")</f>
        <v>618531,71|4,0,0</v>
      </c>
      <c r="E71" t="str">
        <f>CONCATENATE(618716,",",ROW(BCLCTTRGT_06613!E71),"|",COLUMN(BCLCTTRGT_06613!E71),",0",",0")</f>
        <v>618716,71|5,0,0</v>
      </c>
    </row>
    <row r="72" spans="1:5" x14ac:dyDescent="0.25">
      <c r="A72" t="str">
        <f>CONCATENATE(618493,",",ROW(BCLCTTRGT_06613!A72),"|",COLUMN(BCLCTTRGT_06613!A72),",0",",0")</f>
        <v>618493,72|1,0,0</v>
      </c>
      <c r="B72" t="str">
        <f>CONCATENATE(618482,",",ROW(BCLCTTRGT_06613!B72),"|",COLUMN(BCLCTTRGT_06613!B72),",0",",0")</f>
        <v>618482,72|2,0,0</v>
      </c>
      <c r="C72" t="str">
        <f>CONCATENATE(618806,",",ROW(BCLCTTRGT_06613!C72),"|",COLUMN(BCLCTTRGT_06613!C72),",0",",0")</f>
        <v>618806,72|3,0,0</v>
      </c>
      <c r="D72" t="str">
        <f>CONCATENATE(618532,",",ROW(BCLCTTRGT_06613!D72),"|",COLUMN(BCLCTTRGT_06613!D72),",0",",0")</f>
        <v>618532,72|4,0,0</v>
      </c>
      <c r="E72" t="str">
        <f>CONCATENATE(618717,",",ROW(BCLCTTRGT_06613!E72),"|",COLUMN(BCLCTTRGT_06613!E72),",0",",0")</f>
        <v>618717,72|5,0,0</v>
      </c>
    </row>
    <row r="73" spans="1:5" x14ac:dyDescent="0.25">
      <c r="A73" t="str">
        <f>CONCATENATE(618494,",",ROW(BCLCTTRGT_06613!A73),"|",COLUMN(BCLCTTRGT_06613!A73),",0",",0")</f>
        <v>618494,73|1,0,0</v>
      </c>
      <c r="B73" t="str">
        <f>CONCATENATE(618483,",",ROW(BCLCTTRGT_06613!B73),"|",COLUMN(BCLCTTRGT_06613!B73),",0",",0")</f>
        <v>618483,73|2,0,0</v>
      </c>
      <c r="C73" t="str">
        <f>CONCATENATE(618807,",",ROW(BCLCTTRGT_06613!C73),"|",COLUMN(BCLCTTRGT_06613!C73),",0",",0")</f>
        <v>618807,73|3,0,0</v>
      </c>
      <c r="D73" t="str">
        <f>CONCATENATE(618533,",",ROW(BCLCTTRGT_06613!D73),"|",COLUMN(BCLCTTRGT_06613!D73),",0",",0")</f>
        <v>618533,73|4,0,0</v>
      </c>
      <c r="E73" t="str">
        <f>CONCATENATE(618718,",",ROW(BCLCTTRGT_06613!E73),"|",COLUMN(BCLCTTRGT_06613!E73),",0",",0")</f>
        <v>618718,73|5,0,0</v>
      </c>
    </row>
    <row r="74" spans="1:5" x14ac:dyDescent="0.25">
      <c r="A74" t="str">
        <f>CONCATENATE(618488,",",ROW(BCLCTTRGT_06613!A74),"|",COLUMN(BCLCTTRGT_06613!A74),",0",",0")</f>
        <v>618488,74|1,0,0</v>
      </c>
      <c r="B74" t="str">
        <f>CONCATENATE(618793,",",ROW(BCLCTTRGT_06613!B74),"|",COLUMN(BCLCTTRGT_06613!B74),",0",",0")</f>
        <v>618793,74|2,0,0</v>
      </c>
      <c r="C74" t="str">
        <f>CONCATENATE(618808,",",ROW(BCLCTTRGT_06613!C74),"|",COLUMN(BCLCTTRGT_06613!C74),",0",",0")</f>
        <v>618808,74|3,0,0</v>
      </c>
      <c r="D74" t="str">
        <f>CONCATENATE(618534,",",ROW(BCLCTTRGT_06613!D74),"|",COLUMN(BCLCTTRGT_06613!D74),",0",",0")</f>
        <v>618534,74|4,0,0</v>
      </c>
      <c r="E74" t="str">
        <f>CONCATENATE(618719,",",ROW(BCLCTTRGT_06613!E74),"|",COLUMN(BCLCTTRGT_06613!E74),",0",",0")</f>
        <v>618719,74|5,0,0</v>
      </c>
    </row>
    <row r="75" spans="1:5" x14ac:dyDescent="0.25">
      <c r="A75" t="str">
        <f>CONCATENATE(618575,",",ROW(BCLCTTRGT_06613!A75),"|",COLUMN(BCLCTTRGT_06613!A75),",0",",0")</f>
        <v>618575,75|1,0,0</v>
      </c>
      <c r="B75" t="str">
        <f>CONCATENATE(618840,",",ROW(BCLCTTRGT_06613!B75),"|",COLUMN(BCLCTTRGT_06613!B75),",0",",0")</f>
        <v>618840,75|2,0,0</v>
      </c>
      <c r="C75" t="str">
        <f>CONCATENATE(618809,",",ROW(BCLCTTRGT_06613!C75),"|",COLUMN(BCLCTTRGT_06613!C75),",0",",0")</f>
        <v>618809,75|3,0,0</v>
      </c>
      <c r="D75" t="str">
        <f>CONCATENATE(618535,",",ROW(BCLCTTRGT_06613!D75),"|",COLUMN(BCLCTTRGT_06613!D75),",0",",0")</f>
        <v>618535,75|4,0,0</v>
      </c>
      <c r="E75" t="str">
        <f>CONCATENATE(618720,",",ROW(BCLCTTRGT_06613!E75),"|",COLUMN(BCLCTTRGT_06613!E75),",0",",0")</f>
        <v>618720,75|5,0,0</v>
      </c>
    </row>
    <row r="76" spans="1:5" x14ac:dyDescent="0.25">
      <c r="A76" t="str">
        <f>CONCATENATE(618783,",",ROW(BCLCTTRGT_06613!A76),"|",COLUMN(BCLCTTRGT_06613!A76),",0",",0")</f>
        <v>618783,76|1,0,0</v>
      </c>
      <c r="B76" t="str">
        <f>CONCATENATE(618610,",",ROW(BCLCTTRGT_06613!B76),"|",COLUMN(BCLCTTRGT_06613!B76),",0",",0")</f>
        <v>618610,76|2,0,0</v>
      </c>
      <c r="C76" t="str">
        <f>CONCATENATE(618811,",",ROW(BCLCTTRGT_06613!C76),"|",COLUMN(BCLCTTRGT_06613!C76),",0",",0")</f>
        <v>618811,76|3,0,0</v>
      </c>
      <c r="D76" t="str">
        <f>CONCATENATE(618537,",",ROW(BCLCTTRGT_06613!D76),"|",COLUMN(BCLCTTRGT_06613!D76),",0",",0")</f>
        <v>618537,76|4,0,0</v>
      </c>
      <c r="E76" t="str">
        <f>CONCATENATE(618722,",",ROW(BCLCTTRGT_06613!E76),"|",COLUMN(BCLCTTRGT_06613!E76),",0",",0")</f>
        <v>618722,76|5,0,0</v>
      </c>
    </row>
    <row r="77" spans="1:5" x14ac:dyDescent="0.25">
      <c r="A77" t="str">
        <f>CONCATENATE(618489,",",ROW(BCLCTTRGT_06613!A77),"|",COLUMN(BCLCTTRGT_06613!A77),",0",",0")</f>
        <v>618489,77|1,0,0</v>
      </c>
      <c r="B77" t="str">
        <f>CONCATENATE(618485,",",ROW(BCLCTTRGT_06613!B77),"|",COLUMN(BCLCTTRGT_06613!B77),",0",",0")</f>
        <v>618485,77|2,0,0</v>
      </c>
      <c r="C77" t="str">
        <f>CONCATENATE(618812,",",ROW(BCLCTTRGT_06613!C77),"|",COLUMN(BCLCTTRGT_06613!C77),",0",",0")</f>
        <v>618812,77|3,0,0</v>
      </c>
      <c r="D77" t="str">
        <f>CONCATENATE(618538,",",ROW(BCLCTTRGT_06613!D77),"|",COLUMN(BCLCTTRGT_06613!D77),",0",",0")</f>
        <v>618538,77|4,0,0</v>
      </c>
      <c r="E77" t="str">
        <f>CONCATENATE(618723,",",ROW(BCLCTTRGT_06613!E77),"|",COLUMN(BCLCTTRGT_06613!E77),",0",",0")</f>
        <v>618723,77|5,0,0</v>
      </c>
    </row>
    <row r="78" spans="1:5" x14ac:dyDescent="0.25">
      <c r="A78" t="str">
        <f>CONCATENATE(618833,",",ROW(BCLCTTRGT_06613!A78),"|",COLUMN(BCLCTTRGT_06613!A78),",0",",0")</f>
        <v>618833,78|1,0,0</v>
      </c>
      <c r="B78" t="str">
        <f>CONCATENATE(618484,",",ROW(BCLCTTRGT_06613!B78),"|",COLUMN(BCLCTTRGT_06613!B78),",0",",0")</f>
        <v>618484,78|2,0,0</v>
      </c>
      <c r="C78" t="str">
        <f>CONCATENATE(618810,",",ROW(BCLCTTRGT_06613!C78),"|",COLUMN(BCLCTTRGT_06613!C78),",0",",0")</f>
        <v>618810,78|3,0,0</v>
      </c>
      <c r="D78" t="str">
        <f>CONCATENATE(618536,",",ROW(BCLCTTRGT_06613!D78),"|",COLUMN(BCLCTTRGT_06613!D78),",0",",0")</f>
        <v>618536,78|4,0,0</v>
      </c>
      <c r="E78" t="str">
        <f>CONCATENATE(618721,",",ROW(BCLCTTRGT_06613!E78),"|",COLUMN(BCLCTTRGT_06613!E78),",0",",0")</f>
        <v>618721,78|5,0,0</v>
      </c>
    </row>
    <row r="79" spans="1:5" x14ac:dyDescent="0.25">
      <c r="A79" t="str">
        <f>CONCATENATE(618630,",",ROW(BCLCTTRGT_06613!A79),"|",COLUMN(BCLCTTRGT_06613!A79),",0",",0")</f>
        <v>618630,79|1,0,0</v>
      </c>
      <c r="B79" t="str">
        <f>CONCATENATE(618502,",",ROW(BCLCTTRGT_06613!B79),"|",COLUMN(BCLCTTRGT_06613!B79),",0",",0")</f>
        <v>618502,79|2,0,0</v>
      </c>
      <c r="C79" t="str">
        <f>CONCATENATE(618691,",",ROW(BCLCTTRGT_06613!C79),"|",COLUMN(BCLCTTRGT_06613!C79),",0",",0")</f>
        <v>618691,79|3,0,0</v>
      </c>
      <c r="D79" t="str">
        <f>CONCATENATE(618567,",",ROW(BCLCTTRGT_06613!D79),"|",COLUMN(BCLCTTRGT_06613!D79),",0",",0")</f>
        <v>618567,79|4,0,0</v>
      </c>
      <c r="E79" t="str">
        <f>CONCATENATE(618753,",",ROW(BCLCTTRGT_06613!E79),"|",COLUMN(BCLCTTRGT_06613!E79),",0",",0")</f>
        <v>618753,79|5,0,0</v>
      </c>
    </row>
    <row r="80" spans="1:5" x14ac:dyDescent="0.25">
      <c r="A80" t="str">
        <f>CONCATENATE(618755,",",ROW(BCLCTTRGT_06613!A80),"|",COLUMN(BCLCTTRGT_06613!A80),",0",",0")</f>
        <v>618755,80|1,0,0</v>
      </c>
      <c r="B80" t="str">
        <f>CONCATENATE(618756,",",ROW(BCLCTTRGT_06613!B80),"|",COLUMN(BCLCTTRGT_06613!B80),",0",",0")</f>
        <v>618756,80|2,0,0</v>
      </c>
      <c r="C80" t="str">
        <f>CONCATENATE(618692,",",ROW(BCLCTTRGT_06613!C80),"|",COLUMN(BCLCTTRGT_06613!C80),",0",",0")</f>
        <v>618692,80|3,0,0</v>
      </c>
      <c r="D80" t="str">
        <f>CONCATENATE(618568,",",ROW(BCLCTTRGT_06613!D80),"|",COLUMN(BCLCTTRGT_06613!D80),",0",",0")</f>
        <v>618568,80|4,0,0</v>
      </c>
      <c r="E80" t="str">
        <f>CONCATENATE(618754,",",ROW(BCLCTTRGT_06613!E80),"|",COLUMN(BCLCTTRGT_06613!E80),",0",",0")</f>
        <v>618754,80|5,0,0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0"/>
  <sheetViews>
    <sheetView zoomScale="85" zoomScaleNormal="85" workbookViewId="0">
      <selection activeCell="C48" sqref="C48"/>
    </sheetView>
  </sheetViews>
  <sheetFormatPr defaultRowHeight="15" x14ac:dyDescent="0.25"/>
  <cols>
    <col min="1" max="1" width="31.28515625" bestFit="1" customWidth="1"/>
    <col min="2" max="2" width="26.140625" bestFit="1" customWidth="1"/>
    <col min="3" max="3" width="22.28515625" customWidth="1"/>
    <col min="4" max="5" width="26.140625" bestFit="1" customWidth="1"/>
  </cols>
  <sheetData>
    <row r="1" spans="1:5" ht="20.25" x14ac:dyDescent="0.3">
      <c r="A1" s="1630" t="s">
        <v>20</v>
      </c>
      <c r="B1" s="1630" t="s">
        <v>5</v>
      </c>
      <c r="C1" s="1630" t="s">
        <v>5</v>
      </c>
      <c r="D1" s="1630" t="s">
        <v>5</v>
      </c>
      <c r="E1" s="1630" t="s">
        <v>5</v>
      </c>
    </row>
    <row r="2" spans="1:5" ht="18.75" x14ac:dyDescent="0.25">
      <c r="A2" s="1420" t="s">
        <v>386</v>
      </c>
      <c r="B2" s="1420" t="s">
        <v>31</v>
      </c>
      <c r="C2" s="1420" t="s">
        <v>32</v>
      </c>
      <c r="D2" s="1420" t="s">
        <v>387</v>
      </c>
      <c r="E2" s="1420" t="s">
        <v>388</v>
      </c>
    </row>
    <row r="3" spans="1:5" ht="16.5" x14ac:dyDescent="0.25">
      <c r="A3" s="1486" t="s">
        <v>39</v>
      </c>
      <c r="B3" s="1480" t="s">
        <v>114</v>
      </c>
      <c r="C3" s="1470" t="s">
        <v>79</v>
      </c>
      <c r="D3" s="1472" t="s">
        <v>223</v>
      </c>
      <c r="E3" s="1482" t="s">
        <v>80</v>
      </c>
    </row>
    <row r="4" spans="1:5" ht="66" x14ac:dyDescent="0.25">
      <c r="A4" s="1487" t="s">
        <v>588</v>
      </c>
      <c r="B4" s="1419" t="s">
        <v>5</v>
      </c>
      <c r="C4" s="1513"/>
      <c r="D4" s="2268" t="s">
        <v>5</v>
      </c>
      <c r="E4" s="2269" t="s">
        <v>5</v>
      </c>
    </row>
    <row r="5" spans="1:5" ht="49.5" x14ac:dyDescent="0.25">
      <c r="A5" s="1475" t="s">
        <v>598</v>
      </c>
      <c r="B5" s="1428" t="s">
        <v>223</v>
      </c>
      <c r="C5" s="1506"/>
      <c r="D5" s="2270">
        <v>992670588330</v>
      </c>
      <c r="E5" s="2271">
        <v>1441626715550</v>
      </c>
    </row>
    <row r="6" spans="1:5" ht="49.5" x14ac:dyDescent="0.25">
      <c r="A6" s="1438" t="s">
        <v>572</v>
      </c>
      <c r="B6" s="1469" t="s">
        <v>80</v>
      </c>
      <c r="C6" s="1530"/>
      <c r="D6" s="2272">
        <v>-773023986240</v>
      </c>
      <c r="E6" s="2273">
        <v>-1406703775400</v>
      </c>
    </row>
    <row r="7" spans="1:5" ht="49.5" x14ac:dyDescent="0.25">
      <c r="A7" s="1439" t="s">
        <v>570</v>
      </c>
      <c r="B7" s="1471" t="s">
        <v>380</v>
      </c>
      <c r="C7" s="1531"/>
      <c r="D7" s="2274" t="s">
        <v>5</v>
      </c>
      <c r="E7" s="2275" t="s">
        <v>5</v>
      </c>
    </row>
    <row r="8" spans="1:5" ht="49.5" x14ac:dyDescent="0.25">
      <c r="A8" s="1440" t="s">
        <v>704</v>
      </c>
      <c r="B8" s="1451" t="s">
        <v>381</v>
      </c>
      <c r="C8" s="1442"/>
      <c r="D8" s="2276" t="s">
        <v>5</v>
      </c>
      <c r="E8" s="2277" t="s">
        <v>5</v>
      </c>
    </row>
    <row r="9" spans="1:5" ht="49.5" x14ac:dyDescent="0.25">
      <c r="A9" s="1441" t="s">
        <v>599</v>
      </c>
      <c r="B9" s="1497" t="s">
        <v>328</v>
      </c>
      <c r="C9" s="1502"/>
      <c r="D9" s="2278" t="s">
        <v>5</v>
      </c>
      <c r="E9" s="2279" t="s">
        <v>5</v>
      </c>
    </row>
    <row r="10" spans="1:5" ht="49.5" x14ac:dyDescent="0.25">
      <c r="A10" s="1443" t="s">
        <v>586</v>
      </c>
      <c r="B10" s="1498" t="s">
        <v>384</v>
      </c>
      <c r="C10" s="1503"/>
      <c r="D10" s="2280" t="s">
        <v>5</v>
      </c>
      <c r="E10" s="2281" t="s">
        <v>5</v>
      </c>
    </row>
    <row r="11" spans="1:5" ht="66" x14ac:dyDescent="0.25">
      <c r="A11" s="1446" t="s">
        <v>589</v>
      </c>
      <c r="B11" s="1452" t="s">
        <v>385</v>
      </c>
      <c r="C11" s="1509"/>
      <c r="D11" s="2282">
        <v>1088021183119</v>
      </c>
      <c r="E11" s="2283">
        <v>2253687730814</v>
      </c>
    </row>
    <row r="12" spans="1:5" ht="49.5" x14ac:dyDescent="0.25">
      <c r="A12" s="1444" t="s">
        <v>705</v>
      </c>
      <c r="B12" s="1499" t="s">
        <v>329</v>
      </c>
      <c r="C12" s="1504"/>
      <c r="D12" s="2284">
        <v>-1293333243020</v>
      </c>
      <c r="E12" s="2285">
        <v>-2270898659745</v>
      </c>
    </row>
    <row r="13" spans="1:5" ht="66" x14ac:dyDescent="0.25">
      <c r="A13" s="1483" t="s">
        <v>710</v>
      </c>
      <c r="B13" s="1453" t="s">
        <v>318</v>
      </c>
      <c r="C13" s="1534"/>
      <c r="D13" s="2286" t="s">
        <v>5</v>
      </c>
      <c r="E13" s="2287" t="s">
        <v>5</v>
      </c>
    </row>
    <row r="14" spans="1:5" ht="49.5" x14ac:dyDescent="0.25">
      <c r="A14" s="1422" t="s">
        <v>699</v>
      </c>
      <c r="B14" s="1454" t="s">
        <v>382</v>
      </c>
      <c r="C14" s="1510"/>
      <c r="D14" s="2288" t="s">
        <v>5</v>
      </c>
      <c r="E14" s="2289" t="s">
        <v>5</v>
      </c>
    </row>
    <row r="15" spans="1:5" ht="49.5" x14ac:dyDescent="0.25">
      <c r="A15" s="1445" t="s">
        <v>706</v>
      </c>
      <c r="B15" s="1500" t="s">
        <v>299</v>
      </c>
      <c r="C15" s="1505"/>
      <c r="D15" s="2290" t="s">
        <v>5</v>
      </c>
      <c r="E15" s="2291" t="s">
        <v>5</v>
      </c>
    </row>
    <row r="16" spans="1:5" ht="49.5" x14ac:dyDescent="0.25">
      <c r="A16" s="1423" t="s">
        <v>700</v>
      </c>
      <c r="B16" s="1434" t="s">
        <v>330</v>
      </c>
      <c r="C16" s="1501"/>
      <c r="D16" s="2292" t="s">
        <v>5</v>
      </c>
      <c r="E16" s="2293" t="s">
        <v>5</v>
      </c>
    </row>
    <row r="17" spans="1:5" ht="49.5" x14ac:dyDescent="0.25">
      <c r="A17" s="1424" t="s">
        <v>701</v>
      </c>
      <c r="B17" s="1461" t="s">
        <v>331</v>
      </c>
      <c r="C17" s="1512"/>
      <c r="D17" s="2294" t="s">
        <v>5</v>
      </c>
      <c r="E17" s="2295" t="s">
        <v>5</v>
      </c>
    </row>
    <row r="18" spans="1:5" ht="49.5" x14ac:dyDescent="0.25">
      <c r="A18" s="1478" t="s">
        <v>709</v>
      </c>
      <c r="B18" s="1473" t="s">
        <v>619</v>
      </c>
      <c r="C18" s="1532"/>
      <c r="D18" s="2296">
        <v>1103006297</v>
      </c>
      <c r="E18" s="2297">
        <v>4891790915</v>
      </c>
    </row>
    <row r="19" spans="1:5" ht="49.5" x14ac:dyDescent="0.25">
      <c r="A19" s="1447" t="s">
        <v>707</v>
      </c>
      <c r="B19" s="1474" t="s">
        <v>682</v>
      </c>
      <c r="C19" s="1533"/>
      <c r="D19" s="2298">
        <v>-1103006297</v>
      </c>
      <c r="E19" s="2299">
        <v>-4891771915</v>
      </c>
    </row>
    <row r="20" spans="1:5" ht="51.75" x14ac:dyDescent="0.25">
      <c r="A20" s="1488" t="s">
        <v>711</v>
      </c>
      <c r="B20" s="1466" t="s">
        <v>527</v>
      </c>
      <c r="C20" s="1527"/>
      <c r="D20" s="2300">
        <v>14334542189</v>
      </c>
      <c r="E20" s="2301">
        <v>17712030219</v>
      </c>
    </row>
    <row r="21" spans="1:5" ht="66" x14ac:dyDescent="0.25">
      <c r="A21" s="1489" t="s">
        <v>574</v>
      </c>
      <c r="B21" s="1455" t="s">
        <v>514</v>
      </c>
      <c r="C21" s="1511"/>
      <c r="D21" s="2302">
        <v>47448284830</v>
      </c>
      <c r="E21" s="2303">
        <v>39405195603</v>
      </c>
    </row>
    <row r="22" spans="1:5" ht="33" x14ac:dyDescent="0.25">
      <c r="A22" s="1490" t="s">
        <v>575</v>
      </c>
      <c r="B22" s="1435" t="s">
        <v>515</v>
      </c>
      <c r="C22" s="1429"/>
      <c r="D22" s="2304">
        <v>47448284830</v>
      </c>
      <c r="E22" s="2305">
        <v>39405195603</v>
      </c>
    </row>
    <row r="23" spans="1:5" ht="66" x14ac:dyDescent="0.25">
      <c r="A23" s="1491" t="s">
        <v>576</v>
      </c>
      <c r="B23" s="1436" t="s">
        <v>528</v>
      </c>
      <c r="C23" s="1430"/>
      <c r="D23" s="2306">
        <v>38006071730</v>
      </c>
      <c r="E23" s="2307">
        <v>39404195603</v>
      </c>
    </row>
    <row r="24" spans="1:5" ht="33" x14ac:dyDescent="0.25">
      <c r="A24" s="1481" t="s">
        <v>577</v>
      </c>
      <c r="B24" s="1467" t="s">
        <v>528</v>
      </c>
      <c r="C24" s="1528"/>
      <c r="D24" s="2308" t="s">
        <v>5</v>
      </c>
      <c r="E24" s="2309" t="s">
        <v>5</v>
      </c>
    </row>
    <row r="25" spans="1:5" ht="49.5" x14ac:dyDescent="0.25">
      <c r="A25" s="1448" t="s">
        <v>582</v>
      </c>
      <c r="B25" s="1456" t="s">
        <v>525</v>
      </c>
      <c r="C25" s="1507"/>
      <c r="D25" s="2310" t="s">
        <v>5</v>
      </c>
      <c r="E25" s="2311" t="s">
        <v>5</v>
      </c>
    </row>
    <row r="26" spans="1:5" ht="49.5" x14ac:dyDescent="0.25">
      <c r="A26" s="1425" t="s">
        <v>581</v>
      </c>
      <c r="B26" s="1437" t="s">
        <v>583</v>
      </c>
      <c r="C26" s="1421"/>
      <c r="D26" s="2262">
        <v>9441213100</v>
      </c>
      <c r="E26" s="2312"/>
    </row>
    <row r="27" spans="1:5" ht="49.5" x14ac:dyDescent="0.25">
      <c r="A27" s="1468" t="s">
        <v>708</v>
      </c>
      <c r="B27" s="1462" t="s">
        <v>579</v>
      </c>
      <c r="C27" s="1529"/>
      <c r="D27" s="2263">
        <v>1000000</v>
      </c>
      <c r="E27" s="2264">
        <v>1000000</v>
      </c>
    </row>
    <row r="28" spans="1:5" ht="33" x14ac:dyDescent="0.25">
      <c r="A28" s="1484" t="s">
        <v>577</v>
      </c>
      <c r="B28" s="1465" t="s">
        <v>579</v>
      </c>
      <c r="C28" s="1526"/>
      <c r="D28" s="2313" t="s">
        <v>5</v>
      </c>
      <c r="E28" s="2314" t="s">
        <v>5</v>
      </c>
    </row>
    <row r="29" spans="1:5" ht="33" x14ac:dyDescent="0.25">
      <c r="A29" s="1449" t="s">
        <v>535</v>
      </c>
      <c r="B29" s="1457" t="s">
        <v>601</v>
      </c>
      <c r="C29" s="1508"/>
      <c r="D29" s="2315" t="s">
        <v>5</v>
      </c>
      <c r="E29" s="2316" t="s">
        <v>5</v>
      </c>
    </row>
    <row r="30" spans="1:5" ht="49.5" x14ac:dyDescent="0.25">
      <c r="A30" s="1431" t="s">
        <v>513</v>
      </c>
      <c r="B30" s="1458" t="s">
        <v>602</v>
      </c>
      <c r="C30" s="1535"/>
      <c r="D30" s="2317" t="s">
        <v>5</v>
      </c>
      <c r="E30" s="2318" t="s">
        <v>5</v>
      </c>
    </row>
    <row r="31" spans="1:5" ht="66" x14ac:dyDescent="0.25">
      <c r="A31" s="1432" t="s">
        <v>703</v>
      </c>
      <c r="B31" s="1476" t="s">
        <v>603</v>
      </c>
      <c r="C31" s="1516"/>
      <c r="D31" s="2319">
        <v>61782827019</v>
      </c>
      <c r="E31" s="2320">
        <v>57117225822</v>
      </c>
    </row>
    <row r="32" spans="1:5" ht="33" x14ac:dyDescent="0.25">
      <c r="A32" s="1450" t="s">
        <v>596</v>
      </c>
      <c r="B32" s="1459" t="s">
        <v>597</v>
      </c>
      <c r="C32" s="1517"/>
      <c r="D32" s="2321">
        <v>61782827019</v>
      </c>
      <c r="E32" s="2322">
        <v>57117225822</v>
      </c>
    </row>
    <row r="33" spans="1:5" ht="66" x14ac:dyDescent="0.25">
      <c r="A33" s="1492" t="s">
        <v>576</v>
      </c>
      <c r="B33" s="1463" t="s">
        <v>604</v>
      </c>
      <c r="C33" s="1518"/>
      <c r="D33" s="2323">
        <v>52140120469</v>
      </c>
      <c r="E33" s="2324">
        <v>57116206822</v>
      </c>
    </row>
    <row r="34" spans="1:5" ht="33" x14ac:dyDescent="0.25">
      <c r="A34" s="1433" t="s">
        <v>577</v>
      </c>
      <c r="B34" s="1477" t="s">
        <v>604</v>
      </c>
      <c r="C34" s="1519"/>
      <c r="D34" s="2325" t="s">
        <v>5</v>
      </c>
      <c r="E34" s="2326" t="s">
        <v>5</v>
      </c>
    </row>
    <row r="35" spans="1:5" ht="49.5" x14ac:dyDescent="0.25">
      <c r="A35" s="1493" t="s">
        <v>582</v>
      </c>
      <c r="B35" s="1464" t="s">
        <v>590</v>
      </c>
      <c r="C35" s="1520"/>
      <c r="D35" s="2327" t="s">
        <v>5</v>
      </c>
      <c r="E35" s="2328" t="s">
        <v>5</v>
      </c>
    </row>
    <row r="36" spans="1:5" ht="49.5" x14ac:dyDescent="0.25">
      <c r="A36" s="1494" t="s">
        <v>581</v>
      </c>
      <c r="B36" s="1460" t="s">
        <v>580</v>
      </c>
      <c r="C36" s="1521"/>
      <c r="D36" s="2265">
        <v>9641706550</v>
      </c>
      <c r="E36" s="2329"/>
    </row>
    <row r="37" spans="1:5" ht="49.5" x14ac:dyDescent="0.25">
      <c r="A37" s="1426" t="s">
        <v>702</v>
      </c>
      <c r="B37" s="1514" t="s">
        <v>569</v>
      </c>
      <c r="C37" s="1522"/>
      <c r="D37" s="2266">
        <v>1000000</v>
      </c>
      <c r="E37" s="2267">
        <v>1019000</v>
      </c>
    </row>
    <row r="38" spans="1:5" ht="33" x14ac:dyDescent="0.25">
      <c r="A38" s="1427" t="s">
        <v>577</v>
      </c>
      <c r="B38" s="1485" t="s">
        <v>569</v>
      </c>
      <c r="C38" s="1523"/>
      <c r="D38" s="2330" t="s">
        <v>5</v>
      </c>
      <c r="E38" s="2331" t="s">
        <v>5</v>
      </c>
    </row>
    <row r="39" spans="1:5" ht="33" x14ac:dyDescent="0.25">
      <c r="A39" s="1495" t="s">
        <v>535</v>
      </c>
      <c r="B39" s="1515" t="s">
        <v>591</v>
      </c>
      <c r="C39" s="1524"/>
      <c r="D39" s="2332" t="s">
        <v>5</v>
      </c>
      <c r="E39" s="2333" t="s">
        <v>5</v>
      </c>
    </row>
    <row r="40" spans="1:5" ht="49.5" x14ac:dyDescent="0.25">
      <c r="A40" s="1496" t="s">
        <v>679</v>
      </c>
      <c r="B40" s="1479" t="s">
        <v>584</v>
      </c>
      <c r="C40" s="1525"/>
      <c r="D40" s="2334" t="s">
        <v>5</v>
      </c>
      <c r="E40" s="2335" t="s">
        <v>5</v>
      </c>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E40"/>
  <sheetViews>
    <sheetView workbookViewId="0"/>
  </sheetViews>
  <sheetFormatPr defaultRowHeight="15" x14ac:dyDescent="0.25"/>
  <cols>
    <col min="1" max="1" width="1" style="437" bestFit="1" customWidth="1"/>
    <col min="2" max="5" width="1" bestFit="1" customWidth="1"/>
  </cols>
  <sheetData>
    <row r="3" spans="1:5" x14ac:dyDescent="0.25">
      <c r="A3" t="str">
        <f>CONCATENATE(617694,",",ROW(PLCTTHDMGUTCKHGT_06614!A3),"|",COLUMN(PLCTTHDMGUTCKHGT_06614!A3),",0",",0")</f>
        <v>617694,3|1,0,0</v>
      </c>
      <c r="B3" t="str">
        <f>CONCATENATE(617688,",",ROW(PLCTTHDMGUTCKHGT_06614!B3),"|",COLUMN(PLCTTHDMGUTCKHGT_06614!B3),",0",",0")</f>
        <v>617688,3|2,0,0</v>
      </c>
      <c r="C3" t="str">
        <f>CONCATENATE(617678,",",ROW(PLCTTHDMGUTCKHGT_06614!C3),"|",COLUMN(PLCTTHDMGUTCKHGT_06614!C3),",0",",0")</f>
        <v>617678,3|3,0,0</v>
      </c>
      <c r="D3" t="str">
        <f>CONCATENATE(617680,",",ROW(PLCTTHDMGUTCKHGT_06614!D3),"|",COLUMN(PLCTTHDMGUTCKHGT_06614!D3),",0",",0")</f>
        <v>617680,3|4,0,0</v>
      </c>
      <c r="E3" t="str">
        <f>CONCATENATE(617690,",",ROW(PLCTTHDMGUTCKHGT_06614!E3),"|",COLUMN(PLCTTHDMGUTCKHGT_06614!E3),",0",",0")</f>
        <v>617690,3|5,0,0</v>
      </c>
    </row>
    <row r="4" spans="1:5" x14ac:dyDescent="0.25">
      <c r="A4" t="str">
        <f>CONCATENATE(617695,",",ROW(PLCTTHDMGUTCKHGT_06614!A4),"|",COLUMN(PLCTTHDMGUTCKHGT_06614!A4),",0",",0")</f>
        <v>617695,4|1,0,0</v>
      </c>
      <c r="B4" t="s">
        <v>5</v>
      </c>
      <c r="C4" t="str">
        <f>CONCATENATE(617735,",",ROW(PLCTTHDMGUTCKHGT_06614!C4),"|",COLUMN(PLCTTHDMGUTCKHGT_06614!C4),",0",",0")</f>
        <v>617735,4|3,0,0</v>
      </c>
      <c r="D4" t="str">
        <f>CONCATENATE(617701,",",ROW(PLCTTHDMGUTCKHGT_06614!D4),"|",COLUMN(PLCTTHDMGUTCKHGT_06614!D4),",0",",0")</f>
        <v>617701,4|4,0,0</v>
      </c>
      <c r="E4" t="str">
        <f>CONCATENATE(617588,",",ROW(PLCTTHDMGUTCKHGT_06614!E4),"|",COLUMN(PLCTTHDMGUTCKHGT_06614!E4),",0",",0")</f>
        <v>617588,4|5,0,0</v>
      </c>
    </row>
    <row r="5" spans="1:5" x14ac:dyDescent="0.25">
      <c r="A5" t="str">
        <f>CONCATENATE(617683,",",ROW(PLCTTHDMGUTCKHGT_06614!A5),"|",COLUMN(PLCTTHDMGUTCKHGT_06614!A5),",0",",0")</f>
        <v>617683,5|1,0,0</v>
      </c>
      <c r="B5" t="str">
        <f>CONCATENATE(617597,",",ROW(PLCTTHDMGUTCKHGT_06614!B5),"|",COLUMN(PLCTTHDMGUTCKHGT_06614!B5),",0",",0")</f>
        <v>617597,5|2,0,0</v>
      </c>
      <c r="C5" t="str">
        <f>CONCATENATE(617728,",",ROW(PLCTTHDMGUTCKHGT_06614!C5),"|",COLUMN(PLCTTHDMGUTCKHGT_06614!C5),",0",",0")</f>
        <v>617728,5|3,0,0</v>
      </c>
      <c r="D5" t="str">
        <f>CONCATENATE(617634,",",ROW(PLCTTHDMGUTCKHGT_06614!D5),"|",COLUMN(PLCTTHDMGUTCKHGT_06614!D5),",0",",0")</f>
        <v>617634,5|4,0,0</v>
      </c>
      <c r="E5" t="str">
        <f>CONCATENATE(617713,",",ROW(PLCTTHDMGUTCKHGT_06614!E5),"|",COLUMN(PLCTTHDMGUTCKHGT_06614!E5),",0",",0")</f>
        <v>617713,5|5,0,0</v>
      </c>
    </row>
    <row r="6" spans="1:5" x14ac:dyDescent="0.25">
      <c r="A6" t="str">
        <f>CONCATENATE(617646,",",ROW(PLCTTHDMGUTCKHGT_06614!A6),"|",COLUMN(PLCTTHDMGUTCKHGT_06614!A6),",0",",0")</f>
        <v>617646,6|1,0,0</v>
      </c>
      <c r="B6" t="str">
        <f>CONCATENATE(617677,",",ROW(PLCTTHDMGUTCKHGT_06614!B6),"|",COLUMN(PLCTTHDMGUTCKHGT_06614!B6),",0",",0")</f>
        <v>617677,6|2,0,0</v>
      </c>
      <c r="C6" t="str">
        <f>CONCATENATE(617764,",",ROW(PLCTTHDMGUTCKHGT_06614!C6),"|",COLUMN(PLCTTHDMGUTCKHGT_06614!C6),",0",",0")</f>
        <v>617764,6|3,0,0</v>
      </c>
      <c r="D6" t="str">
        <f>CONCATENATE(617620,",",ROW(PLCTTHDMGUTCKHGT_06614!D6),"|",COLUMN(PLCTTHDMGUTCKHGT_06614!D6),",0",",0")</f>
        <v>617620,6|4,0,0</v>
      </c>
      <c r="E6" t="str">
        <f>CONCATENATE(617602,",",ROW(PLCTTHDMGUTCKHGT_06614!E6),"|",COLUMN(PLCTTHDMGUTCKHGT_06614!E6),",0",",0")</f>
        <v>617602,6|5,0,0</v>
      </c>
    </row>
    <row r="7" spans="1:5" x14ac:dyDescent="0.25">
      <c r="A7" t="str">
        <f>CONCATENATE(617647,",",ROW(PLCTTHDMGUTCKHGT_06614!A7),"|",COLUMN(PLCTTHDMGUTCKHGT_06614!A7),",0",",0")</f>
        <v>617647,7|1,0,0</v>
      </c>
      <c r="B7" t="str">
        <f>CONCATENATE(617679,",",ROW(PLCTTHDMGUTCKHGT_06614!B7),"|",COLUMN(PLCTTHDMGUTCKHGT_06614!B7),",0",",0")</f>
        <v>617679,7|2,0,0</v>
      </c>
      <c r="C7" t="str">
        <f>CONCATENATE(617765,",",ROW(PLCTTHDMGUTCKHGT_06614!C7),"|",COLUMN(PLCTTHDMGUTCKHGT_06614!C7),",0",",0")</f>
        <v>617765,7|3,0,0</v>
      </c>
      <c r="D7" t="str">
        <f>CONCATENATE(617621,",",ROW(PLCTTHDMGUTCKHGT_06614!D7),"|",COLUMN(PLCTTHDMGUTCKHGT_06614!D7),",0",",0")</f>
        <v>617621,7|4,0,0</v>
      </c>
      <c r="E7" t="str">
        <f>CONCATENATE(617603,",",ROW(PLCTTHDMGUTCKHGT_06614!E7),"|",COLUMN(PLCTTHDMGUTCKHGT_06614!E7),",0",",0")</f>
        <v>617603,7|5,0,0</v>
      </c>
    </row>
    <row r="8" spans="1:5" x14ac:dyDescent="0.25">
      <c r="A8" t="str">
        <f>CONCATENATE(617648,",",ROW(PLCTTHDMGUTCKHGT_06614!A8),"|",COLUMN(PLCTTHDMGUTCKHGT_06614!A8),",0",",0")</f>
        <v>617648,8|1,0,0</v>
      </c>
      <c r="B8" t="str">
        <f>CONCATENATE(617659,",",ROW(PLCTTHDMGUTCKHGT_06614!B8),"|",COLUMN(PLCTTHDMGUTCKHGT_06614!B8),",0",",0")</f>
        <v>617659,8|2,0,0</v>
      </c>
      <c r="C8" t="str">
        <f>CONCATENATE(617650,",",ROW(PLCTTHDMGUTCKHGT_06614!C8),"|",COLUMN(PLCTTHDMGUTCKHGT_06614!C8),",0",",0")</f>
        <v>617650,8|3,0,0</v>
      </c>
      <c r="D8" t="str">
        <f>CONCATENATE(617629,",",ROW(PLCTTHDMGUTCKHGT_06614!D8),"|",COLUMN(PLCTTHDMGUTCKHGT_06614!D8),",0",",0")</f>
        <v>617629,8|4,0,0</v>
      </c>
      <c r="E8" t="str">
        <f>CONCATENATE(617708,",",ROW(PLCTTHDMGUTCKHGT_06614!E8),"|",COLUMN(PLCTTHDMGUTCKHGT_06614!E8),",0",",0")</f>
        <v>617708,8|5,0,0</v>
      </c>
    </row>
    <row r="9" spans="1:5" x14ac:dyDescent="0.25">
      <c r="A9" t="str">
        <f>CONCATENATE(617649,",",ROW(PLCTTHDMGUTCKHGT_06614!A9),"|",COLUMN(PLCTTHDMGUTCKHGT_06614!A9),",0",",0")</f>
        <v>617649,9|1,0,0</v>
      </c>
      <c r="B9" t="str">
        <f>CONCATENATE(617719,",",ROW(PLCTTHDMGUTCKHGT_06614!B9),"|",COLUMN(PLCTTHDMGUTCKHGT_06614!B9),",0",",0")</f>
        <v>617719,9|2,0,0</v>
      </c>
      <c r="C9" t="str">
        <f>CONCATENATE(617724,",",ROW(PLCTTHDMGUTCKHGT_06614!C9),"|",COLUMN(PLCTTHDMGUTCKHGT_06614!C9),",0",",0")</f>
        <v>617724,9|3,0,0</v>
      </c>
      <c r="D9" t="str">
        <f>CONCATENATE(617630,",",ROW(PLCTTHDMGUTCKHGT_06614!D9),"|",COLUMN(PLCTTHDMGUTCKHGT_06614!D9),",0",",0")</f>
        <v>617630,9|4,0,0</v>
      </c>
      <c r="E9" t="str">
        <f>CONCATENATE(617709,",",ROW(PLCTTHDMGUTCKHGT_06614!E9),"|",COLUMN(PLCTTHDMGUTCKHGT_06614!E9),",0",",0")</f>
        <v>617709,9|5,0,0</v>
      </c>
    </row>
    <row r="10" spans="1:5" x14ac:dyDescent="0.25">
      <c r="A10" t="str">
        <f>CONCATENATE(617651,",",ROW(PLCTTHDMGUTCKHGT_06614!A10),"|",COLUMN(PLCTTHDMGUTCKHGT_06614!A10),",0",",0")</f>
        <v>617651,10|1,0,0</v>
      </c>
      <c r="B10" t="str">
        <f>CONCATENATE(617720,",",ROW(PLCTTHDMGUTCKHGT_06614!B10),"|",COLUMN(PLCTTHDMGUTCKHGT_06614!B10),",0",",0")</f>
        <v>617720,10|2,0,0</v>
      </c>
      <c r="C10" t="str">
        <f>CONCATENATE(617725,",",ROW(PLCTTHDMGUTCKHGT_06614!C10),"|",COLUMN(PLCTTHDMGUTCKHGT_06614!C10),",0",",0")</f>
        <v>617725,10|3,0,0</v>
      </c>
      <c r="D10" t="str">
        <f>CONCATENATE(617631,",",ROW(PLCTTHDMGUTCKHGT_06614!D10),"|",COLUMN(PLCTTHDMGUTCKHGT_06614!D10),",0",",0")</f>
        <v>617631,10|4,0,0</v>
      </c>
      <c r="E10" t="str">
        <f>CONCATENATE(617710,",",ROW(PLCTTHDMGUTCKHGT_06614!E10),"|",COLUMN(PLCTTHDMGUTCKHGT_06614!E10),",0",",0")</f>
        <v>617710,10|5,0,0</v>
      </c>
    </row>
    <row r="11" spans="1:5" x14ac:dyDescent="0.25">
      <c r="A11" t="str">
        <f>CONCATENATE(617654,",",ROW(PLCTTHDMGUTCKHGT_06614!A11),"|",COLUMN(PLCTTHDMGUTCKHGT_06614!A11),",0",",0")</f>
        <v>617654,11|1,0,0</v>
      </c>
      <c r="B11" t="str">
        <f>CONCATENATE(617660,",",ROW(PLCTTHDMGUTCKHGT_06614!B11),"|",COLUMN(PLCTTHDMGUTCKHGT_06614!B11),",0",",0")</f>
        <v>617660,11|2,0,0</v>
      </c>
      <c r="C11" t="str">
        <f>CONCATENATE(617731,",",ROW(PLCTTHDMGUTCKHGT_06614!C11),"|",COLUMN(PLCTTHDMGUTCKHGT_06614!C11),",0",",0")</f>
        <v>617731,11|3,0,0</v>
      </c>
      <c r="D11" t="str">
        <f>CONCATENATE(617637,",",ROW(PLCTTHDMGUTCKHGT_06614!D11),"|",COLUMN(PLCTTHDMGUTCKHGT_06614!D11),",0",",0")</f>
        <v>617637,11|4,0,0</v>
      </c>
      <c r="E11" t="str">
        <f>CONCATENATE(617584,",",ROW(PLCTTHDMGUTCKHGT_06614!E11),"|",COLUMN(PLCTTHDMGUTCKHGT_06614!E11),",0",",0")</f>
        <v>617584,11|5,0,0</v>
      </c>
    </row>
    <row r="12" spans="1:5" x14ac:dyDescent="0.25">
      <c r="A12" t="str">
        <f>CONCATENATE(617652,",",ROW(PLCTTHDMGUTCKHGT_06614!A12),"|",COLUMN(PLCTTHDMGUTCKHGT_06614!A12),",0",",0")</f>
        <v>617652,12|1,0,0</v>
      </c>
      <c r="B12" t="str">
        <f>CONCATENATE(617721,",",ROW(PLCTTHDMGUTCKHGT_06614!B12),"|",COLUMN(PLCTTHDMGUTCKHGT_06614!B12),",0",",0")</f>
        <v>617721,12|2,0,0</v>
      </c>
      <c r="C12" t="str">
        <f>CONCATENATE(617726,",",ROW(PLCTTHDMGUTCKHGT_06614!C12),"|",COLUMN(PLCTTHDMGUTCKHGT_06614!C12),",0",",0")</f>
        <v>617726,12|3,0,0</v>
      </c>
      <c r="D12" t="str">
        <f>CONCATENATE(617632,",",ROW(PLCTTHDMGUTCKHGT_06614!D12),"|",COLUMN(PLCTTHDMGUTCKHGT_06614!D12),",0",",0")</f>
        <v>617632,12|4,0,0</v>
      </c>
      <c r="E12" t="str">
        <f>CONCATENATE(617711,",",ROW(PLCTTHDMGUTCKHGT_06614!E12),"|",COLUMN(PLCTTHDMGUTCKHGT_06614!E12),",0",",0")</f>
        <v>617711,12|5,0,0</v>
      </c>
    </row>
    <row r="13" spans="1:5" x14ac:dyDescent="0.25">
      <c r="A13" t="str">
        <f>CONCATENATE(617691,",",ROW(PLCTTHDMGUTCKHGT_06614!A13),"|",COLUMN(PLCTTHDMGUTCKHGT_06614!A13),",0",",0")</f>
        <v>617691,13|1,0,0</v>
      </c>
      <c r="B13" t="str">
        <f>CONCATENATE(617661,",",ROW(PLCTTHDMGUTCKHGT_06614!B13),"|",COLUMN(PLCTTHDMGUTCKHGT_06614!B13),",0",",0")</f>
        <v>617661,13|2,0,0</v>
      </c>
      <c r="C13" t="str">
        <f>CONCATENATE(617768,",",ROW(PLCTTHDMGUTCKHGT_06614!C13),"|",COLUMN(PLCTTHDMGUTCKHGT_06614!C13),",0",",0")</f>
        <v>617768,13|3,0,0</v>
      </c>
      <c r="D13" t="str">
        <f>CONCATENATE(617624,",",ROW(PLCTTHDMGUTCKHGT_06614!D13),"|",COLUMN(PLCTTHDMGUTCKHGT_06614!D13),",0",",0")</f>
        <v>617624,13|4,0,0</v>
      </c>
      <c r="E13" t="str">
        <f>CONCATENATE(617702,",",ROW(PLCTTHDMGUTCKHGT_06614!E13),"|",COLUMN(PLCTTHDMGUTCKHGT_06614!E13),",0",",0")</f>
        <v>617702,13|5,0,0</v>
      </c>
    </row>
    <row r="14" spans="1:5" x14ac:dyDescent="0.25">
      <c r="A14" t="str">
        <f>CONCATENATE(617591,",",ROW(PLCTTHDMGUTCKHGT_06614!A14),"|",COLUMN(PLCTTHDMGUTCKHGT_06614!A14),",0",",0")</f>
        <v>617591,14|1,0,0</v>
      </c>
      <c r="B14" t="str">
        <f>CONCATENATE(617662,",",ROW(PLCTTHDMGUTCKHGT_06614!B14),"|",COLUMN(PLCTTHDMGUTCKHGT_06614!B14),",0",",0")</f>
        <v>617662,14|2,0,0</v>
      </c>
      <c r="C14" t="str">
        <f>CONCATENATE(617732,",",ROW(PLCTTHDMGUTCKHGT_06614!C14),"|",COLUMN(PLCTTHDMGUTCKHGT_06614!C14),",0",",0")</f>
        <v>617732,14|3,0,0</v>
      </c>
      <c r="D14" t="str">
        <f>CONCATENATE(617638,",",ROW(PLCTTHDMGUTCKHGT_06614!D14),"|",COLUMN(PLCTTHDMGUTCKHGT_06614!D14),",0",",0")</f>
        <v>617638,14|4,0,0</v>
      </c>
      <c r="E14" t="str">
        <f>CONCATENATE(617585,",",ROW(PLCTTHDMGUTCKHGT_06614!E14),"|",COLUMN(PLCTTHDMGUTCKHGT_06614!E14),",0",",0")</f>
        <v>617585,14|5,0,0</v>
      </c>
    </row>
    <row r="15" spans="1:5" x14ac:dyDescent="0.25">
      <c r="A15" t="str">
        <f>CONCATENATE(617653,",",ROW(PLCTTHDMGUTCKHGT_06614!A15),"|",COLUMN(PLCTTHDMGUTCKHGT_06614!A15),",0",",0")</f>
        <v>617653,15|1,0,0</v>
      </c>
      <c r="B15" t="str">
        <f>CONCATENATE(617722,",",ROW(PLCTTHDMGUTCKHGT_06614!B15),"|",COLUMN(PLCTTHDMGUTCKHGT_06614!B15),",0",",0")</f>
        <v>617722,15|2,0,0</v>
      </c>
      <c r="C15" t="str">
        <f>CONCATENATE(617727,",",ROW(PLCTTHDMGUTCKHGT_06614!C15),"|",COLUMN(PLCTTHDMGUTCKHGT_06614!C15),",0",",0")</f>
        <v>617727,15|3,0,0</v>
      </c>
      <c r="D15" t="str">
        <f>CONCATENATE(617633,",",ROW(PLCTTHDMGUTCKHGT_06614!D15),"|",COLUMN(PLCTTHDMGUTCKHGT_06614!D15),",0",",0")</f>
        <v>617633,15|4,0,0</v>
      </c>
      <c r="E15" t="str">
        <f>CONCATENATE(617712,",",ROW(PLCTTHDMGUTCKHGT_06614!E15),"|",COLUMN(PLCTTHDMGUTCKHGT_06614!E15),",0",",0")</f>
        <v>617712,15|5,0,0</v>
      </c>
    </row>
    <row r="16" spans="1:5" x14ac:dyDescent="0.25">
      <c r="A16" t="str">
        <f>CONCATENATE(617592,",",ROW(PLCTTHDMGUTCKHGT_06614!A16),"|",COLUMN(PLCTTHDMGUTCKHGT_06614!A16),",0",",0")</f>
        <v>617592,16|1,0,0</v>
      </c>
      <c r="B16" t="str">
        <f>CONCATENATE(617642,",",ROW(PLCTTHDMGUTCKHGT_06614!B16),"|",COLUMN(PLCTTHDMGUTCKHGT_06614!B16),",0",",0")</f>
        <v>617642,16|2,0,0</v>
      </c>
      <c r="C16" t="str">
        <f>CONCATENATE(617723,",",ROW(PLCTTHDMGUTCKHGT_06614!C16),"|",COLUMN(PLCTTHDMGUTCKHGT_06614!C16),",0",",0")</f>
        <v>617723,16|3,0,0</v>
      </c>
      <c r="D16" t="str">
        <f>CONCATENATE(617626,",",ROW(PLCTTHDMGUTCKHGT_06614!D16),"|",COLUMN(PLCTTHDMGUTCKHGT_06614!D16),",0",",0")</f>
        <v>617626,16|4,0,0</v>
      </c>
      <c r="E16" t="str">
        <f>CONCATENATE(617704,",",ROW(PLCTTHDMGUTCKHGT_06614!E16),"|",COLUMN(PLCTTHDMGUTCKHGT_06614!E16),",0",",0")</f>
        <v>617704,16|5,0,0</v>
      </c>
    </row>
    <row r="17" spans="1:5" x14ac:dyDescent="0.25">
      <c r="A17" t="str">
        <f>CONCATENATE(617593,",",ROW(PLCTTHDMGUTCKHGT_06614!A17),"|",COLUMN(PLCTTHDMGUTCKHGT_06614!A17),",0",",0")</f>
        <v>617593,17|1,0,0</v>
      </c>
      <c r="B17" t="str">
        <f>CONCATENATE(617669,",",ROW(PLCTTHDMGUTCKHGT_06614!B17),"|",COLUMN(PLCTTHDMGUTCKHGT_06614!B17),",0",",0")</f>
        <v>617669,17|2,0,0</v>
      </c>
      <c r="C17" t="str">
        <f>CONCATENATE(617734,",",ROW(PLCTTHDMGUTCKHGT_06614!C17),"|",COLUMN(PLCTTHDMGUTCKHGT_06614!C17),",0",",0")</f>
        <v>617734,17|3,0,0</v>
      </c>
      <c r="D17" t="str">
        <f>CONCATENATE(617700,",",ROW(PLCTTHDMGUTCKHGT_06614!D17),"|",COLUMN(PLCTTHDMGUTCKHGT_06614!D17),",0",",0")</f>
        <v>617700,17|4,0,0</v>
      </c>
      <c r="E17" t="str">
        <f>CONCATENATE(617587,",",ROW(PLCTTHDMGUTCKHGT_06614!E17),"|",COLUMN(PLCTTHDMGUTCKHGT_06614!E17),",0",",0")</f>
        <v>617587,17|5,0,0</v>
      </c>
    </row>
    <row r="18" spans="1:5" x14ac:dyDescent="0.25">
      <c r="A18" t="str">
        <f>CONCATENATE(617686,",",ROW(PLCTTHDMGUTCKHGT_06614!A18),"|",COLUMN(PLCTTHDMGUTCKHGT_06614!A18),",0",",0")</f>
        <v>617686,18|1,0,0</v>
      </c>
      <c r="B18" t="str">
        <f>CONCATENATE(617681,",",ROW(PLCTTHDMGUTCKHGT_06614!B18),"|",COLUMN(PLCTTHDMGUTCKHGT_06614!B18),",0",",0")</f>
        <v>617681,18|2,0,0</v>
      </c>
      <c r="C18" t="str">
        <f>CONCATENATE(617766,",",ROW(PLCTTHDMGUTCKHGT_06614!C18),"|",COLUMN(PLCTTHDMGUTCKHGT_06614!C18),",0",",0")</f>
        <v>617766,18|3,0,0</v>
      </c>
      <c r="D18" t="str">
        <f>CONCATENATE(617622,",",ROW(PLCTTHDMGUTCKHGT_06614!D18),"|",COLUMN(PLCTTHDMGUTCKHGT_06614!D18),",0",",0")</f>
        <v>617622,18|4,0,0</v>
      </c>
      <c r="E18" t="str">
        <f>CONCATENATE(617604,",",ROW(PLCTTHDMGUTCKHGT_06614!E18),"|",COLUMN(PLCTTHDMGUTCKHGT_06614!E18),",0",",0")</f>
        <v>617604,18|5,0,0</v>
      </c>
    </row>
    <row r="19" spans="1:5" x14ac:dyDescent="0.25">
      <c r="A19" t="str">
        <f>CONCATENATE(617655,",",ROW(PLCTTHDMGUTCKHGT_06614!A19),"|",COLUMN(PLCTTHDMGUTCKHGT_06614!A19),",0",",0")</f>
        <v>617655,19|1,0,0</v>
      </c>
      <c r="B19" t="str">
        <f>CONCATENATE(617682,",",ROW(PLCTTHDMGUTCKHGT_06614!B19),"|",COLUMN(PLCTTHDMGUTCKHGT_06614!B19),",0",",0")</f>
        <v>617682,19|2,0,0</v>
      </c>
      <c r="C19" t="str">
        <f>CONCATENATE(617767,",",ROW(PLCTTHDMGUTCKHGT_06614!C19),"|",COLUMN(PLCTTHDMGUTCKHGT_06614!C19),",0",",0")</f>
        <v>617767,19|3,0,0</v>
      </c>
      <c r="D19" t="str">
        <f>CONCATENATE(617623,",",ROW(PLCTTHDMGUTCKHGT_06614!D19),"|",COLUMN(PLCTTHDMGUTCKHGT_06614!D19),",0",",0")</f>
        <v>617623,19|4,0,0</v>
      </c>
      <c r="E19" t="str">
        <f>CONCATENATE(617605,",",ROW(PLCTTHDMGUTCKHGT_06614!E19),"|",COLUMN(PLCTTHDMGUTCKHGT_06614!E19),",0",",0")</f>
        <v>617605,19|5,0,0</v>
      </c>
    </row>
    <row r="20" spans="1:5" x14ac:dyDescent="0.25">
      <c r="A20" t="str">
        <f>CONCATENATE(617696,",",ROW(PLCTTHDMGUTCKHGT_06614!A20),"|",COLUMN(PLCTTHDMGUTCKHGT_06614!A20),",0",",0")</f>
        <v>617696,20|1,0,0</v>
      </c>
      <c r="B20" t="str">
        <f>CONCATENATE(617674,",",ROW(PLCTTHDMGUTCKHGT_06614!B20),"|",COLUMN(PLCTTHDMGUTCKHGT_06614!B20),",0",",0")</f>
        <v>617674,20|2,0,0</v>
      </c>
      <c r="C20" t="str">
        <f>CONCATENATE(617761,",",ROW(PLCTTHDMGUTCKHGT_06614!C20),"|",COLUMN(PLCTTHDMGUTCKHGT_06614!C20),",0",",0")</f>
        <v>617761,20|3,0,0</v>
      </c>
      <c r="D20" t="str">
        <f>CONCATENATE(617617,",",ROW(PLCTTHDMGUTCKHGT_06614!D20),"|",COLUMN(PLCTTHDMGUTCKHGT_06614!D20),",0",",0")</f>
        <v>617617,20|4,0,0</v>
      </c>
      <c r="E20" t="str">
        <f>CONCATENATE(617747,",",ROW(PLCTTHDMGUTCKHGT_06614!E20),"|",COLUMN(PLCTTHDMGUTCKHGT_06614!E20),",0",",0")</f>
        <v>617747,20|5,0,0</v>
      </c>
    </row>
    <row r="21" spans="1:5" x14ac:dyDescent="0.25">
      <c r="A21" t="str">
        <f>CONCATENATE(617697,",",ROW(PLCTTHDMGUTCKHGT_06614!A21),"|",COLUMN(PLCTTHDMGUTCKHGT_06614!A21),",0",",0")</f>
        <v>617697,21|1,0,0</v>
      </c>
      <c r="B21" t="str">
        <f>CONCATENATE(617663,",",ROW(PLCTTHDMGUTCKHGT_06614!B21),"|",COLUMN(PLCTTHDMGUTCKHGT_06614!B21),",0",",0")</f>
        <v>617663,21|2,0,0</v>
      </c>
      <c r="C21" t="str">
        <f>CONCATENATE(617733,",",ROW(PLCTTHDMGUTCKHGT_06614!C21),"|",COLUMN(PLCTTHDMGUTCKHGT_06614!C21),",0",",0")</f>
        <v>617733,21|3,0,0</v>
      </c>
      <c r="D21" t="str">
        <f>CONCATENATE(617581,",",ROW(PLCTTHDMGUTCKHGT_06614!D21),"|",COLUMN(PLCTTHDMGUTCKHGT_06614!D21),",0",",0")</f>
        <v>617581,21|4,0,0</v>
      </c>
      <c r="E21" t="str">
        <f>CONCATENATE(617586,",",ROW(PLCTTHDMGUTCKHGT_06614!E21),"|",COLUMN(PLCTTHDMGUTCKHGT_06614!E21),",0",",0")</f>
        <v>617586,21|5,0,0</v>
      </c>
    </row>
    <row r="22" spans="1:5" x14ac:dyDescent="0.25">
      <c r="A22" t="str">
        <f>CONCATENATE(617698,",",ROW(PLCTTHDMGUTCKHGT_06614!A22),"|",COLUMN(PLCTTHDMGUTCKHGT_06614!A22),",0",",0")</f>
        <v>617698,22|1,0,0</v>
      </c>
      <c r="B22" t="str">
        <f>CONCATENATE(617643,",",ROW(PLCTTHDMGUTCKHGT_06614!B22),"|",COLUMN(PLCTTHDMGUTCKHGT_06614!B22),",0",",0")</f>
        <v>617643,22|2,0,0</v>
      </c>
      <c r="C22" t="str">
        <f>CONCATENATE(617598,",",ROW(PLCTTHDMGUTCKHGT_06614!C22),"|",COLUMN(PLCTTHDMGUTCKHGT_06614!C22),",0",",0")</f>
        <v>617598,22|3,0,0</v>
      </c>
      <c r="D22" t="str">
        <f>CONCATENATE(617627,",",ROW(PLCTTHDMGUTCKHGT_06614!D22),"|",COLUMN(PLCTTHDMGUTCKHGT_06614!D22),",0",",0")</f>
        <v>617627,22|4,0,0</v>
      </c>
      <c r="E22" t="str">
        <f>CONCATENATE(617705,",",ROW(PLCTTHDMGUTCKHGT_06614!E22),"|",COLUMN(PLCTTHDMGUTCKHGT_06614!E22),",0",",0")</f>
        <v>617705,22|5,0,0</v>
      </c>
    </row>
    <row r="23" spans="1:5" x14ac:dyDescent="0.25">
      <c r="A23" t="str">
        <f>CONCATENATE(617699,",",ROW(PLCTTHDMGUTCKHGT_06614!A23),"|",COLUMN(PLCTTHDMGUTCKHGT_06614!A23),",0",",0")</f>
        <v>617699,23|1,0,0</v>
      </c>
      <c r="B23" t="str">
        <f>CONCATENATE(617644,",",ROW(PLCTTHDMGUTCKHGT_06614!B23),"|",COLUMN(PLCTTHDMGUTCKHGT_06614!B23),",0",",0")</f>
        <v>617644,23|2,0,0</v>
      </c>
      <c r="C23" t="str">
        <f>CONCATENATE(617599,",",ROW(PLCTTHDMGUTCKHGT_06614!C23),"|",COLUMN(PLCTTHDMGUTCKHGT_06614!C23),",0",",0")</f>
        <v>617599,23|3,0,0</v>
      </c>
      <c r="D23" t="str">
        <f>CONCATENATE(617628,",",ROW(PLCTTHDMGUTCKHGT_06614!D23),"|",COLUMN(PLCTTHDMGUTCKHGT_06614!D23),",0",",0")</f>
        <v>617628,23|4,0,0</v>
      </c>
      <c r="E23" t="str">
        <f>CONCATENATE(617706,",",ROW(PLCTTHDMGUTCKHGT_06614!E23),"|",COLUMN(PLCTTHDMGUTCKHGT_06614!E23),",0",",0")</f>
        <v>617706,23|5,0,0</v>
      </c>
    </row>
    <row r="24" spans="1:5" x14ac:dyDescent="0.25">
      <c r="A24" t="str">
        <f>CONCATENATE(617689,",",ROW(PLCTTHDMGUTCKHGT_06614!A24),"|",COLUMN(PLCTTHDMGUTCKHGT_06614!A24),",0",",0")</f>
        <v>617689,24|1,0,0</v>
      </c>
      <c r="B24" t="str">
        <f>CONCATENATE(617675,",",ROW(PLCTTHDMGUTCKHGT_06614!B24),"|",COLUMN(PLCTTHDMGUTCKHGT_06614!B24),",0",",0")</f>
        <v>617675,24|2,0,0</v>
      </c>
      <c r="C24" t="str">
        <f>CONCATENATE(617762,",",ROW(PLCTTHDMGUTCKHGT_06614!C24),"|",COLUMN(PLCTTHDMGUTCKHGT_06614!C24),",0",",0")</f>
        <v>617762,24|3,0,0</v>
      </c>
      <c r="D24" t="str">
        <f>CONCATENATE(617618,",",ROW(PLCTTHDMGUTCKHGT_06614!D24),"|",COLUMN(PLCTTHDMGUTCKHGT_06614!D24),",0",",0")</f>
        <v>617618,24|4,0,0</v>
      </c>
      <c r="E24" t="str">
        <f>CONCATENATE(617600,",",ROW(PLCTTHDMGUTCKHGT_06614!E24),"|",COLUMN(PLCTTHDMGUTCKHGT_06614!E24),",0",",0")</f>
        <v>617600,24|5,0,0</v>
      </c>
    </row>
    <row r="25" spans="1:5" x14ac:dyDescent="0.25">
      <c r="A25" t="str">
        <f>CONCATENATE(617656,",",ROW(PLCTTHDMGUTCKHGT_06614!A25),"|",COLUMN(PLCTTHDMGUTCKHGT_06614!A25),",0",",0")</f>
        <v>617656,25|1,0,0</v>
      </c>
      <c r="B25" t="str">
        <f>CONCATENATE(617664,",",ROW(PLCTTHDMGUTCKHGT_06614!B25),"|",COLUMN(PLCTTHDMGUTCKHGT_06614!B25),",0",",0")</f>
        <v>617664,25|2,0,0</v>
      </c>
      <c r="C25" t="str">
        <f>CONCATENATE(617729,",",ROW(PLCTTHDMGUTCKHGT_06614!C25),"|",COLUMN(PLCTTHDMGUTCKHGT_06614!C25),",0",",0")</f>
        <v>617729,25|3,0,0</v>
      </c>
      <c r="D25" t="str">
        <f>CONCATENATE(617635,",",ROW(PLCTTHDMGUTCKHGT_06614!D25),"|",COLUMN(PLCTTHDMGUTCKHGT_06614!D25),",0",",0")</f>
        <v>617635,25|4,0,0</v>
      </c>
      <c r="E25" t="str">
        <f>CONCATENATE(617582,",",ROW(PLCTTHDMGUTCKHGT_06614!E25),"|",COLUMN(PLCTTHDMGUTCKHGT_06614!E25),",0",",0")</f>
        <v>617582,25|5,0,0</v>
      </c>
    </row>
    <row r="26" spans="1:5" x14ac:dyDescent="0.25">
      <c r="A26" t="str">
        <f>CONCATENATE(617594,",",ROW(PLCTTHDMGUTCKHGT_06614!A26),"|",COLUMN(PLCTTHDMGUTCKHGT_06614!A26),",0",",0")</f>
        <v>617594,26|1,0,0</v>
      </c>
      <c r="B26" t="str">
        <f>CONCATENATE(617645,",",ROW(PLCTTHDMGUTCKHGT_06614!B26),"|",COLUMN(PLCTTHDMGUTCKHGT_06614!B26),",0",",0")</f>
        <v>617645,26|2,0,0</v>
      </c>
      <c r="C26" t="str">
        <f>CONCATENATE(617590,",",ROW(PLCTTHDMGUTCKHGT_06614!C26),"|",COLUMN(PLCTTHDMGUTCKHGT_06614!C26),",0",",0")</f>
        <v>617590,26|3,0,0</v>
      </c>
      <c r="D26" t="str">
        <f>CONCATENATE(617589,",",ROW(PLCTTHDMGUTCKHGT_06614!D26),"|",COLUMN(PLCTTHDMGUTCKHGT_06614!D26),",0",",0")</f>
        <v>617589,26|4,0,0</v>
      </c>
      <c r="E26" t="str">
        <f>CONCATENATE(617707,",",ROW(PLCTTHDMGUTCKHGT_06614!E26),"|",COLUMN(PLCTTHDMGUTCKHGT_06614!E26),",0",",0")</f>
        <v>617707,26|5,0,0</v>
      </c>
    </row>
    <row r="27" spans="1:5" x14ac:dyDescent="0.25">
      <c r="A27" t="str">
        <f>CONCATENATE(617676,",",ROW(PLCTTHDMGUTCKHGT_06614!A27),"|",COLUMN(PLCTTHDMGUTCKHGT_06614!A27),",0",",0")</f>
        <v>617676,27|1,0,0</v>
      </c>
      <c r="B27" t="str">
        <f>CONCATENATE(617670,",",ROW(PLCTTHDMGUTCKHGT_06614!B27),"|",COLUMN(PLCTTHDMGUTCKHGT_06614!B27),",0",",0")</f>
        <v>617670,27|2,0,0</v>
      </c>
      <c r="C27" t="str">
        <f>CONCATENATE(617763,",",ROW(PLCTTHDMGUTCKHGT_06614!C27),"|",COLUMN(PLCTTHDMGUTCKHGT_06614!C27),",0",",0")</f>
        <v>617763,27|3,0,0</v>
      </c>
      <c r="D27" t="str">
        <f>CONCATENATE(617619,",",ROW(PLCTTHDMGUTCKHGT_06614!D27),"|",COLUMN(PLCTTHDMGUTCKHGT_06614!D27),",0",",0")</f>
        <v>617619,27|4,0,0</v>
      </c>
      <c r="E27" t="str">
        <f>CONCATENATE(617601,",",ROW(PLCTTHDMGUTCKHGT_06614!E27),"|",COLUMN(PLCTTHDMGUTCKHGT_06614!E27),",0",",0")</f>
        <v>617601,27|5,0,0</v>
      </c>
    </row>
    <row r="28" spans="1:5" x14ac:dyDescent="0.25">
      <c r="A28" t="str">
        <f>CONCATENATE(617692,",",ROW(PLCTTHDMGUTCKHGT_06614!A28),"|",COLUMN(PLCTTHDMGUTCKHGT_06614!A28),",0",",0")</f>
        <v>617692,28|1,0,0</v>
      </c>
      <c r="B28" t="str">
        <f>CONCATENATE(617673,",",ROW(PLCTTHDMGUTCKHGT_06614!B28),"|",COLUMN(PLCTTHDMGUTCKHGT_06614!B28),",0",",0")</f>
        <v>617673,28|2,0,0</v>
      </c>
      <c r="C28" t="str">
        <f>CONCATENATE(617760,",",ROW(PLCTTHDMGUTCKHGT_06614!C28),"|",COLUMN(PLCTTHDMGUTCKHGT_06614!C28),",0",",0")</f>
        <v>617760,28|3,0,0</v>
      </c>
      <c r="D28" t="str">
        <f>CONCATENATE(617616,",",ROW(PLCTTHDMGUTCKHGT_06614!D28),"|",COLUMN(PLCTTHDMGUTCKHGT_06614!D28),",0",",0")</f>
        <v>617616,28|4,0,0</v>
      </c>
      <c r="E28" t="str">
        <f>CONCATENATE(617746,",",ROW(PLCTTHDMGUTCKHGT_06614!E28),"|",COLUMN(PLCTTHDMGUTCKHGT_06614!E28),",0",",0")</f>
        <v>617746,28|5,0,0</v>
      </c>
    </row>
    <row r="29" spans="1:5" x14ac:dyDescent="0.25">
      <c r="A29" t="str">
        <f>CONCATENATE(617657,",",ROW(PLCTTHDMGUTCKHGT_06614!A29),"|",COLUMN(PLCTTHDMGUTCKHGT_06614!A29),",0",",0")</f>
        <v>617657,29|1,0,0</v>
      </c>
      <c r="B29" t="str">
        <f>CONCATENATE(617665,",",ROW(PLCTTHDMGUTCKHGT_06614!B29),"|",COLUMN(PLCTTHDMGUTCKHGT_06614!B29),",0",",0")</f>
        <v>617665,29|2,0,0</v>
      </c>
      <c r="C29" t="str">
        <f>CONCATENATE(617730,",",ROW(PLCTTHDMGUTCKHGT_06614!C29),"|",COLUMN(PLCTTHDMGUTCKHGT_06614!C29),",0",",0")</f>
        <v>617730,29|3,0,0</v>
      </c>
      <c r="D29" t="str">
        <f>CONCATENATE(617636,",",ROW(PLCTTHDMGUTCKHGT_06614!D29),"|",COLUMN(PLCTTHDMGUTCKHGT_06614!D29),",0",",0")</f>
        <v>617636,29|4,0,0</v>
      </c>
      <c r="E29" t="str">
        <f>CONCATENATE(617583,",",ROW(PLCTTHDMGUTCKHGT_06614!E29),"|",COLUMN(PLCTTHDMGUTCKHGT_06614!E29),",0",",0")</f>
        <v>617583,29|5,0,0</v>
      </c>
    </row>
    <row r="30" spans="1:5" x14ac:dyDescent="0.25">
      <c r="A30" t="str">
        <f>CONCATENATE(617639,",",ROW(PLCTTHDMGUTCKHGT_06614!A30),"|",COLUMN(PLCTTHDMGUTCKHGT_06614!A30),",0",",0")</f>
        <v>617639,30|1,0,0</v>
      </c>
      <c r="B30" t="str">
        <f>CONCATENATE(617666,",",ROW(PLCTTHDMGUTCKHGT_06614!B30),"|",COLUMN(PLCTTHDMGUTCKHGT_06614!B30),",0",",0")</f>
        <v>617666,30|2,0,0</v>
      </c>
      <c r="C30" t="str">
        <f>CONCATENATE(617769,",",ROW(PLCTTHDMGUTCKHGT_06614!C30),"|",COLUMN(PLCTTHDMGUTCKHGT_06614!C30),",0",",0")</f>
        <v>617769,30|3,0,0</v>
      </c>
      <c r="D30" t="str">
        <f>CONCATENATE(617625,",",ROW(PLCTTHDMGUTCKHGT_06614!D30),"|",COLUMN(PLCTTHDMGUTCKHGT_06614!D30),",0",",0")</f>
        <v>617625,30|4,0,0</v>
      </c>
      <c r="E30" t="str">
        <f>CONCATENATE(617703,",",ROW(PLCTTHDMGUTCKHGT_06614!E30),"|",COLUMN(PLCTTHDMGUTCKHGT_06614!E30),",0",",0")</f>
        <v>617703,30|5,0,0</v>
      </c>
    </row>
    <row r="31" spans="1:5" x14ac:dyDescent="0.25">
      <c r="A31" t="str">
        <f>CONCATENATE(617640,",",ROW(PLCTTHDMGUTCKHGT_06614!A31),"|",COLUMN(PLCTTHDMGUTCKHGT_06614!A31),",0",",0")</f>
        <v>617640,31|1,0,0</v>
      </c>
      <c r="B31" t="str">
        <f>CONCATENATE(617684,",",ROW(PLCTTHDMGUTCKHGT_06614!B31),"|",COLUMN(PLCTTHDMGUTCKHGT_06614!B31),",0",",0")</f>
        <v>617684,31|2,0,0</v>
      </c>
      <c r="C31" t="str">
        <f>CONCATENATE(617750,",",ROW(PLCTTHDMGUTCKHGT_06614!C31),"|",COLUMN(PLCTTHDMGUTCKHGT_06614!C31),",0",",0")</f>
        <v>617750,31|3,0,0</v>
      </c>
      <c r="D31" t="str">
        <f>CONCATENATE(617607,",",ROW(PLCTTHDMGUTCKHGT_06614!D31),"|",COLUMN(PLCTTHDMGUTCKHGT_06614!D31),",0",",0")</f>
        <v>617607,31|4,0,0</v>
      </c>
      <c r="E31" t="str">
        <f>CONCATENATE(617736,",",ROW(PLCTTHDMGUTCKHGT_06614!E31),"|",COLUMN(PLCTTHDMGUTCKHGT_06614!E31),",0",",0")</f>
        <v>617736,31|5,0,0</v>
      </c>
    </row>
    <row r="32" spans="1:5" x14ac:dyDescent="0.25">
      <c r="A32" t="str">
        <f>CONCATENATE(617658,",",ROW(PLCTTHDMGUTCKHGT_06614!A32),"|",COLUMN(PLCTTHDMGUTCKHGT_06614!A32),",0",",0")</f>
        <v>617658,32|1,0,0</v>
      </c>
      <c r="B32" t="str">
        <f>CONCATENATE(617667,",",ROW(PLCTTHDMGUTCKHGT_06614!B32),"|",COLUMN(PLCTTHDMGUTCKHGT_06614!B32),",0",",0")</f>
        <v>617667,32|2,0,0</v>
      </c>
      <c r="C32" t="str">
        <f>CONCATENATE(617751,",",ROW(PLCTTHDMGUTCKHGT_06614!C32),"|",COLUMN(PLCTTHDMGUTCKHGT_06614!C32),",0",",0")</f>
        <v>617751,32|3,0,0</v>
      </c>
      <c r="D32" t="str">
        <f>CONCATENATE(617608,",",ROW(PLCTTHDMGUTCKHGT_06614!D32),"|",COLUMN(PLCTTHDMGUTCKHGT_06614!D32),",0",",0")</f>
        <v>617608,32|4,0,0</v>
      </c>
      <c r="E32" t="str">
        <f>CONCATENATE(617737,",",ROW(PLCTTHDMGUTCKHGT_06614!E32),"|",COLUMN(PLCTTHDMGUTCKHGT_06614!E32),",0",",0")</f>
        <v>617737,32|5,0,0</v>
      </c>
    </row>
    <row r="33" spans="1:5" x14ac:dyDescent="0.25">
      <c r="A33" t="str">
        <f>CONCATENATE(617714,",",ROW(PLCTTHDMGUTCKHGT_06614!A33),"|",COLUMN(PLCTTHDMGUTCKHGT_06614!A33),",0",",0")</f>
        <v>617714,33|1,0,0</v>
      </c>
      <c r="B33" t="str">
        <f>CONCATENATE(617671,",",ROW(PLCTTHDMGUTCKHGT_06614!B33),"|",COLUMN(PLCTTHDMGUTCKHGT_06614!B33),",0",",0")</f>
        <v>617671,33|2,0,0</v>
      </c>
      <c r="C33" t="str">
        <f>CONCATENATE(617752,",",ROW(PLCTTHDMGUTCKHGT_06614!C33),"|",COLUMN(PLCTTHDMGUTCKHGT_06614!C33),",0",",0")</f>
        <v>617752,33|3,0,0</v>
      </c>
      <c r="D33" t="str">
        <f>CONCATENATE(617609,",",ROW(PLCTTHDMGUTCKHGT_06614!D33),"|",COLUMN(PLCTTHDMGUTCKHGT_06614!D33),",0",",0")</f>
        <v>617609,33|4,0,0</v>
      </c>
      <c r="E33" t="str">
        <f>CONCATENATE(617738,",",ROW(PLCTTHDMGUTCKHGT_06614!E33),"|",COLUMN(PLCTTHDMGUTCKHGT_06614!E33),",0",",0")</f>
        <v>617738,33|5,0,0</v>
      </c>
    </row>
    <row r="34" spans="1:5" x14ac:dyDescent="0.25">
      <c r="A34" t="str">
        <f>CONCATENATE(617641,",",ROW(PLCTTHDMGUTCKHGT_06614!A34),"|",COLUMN(PLCTTHDMGUTCKHGT_06614!A34),",0",",0")</f>
        <v>617641,34|1,0,0</v>
      </c>
      <c r="B34" t="str">
        <f>CONCATENATE(617685,",",ROW(PLCTTHDMGUTCKHGT_06614!B34),"|",COLUMN(PLCTTHDMGUTCKHGT_06614!B34),",0",",0")</f>
        <v>617685,34|2,0,0</v>
      </c>
      <c r="C34" t="str">
        <f>CONCATENATE(617753,",",ROW(PLCTTHDMGUTCKHGT_06614!C34),"|",COLUMN(PLCTTHDMGUTCKHGT_06614!C34),",0",",0")</f>
        <v>617753,34|3,0,0</v>
      </c>
      <c r="D34" t="str">
        <f>CONCATENATE(617606,",",ROW(PLCTTHDMGUTCKHGT_06614!D34),"|",COLUMN(PLCTTHDMGUTCKHGT_06614!D34),",0",",0")</f>
        <v>617606,34|4,0,0</v>
      </c>
      <c r="E34" t="str">
        <f>CONCATENATE(617739,",",ROW(PLCTTHDMGUTCKHGT_06614!E34),"|",COLUMN(PLCTTHDMGUTCKHGT_06614!E34),",0",",0")</f>
        <v>617739,34|5,0,0</v>
      </c>
    </row>
    <row r="35" spans="1:5" x14ac:dyDescent="0.25">
      <c r="A35" t="str">
        <f>CONCATENATE(617715,",",ROW(PLCTTHDMGUTCKHGT_06614!A35),"|",COLUMN(PLCTTHDMGUTCKHGT_06614!A35),",0",",0")</f>
        <v>617715,35|1,0,0</v>
      </c>
      <c r="B35" t="str">
        <f>CONCATENATE(617672,",",ROW(PLCTTHDMGUTCKHGT_06614!B35),"|",COLUMN(PLCTTHDMGUTCKHGT_06614!B35),",0",",0")</f>
        <v>617672,35|2,0,0</v>
      </c>
      <c r="C35" t="str">
        <f>CONCATENATE(617754,",",ROW(PLCTTHDMGUTCKHGT_06614!C35),"|",COLUMN(PLCTTHDMGUTCKHGT_06614!C35),",0",",0")</f>
        <v>617754,35|3,0,0</v>
      </c>
      <c r="D35" t="str">
        <f>CONCATENATE(617610,",",ROW(PLCTTHDMGUTCKHGT_06614!D35),"|",COLUMN(PLCTTHDMGUTCKHGT_06614!D35),",0",",0")</f>
        <v>617610,35|4,0,0</v>
      </c>
      <c r="E35" t="str">
        <f>CONCATENATE(617740,",",ROW(PLCTTHDMGUTCKHGT_06614!E35),"|",COLUMN(PLCTTHDMGUTCKHGT_06614!E35),",0",",0")</f>
        <v>617740,35|5,0,0</v>
      </c>
    </row>
    <row r="36" spans="1:5" x14ac:dyDescent="0.25">
      <c r="A36" t="str">
        <f>CONCATENATE(617716,",",ROW(PLCTTHDMGUTCKHGT_06614!A36),"|",COLUMN(PLCTTHDMGUTCKHGT_06614!A36),",0",",0")</f>
        <v>617716,36|1,0,0</v>
      </c>
      <c r="B36" t="str">
        <f>CONCATENATE(617668,",",ROW(PLCTTHDMGUTCKHGT_06614!B36),"|",COLUMN(PLCTTHDMGUTCKHGT_06614!B36),",0",",0")</f>
        <v>617668,36|2,0,0</v>
      </c>
      <c r="C36" t="str">
        <f>CONCATENATE(617755,",",ROW(PLCTTHDMGUTCKHGT_06614!C36),"|",COLUMN(PLCTTHDMGUTCKHGT_06614!C36),",0",",0")</f>
        <v>617755,36|3,0,0</v>
      </c>
      <c r="D36" t="str">
        <f>CONCATENATE(617611,",",ROW(PLCTTHDMGUTCKHGT_06614!D36),"|",COLUMN(PLCTTHDMGUTCKHGT_06614!D36),",0",",0")</f>
        <v>617611,36|4,0,0</v>
      </c>
      <c r="E36" t="str">
        <f>CONCATENATE(617741,",",ROW(PLCTTHDMGUTCKHGT_06614!E36),"|",COLUMN(PLCTTHDMGUTCKHGT_06614!E36),",0",",0")</f>
        <v>617741,36|5,0,0</v>
      </c>
    </row>
    <row r="37" spans="1:5" x14ac:dyDescent="0.25">
      <c r="A37" t="str">
        <f>CONCATENATE(617595,",",ROW(PLCTTHDMGUTCKHGT_06614!A37),"|",COLUMN(PLCTTHDMGUTCKHGT_06614!A37),",0",",0")</f>
        <v>617595,37|1,0,0</v>
      </c>
      <c r="B37" t="str">
        <f>CONCATENATE(617748,",",ROW(PLCTTHDMGUTCKHGT_06614!B37),"|",COLUMN(PLCTTHDMGUTCKHGT_06614!B37),",0",",0")</f>
        <v>617748,37|2,0,0</v>
      </c>
      <c r="C37" t="str">
        <f>CONCATENATE(617756,",",ROW(PLCTTHDMGUTCKHGT_06614!C37),"|",COLUMN(PLCTTHDMGUTCKHGT_06614!C37),",0",",0")</f>
        <v>617756,37|3,0,0</v>
      </c>
      <c r="D37" t="str">
        <f>CONCATENATE(617612,",",ROW(PLCTTHDMGUTCKHGT_06614!D37),"|",COLUMN(PLCTTHDMGUTCKHGT_06614!D37),",0",",0")</f>
        <v>617612,37|4,0,0</v>
      </c>
      <c r="E37" t="str">
        <f>CONCATENATE(617742,",",ROW(PLCTTHDMGUTCKHGT_06614!E37),"|",COLUMN(PLCTTHDMGUTCKHGT_06614!E37),",0",",0")</f>
        <v>617742,37|5,0,0</v>
      </c>
    </row>
    <row r="38" spans="1:5" x14ac:dyDescent="0.25">
      <c r="A38" t="str">
        <f>CONCATENATE(617596,",",ROW(PLCTTHDMGUTCKHGT_06614!A38),"|",COLUMN(PLCTTHDMGUTCKHGT_06614!A38),",0",",0")</f>
        <v>617596,38|1,0,0</v>
      </c>
      <c r="B38" t="str">
        <f>CONCATENATE(617693,",",ROW(PLCTTHDMGUTCKHGT_06614!B38),"|",COLUMN(PLCTTHDMGUTCKHGT_06614!B38),",0",",0")</f>
        <v>617693,38|2,0,0</v>
      </c>
      <c r="C38" t="str">
        <f>CONCATENATE(617757,",",ROW(PLCTTHDMGUTCKHGT_06614!C38),"|",COLUMN(PLCTTHDMGUTCKHGT_06614!C38),",0",",0")</f>
        <v>617757,38|3,0,0</v>
      </c>
      <c r="D38" t="str">
        <f>CONCATENATE(617613,",",ROW(PLCTTHDMGUTCKHGT_06614!D38),"|",COLUMN(PLCTTHDMGUTCKHGT_06614!D38),",0",",0")</f>
        <v>617613,38|4,0,0</v>
      </c>
      <c r="E38" t="str">
        <f>CONCATENATE(617743,",",ROW(PLCTTHDMGUTCKHGT_06614!E38),"|",COLUMN(PLCTTHDMGUTCKHGT_06614!E38),",0",",0")</f>
        <v>617743,38|5,0,0</v>
      </c>
    </row>
    <row r="39" spans="1:5" x14ac:dyDescent="0.25">
      <c r="A39" t="str">
        <f>CONCATENATE(617717,",",ROW(PLCTTHDMGUTCKHGT_06614!A39),"|",COLUMN(PLCTTHDMGUTCKHGT_06614!A39),",0",",0")</f>
        <v>617717,39|1,0,0</v>
      </c>
      <c r="B39" t="str">
        <f>CONCATENATE(617749,",",ROW(PLCTTHDMGUTCKHGT_06614!B39),"|",COLUMN(PLCTTHDMGUTCKHGT_06614!B39),",0",",0")</f>
        <v>617749,39|2,0,0</v>
      </c>
      <c r="C39" t="str">
        <f>CONCATENATE(617758,",",ROW(PLCTTHDMGUTCKHGT_06614!C39),"|",COLUMN(PLCTTHDMGUTCKHGT_06614!C39),",0",",0")</f>
        <v>617758,39|3,0,0</v>
      </c>
      <c r="D39" t="str">
        <f>CONCATENATE(617614,",",ROW(PLCTTHDMGUTCKHGT_06614!D39),"|",COLUMN(PLCTTHDMGUTCKHGT_06614!D39),",0",",0")</f>
        <v>617614,39|4,0,0</v>
      </c>
      <c r="E39" t="str">
        <f>CONCATENATE(617744,",",ROW(PLCTTHDMGUTCKHGT_06614!E39),"|",COLUMN(PLCTTHDMGUTCKHGT_06614!E39),",0",",0")</f>
        <v>617744,39|5,0,0</v>
      </c>
    </row>
    <row r="40" spans="1:5" x14ac:dyDescent="0.25">
      <c r="A40" t="str">
        <f>CONCATENATE(617718,",",ROW(PLCTTHDMGUTCKHGT_06614!A40),"|",COLUMN(PLCTTHDMGUTCKHGT_06614!A40),",0",",0")</f>
        <v>617718,40|1,0,0</v>
      </c>
      <c r="B40" t="str">
        <f>CONCATENATE(617687,",",ROW(PLCTTHDMGUTCKHGT_06614!B40),"|",COLUMN(PLCTTHDMGUTCKHGT_06614!B40),",0",",0")</f>
        <v>617687,40|2,0,0</v>
      </c>
      <c r="C40" t="str">
        <f>CONCATENATE(617759,",",ROW(PLCTTHDMGUTCKHGT_06614!C40),"|",COLUMN(PLCTTHDMGUTCKHGT_06614!C40),",0",",0")</f>
        <v>617759,40|3,0,0</v>
      </c>
      <c r="D40" t="str">
        <f>CONCATENATE(617615,",",ROW(PLCTTHDMGUTCKHGT_06614!D40),"|",COLUMN(PLCTTHDMGUTCKHGT_06614!D40),",0",",0")</f>
        <v>617615,40|4,0,0</v>
      </c>
      <c r="E40" t="str">
        <f>CONCATENATE(617745,",",ROW(PLCTTHDMGUTCKHGT_06614!E40),"|",COLUMN(PLCTTHDMGUTCKHGT_06614!E40),",0",",0")</f>
        <v>617745,40|5,0,0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9"/>
  <sheetViews>
    <sheetView zoomScale="85" zoomScaleNormal="85" workbookViewId="0">
      <selection activeCell="M9" sqref="M9"/>
    </sheetView>
  </sheetViews>
  <sheetFormatPr defaultRowHeight="15" x14ac:dyDescent="0.25"/>
  <cols>
    <col min="1" max="1" width="31.28515625" bestFit="1" customWidth="1"/>
    <col min="2" max="2" width="12.5703125" customWidth="1"/>
    <col min="3" max="10" width="22" customWidth="1"/>
    <col min="11" max="11" width="14.85546875" bestFit="1" customWidth="1"/>
  </cols>
  <sheetData>
    <row r="1" spans="1:11" ht="20.25" x14ac:dyDescent="0.3">
      <c r="A1" s="1633" t="s">
        <v>22</v>
      </c>
      <c r="B1" s="1633" t="s">
        <v>5</v>
      </c>
      <c r="C1" s="1633" t="s">
        <v>5</v>
      </c>
      <c r="D1" s="1633" t="s">
        <v>5</v>
      </c>
      <c r="E1" s="1633" t="s">
        <v>5</v>
      </c>
      <c r="F1" s="1633" t="s">
        <v>5</v>
      </c>
      <c r="G1" s="1633" t="s">
        <v>5</v>
      </c>
      <c r="H1" s="1633" t="s">
        <v>5</v>
      </c>
      <c r="I1" s="1633" t="s">
        <v>5</v>
      </c>
      <c r="J1" s="1633" t="s">
        <v>5</v>
      </c>
      <c r="K1" s="1633" t="s">
        <v>5</v>
      </c>
    </row>
    <row r="2" spans="1:11" ht="16.5" x14ac:dyDescent="0.25">
      <c r="A2" s="2336" t="s">
        <v>768</v>
      </c>
      <c r="B2" s="1975" t="s">
        <v>5</v>
      </c>
      <c r="C2" s="1975" t="s">
        <v>5</v>
      </c>
      <c r="D2" s="1975" t="s">
        <v>5</v>
      </c>
      <c r="E2" s="1975" t="s">
        <v>5</v>
      </c>
      <c r="F2" s="1975" t="s">
        <v>5</v>
      </c>
      <c r="G2" s="1975" t="s">
        <v>5</v>
      </c>
      <c r="H2" s="1975" t="s">
        <v>5</v>
      </c>
      <c r="I2" s="1975" t="s">
        <v>5</v>
      </c>
      <c r="J2" s="1975" t="s">
        <v>5</v>
      </c>
      <c r="K2" s="1975" t="s">
        <v>5</v>
      </c>
    </row>
    <row r="3" spans="1:11" ht="18.75" x14ac:dyDescent="0.3">
      <c r="A3" s="1634" t="s">
        <v>505</v>
      </c>
      <c r="B3" s="1635" t="s">
        <v>5</v>
      </c>
      <c r="C3" s="1635" t="s">
        <v>5</v>
      </c>
      <c r="D3" s="1635" t="s">
        <v>5</v>
      </c>
      <c r="E3" s="1635" t="s">
        <v>5</v>
      </c>
      <c r="F3" s="1635" t="s">
        <v>5</v>
      </c>
      <c r="G3" s="1635" t="s">
        <v>5</v>
      </c>
      <c r="H3" s="1635" t="s">
        <v>5</v>
      </c>
      <c r="I3" s="1635" t="s">
        <v>5</v>
      </c>
      <c r="J3" s="1635" t="s">
        <v>5</v>
      </c>
      <c r="K3" s="1635" t="s">
        <v>5</v>
      </c>
    </row>
    <row r="4" spans="1:11" x14ac:dyDescent="0.25">
      <c r="A4" s="1631" t="s">
        <v>386</v>
      </c>
      <c r="B4" s="1631" t="s">
        <v>32</v>
      </c>
      <c r="C4" s="1631" t="s">
        <v>717</v>
      </c>
      <c r="D4" s="1632" t="s">
        <v>5</v>
      </c>
      <c r="E4" s="1631" t="s">
        <v>714</v>
      </c>
      <c r="F4" s="1632" t="s">
        <v>5</v>
      </c>
      <c r="G4" s="1632" t="s">
        <v>5</v>
      </c>
      <c r="H4" s="1632" t="s">
        <v>5</v>
      </c>
      <c r="I4" s="1631" t="s">
        <v>716</v>
      </c>
      <c r="J4" s="1632" t="s">
        <v>5</v>
      </c>
      <c r="K4" s="1631" t="s">
        <v>715</v>
      </c>
    </row>
    <row r="5" spans="1:11" x14ac:dyDescent="0.25">
      <c r="A5" s="1632" t="s">
        <v>5</v>
      </c>
      <c r="B5" s="1632" t="s">
        <v>5</v>
      </c>
      <c r="C5" s="1631" t="s">
        <v>712</v>
      </c>
      <c r="D5" s="1631" t="s">
        <v>713</v>
      </c>
      <c r="E5" s="1631" t="s">
        <v>712</v>
      </c>
      <c r="F5" s="1632" t="s">
        <v>5</v>
      </c>
      <c r="G5" s="1631" t="s">
        <v>713</v>
      </c>
      <c r="H5" s="1632" t="s">
        <v>5</v>
      </c>
      <c r="I5" s="1631" t="s">
        <v>712</v>
      </c>
      <c r="J5" s="1631" t="s">
        <v>713</v>
      </c>
      <c r="K5" s="1632" t="s">
        <v>5</v>
      </c>
    </row>
    <row r="6" spans="1:11" ht="18.75" x14ac:dyDescent="0.25">
      <c r="A6" s="1632" t="s">
        <v>5</v>
      </c>
      <c r="B6" s="1632" t="s">
        <v>5</v>
      </c>
      <c r="C6" s="1632" t="s">
        <v>5</v>
      </c>
      <c r="D6" s="1632" t="s">
        <v>5</v>
      </c>
      <c r="E6" s="1536" t="s">
        <v>719</v>
      </c>
      <c r="F6" s="1536" t="s">
        <v>718</v>
      </c>
      <c r="G6" s="1536" t="s">
        <v>719</v>
      </c>
      <c r="H6" s="1536" t="s">
        <v>718</v>
      </c>
      <c r="I6" s="1632" t="s">
        <v>5</v>
      </c>
      <c r="J6" s="1632" t="s">
        <v>5</v>
      </c>
      <c r="K6" s="1632" t="s">
        <v>5</v>
      </c>
    </row>
    <row r="7" spans="1:11" ht="49.5" x14ac:dyDescent="0.25">
      <c r="A7" s="1568" t="s">
        <v>736</v>
      </c>
      <c r="B7" s="1572"/>
      <c r="C7" s="1592" t="s">
        <v>5</v>
      </c>
      <c r="D7" s="1593" t="s">
        <v>5</v>
      </c>
      <c r="E7" s="1594" t="s">
        <v>5</v>
      </c>
      <c r="F7" s="1613" t="s">
        <v>5</v>
      </c>
      <c r="G7" s="1606" t="s">
        <v>5</v>
      </c>
      <c r="H7" s="1571" t="s">
        <v>5</v>
      </c>
      <c r="I7" s="1605" t="s">
        <v>5</v>
      </c>
      <c r="J7" s="1555" t="s">
        <v>5</v>
      </c>
      <c r="K7" s="1583" t="s">
        <v>742</v>
      </c>
    </row>
    <row r="8" spans="1:11" ht="33" x14ac:dyDescent="0.25">
      <c r="A8" s="1563" t="s">
        <v>731</v>
      </c>
      <c r="B8" s="1573"/>
      <c r="C8" s="2337">
        <v>1648006180000</v>
      </c>
      <c r="D8" s="2338">
        <v>1648006180000</v>
      </c>
      <c r="E8" s="2339">
        <v>0</v>
      </c>
      <c r="F8" s="2340">
        <v>0</v>
      </c>
      <c r="G8" s="2341">
        <v>0</v>
      </c>
      <c r="H8" s="2342">
        <v>0</v>
      </c>
      <c r="I8" s="2343">
        <v>1648006180000</v>
      </c>
      <c r="J8" s="2344">
        <v>1648006180000</v>
      </c>
      <c r="K8" s="1580" t="s">
        <v>739</v>
      </c>
    </row>
    <row r="9" spans="1:11" ht="49.5" x14ac:dyDescent="0.25">
      <c r="A9" s="1611" t="s">
        <v>764</v>
      </c>
      <c r="B9" s="1574"/>
      <c r="C9" s="2345">
        <v>1648006180000</v>
      </c>
      <c r="D9" s="2346">
        <v>1648006180000</v>
      </c>
      <c r="E9" s="2347">
        <v>0</v>
      </c>
      <c r="F9" s="2348">
        <v>0</v>
      </c>
      <c r="G9" s="2349">
        <v>0</v>
      </c>
      <c r="H9" s="2350">
        <v>0</v>
      </c>
      <c r="I9" s="2351">
        <v>1648006180000</v>
      </c>
      <c r="J9" s="2352">
        <v>1648006180000</v>
      </c>
      <c r="K9" s="1581" t="s">
        <v>740</v>
      </c>
    </row>
    <row r="10" spans="1:11" ht="33" x14ac:dyDescent="0.25">
      <c r="A10" s="1564" t="s">
        <v>732</v>
      </c>
      <c r="B10" s="1575"/>
      <c r="C10" s="2353" t="s">
        <v>5</v>
      </c>
      <c r="D10" s="2354" t="s">
        <v>5</v>
      </c>
      <c r="E10" s="2355" t="s">
        <v>5</v>
      </c>
      <c r="F10" s="2356" t="s">
        <v>5</v>
      </c>
      <c r="G10" s="2357" t="s">
        <v>5</v>
      </c>
      <c r="H10" s="2358" t="s">
        <v>5</v>
      </c>
      <c r="I10" s="2359" t="s">
        <v>5</v>
      </c>
      <c r="J10" s="2360" t="s">
        <v>5</v>
      </c>
      <c r="K10" s="1582" t="s">
        <v>741</v>
      </c>
    </row>
    <row r="11" spans="1:11" ht="33" x14ac:dyDescent="0.25">
      <c r="A11" s="1599" t="s">
        <v>754</v>
      </c>
      <c r="B11" s="1576"/>
      <c r="C11" s="2361" t="s">
        <v>5</v>
      </c>
      <c r="D11" s="2362" t="s">
        <v>5</v>
      </c>
      <c r="E11" s="2363" t="s">
        <v>5</v>
      </c>
      <c r="F11" s="2364" t="s">
        <v>5</v>
      </c>
      <c r="G11" s="2365" t="s">
        <v>5</v>
      </c>
      <c r="H11" s="2366" t="s">
        <v>5</v>
      </c>
      <c r="I11" s="2367" t="s">
        <v>5</v>
      </c>
      <c r="J11" s="2368" t="s">
        <v>5</v>
      </c>
      <c r="K11" s="1556" t="s">
        <v>724</v>
      </c>
    </row>
    <row r="12" spans="1:11" ht="49.5" x14ac:dyDescent="0.25">
      <c r="A12" s="1600" t="s">
        <v>755</v>
      </c>
      <c r="B12" s="1577"/>
      <c r="C12" s="2369" t="s">
        <v>5</v>
      </c>
      <c r="D12" s="2370" t="s">
        <v>5</v>
      </c>
      <c r="E12" s="2371" t="s">
        <v>5</v>
      </c>
      <c r="F12" s="2372" t="s">
        <v>5</v>
      </c>
      <c r="G12" s="2373" t="s">
        <v>5</v>
      </c>
      <c r="H12" s="2374" t="s">
        <v>5</v>
      </c>
      <c r="I12" s="2375" t="s">
        <v>5</v>
      </c>
      <c r="J12" s="2376" t="s">
        <v>5</v>
      </c>
      <c r="K12" s="1557" t="s">
        <v>725</v>
      </c>
    </row>
    <row r="13" spans="1:11" ht="33" x14ac:dyDescent="0.25">
      <c r="A13" s="1601" t="s">
        <v>756</v>
      </c>
      <c r="B13" s="1578"/>
      <c r="C13" s="2377" t="s">
        <v>5</v>
      </c>
      <c r="D13" s="2378" t="s">
        <v>5</v>
      </c>
      <c r="E13" s="2379" t="s">
        <v>5</v>
      </c>
      <c r="F13" s="2380" t="s">
        <v>5</v>
      </c>
      <c r="G13" s="2381" t="s">
        <v>5</v>
      </c>
      <c r="H13" s="2382" t="s">
        <v>5</v>
      </c>
      <c r="I13" s="2383" t="s">
        <v>5</v>
      </c>
      <c r="J13" s="2384" t="s">
        <v>5</v>
      </c>
      <c r="K13" s="1584" t="s">
        <v>743</v>
      </c>
    </row>
    <row r="14" spans="1:11" ht="33" x14ac:dyDescent="0.25">
      <c r="A14" s="1565" t="s">
        <v>733</v>
      </c>
      <c r="B14" s="1579"/>
      <c r="C14" s="2385" t="s">
        <v>5</v>
      </c>
      <c r="D14" s="2386" t="s">
        <v>5</v>
      </c>
      <c r="E14" s="2387" t="s">
        <v>5</v>
      </c>
      <c r="F14" s="2388" t="s">
        <v>5</v>
      </c>
      <c r="G14" s="2389" t="s">
        <v>5</v>
      </c>
      <c r="H14" s="2390" t="s">
        <v>5</v>
      </c>
      <c r="I14" s="2391" t="s">
        <v>5</v>
      </c>
      <c r="J14" s="2392" t="s">
        <v>5</v>
      </c>
      <c r="K14" s="1558" t="s">
        <v>726</v>
      </c>
    </row>
    <row r="15" spans="1:11" ht="49.5" x14ac:dyDescent="0.25">
      <c r="A15" s="1570" t="s">
        <v>738</v>
      </c>
      <c r="B15" s="1541"/>
      <c r="C15" s="2393" t="s">
        <v>5</v>
      </c>
      <c r="D15" s="2394" t="s">
        <v>5</v>
      </c>
      <c r="E15" s="2395" t="s">
        <v>5</v>
      </c>
      <c r="F15" s="2396" t="s">
        <v>5</v>
      </c>
      <c r="G15" s="2397" t="s">
        <v>5</v>
      </c>
      <c r="H15" s="2398" t="s">
        <v>5</v>
      </c>
      <c r="I15" s="2399" t="s">
        <v>5</v>
      </c>
      <c r="J15" s="2400" t="s">
        <v>5</v>
      </c>
      <c r="K15" s="1585" t="s">
        <v>744</v>
      </c>
    </row>
    <row r="16" spans="1:11" ht="49.5" x14ac:dyDescent="0.25">
      <c r="A16" s="1607" t="s">
        <v>760</v>
      </c>
      <c r="B16" s="1542"/>
      <c r="C16" s="2401" t="s">
        <v>5</v>
      </c>
      <c r="D16" s="2402" t="s">
        <v>5</v>
      </c>
      <c r="E16" s="2403" t="s">
        <v>5</v>
      </c>
      <c r="F16" s="2404" t="s">
        <v>5</v>
      </c>
      <c r="G16" s="2405" t="s">
        <v>5</v>
      </c>
      <c r="H16" s="2406" t="s">
        <v>5</v>
      </c>
      <c r="I16" s="2407" t="s">
        <v>5</v>
      </c>
      <c r="J16" s="2408" t="s">
        <v>5</v>
      </c>
      <c r="K16" s="1586" t="s">
        <v>745</v>
      </c>
    </row>
    <row r="17" spans="1:11" ht="49.5" x14ac:dyDescent="0.25">
      <c r="A17" s="1602" t="s">
        <v>757</v>
      </c>
      <c r="B17" s="1543"/>
      <c r="C17" s="2409" t="s">
        <v>5</v>
      </c>
      <c r="D17" s="2410" t="s">
        <v>5</v>
      </c>
      <c r="E17" s="2411" t="s">
        <v>5</v>
      </c>
      <c r="F17" s="2412" t="s">
        <v>5</v>
      </c>
      <c r="G17" s="2413" t="s">
        <v>5</v>
      </c>
      <c r="H17" s="2414" t="s">
        <v>5</v>
      </c>
      <c r="I17" s="2415" t="s">
        <v>5</v>
      </c>
      <c r="J17" s="2416" t="s">
        <v>5</v>
      </c>
      <c r="K17" s="1537" t="s">
        <v>720</v>
      </c>
    </row>
    <row r="18" spans="1:11" ht="33" x14ac:dyDescent="0.25">
      <c r="A18" s="1566" t="s">
        <v>734</v>
      </c>
      <c r="B18" s="1544"/>
      <c r="C18" s="2417" t="s">
        <v>5</v>
      </c>
      <c r="D18" s="2418" t="s">
        <v>5</v>
      </c>
      <c r="E18" s="2419" t="s">
        <v>5</v>
      </c>
      <c r="F18" s="2420" t="s">
        <v>5</v>
      </c>
      <c r="G18" s="2421" t="s">
        <v>5</v>
      </c>
      <c r="H18" s="2422" t="s">
        <v>5</v>
      </c>
      <c r="I18" s="2423" t="s">
        <v>5</v>
      </c>
      <c r="J18" s="2424" t="s">
        <v>5</v>
      </c>
      <c r="K18" s="1538" t="s">
        <v>721</v>
      </c>
    </row>
    <row r="19" spans="1:11" ht="49.5" x14ac:dyDescent="0.25">
      <c r="A19" s="1610" t="s">
        <v>763</v>
      </c>
      <c r="B19" s="1545"/>
      <c r="C19" s="2425" t="s">
        <v>5</v>
      </c>
      <c r="D19" s="2426" t="s">
        <v>5</v>
      </c>
      <c r="E19" s="2427" t="s">
        <v>5</v>
      </c>
      <c r="F19" s="2428" t="s">
        <v>5</v>
      </c>
      <c r="G19" s="2429" t="s">
        <v>5</v>
      </c>
      <c r="H19" s="2430" t="s">
        <v>5</v>
      </c>
      <c r="I19" s="2431" t="s">
        <v>5</v>
      </c>
      <c r="J19" s="2432" t="s">
        <v>5</v>
      </c>
      <c r="K19" s="1559" t="s">
        <v>727</v>
      </c>
    </row>
    <row r="20" spans="1:11" ht="33" x14ac:dyDescent="0.25">
      <c r="A20" s="1603" t="s">
        <v>758</v>
      </c>
      <c r="B20" s="1546"/>
      <c r="C20" s="2433">
        <v>319556110170</v>
      </c>
      <c r="D20" s="2434">
        <v>330785290044</v>
      </c>
      <c r="E20" s="2435">
        <v>29953886974</v>
      </c>
      <c r="F20" s="2436">
        <v>19579782392</v>
      </c>
      <c r="G20" s="2437">
        <v>0</v>
      </c>
      <c r="H20" s="2438">
        <v>157486049561</v>
      </c>
      <c r="I20" s="2439">
        <v>329930214752</v>
      </c>
      <c r="J20" s="2440">
        <v>173299240483</v>
      </c>
      <c r="K20" s="1560" t="s">
        <v>728</v>
      </c>
    </row>
    <row r="21" spans="1:11" ht="49.5" x14ac:dyDescent="0.25">
      <c r="A21" s="1595" t="s">
        <v>751</v>
      </c>
      <c r="B21" s="1547"/>
      <c r="C21" s="2441">
        <v>326017771915</v>
      </c>
      <c r="D21" s="2442">
        <v>252476574844</v>
      </c>
      <c r="E21" s="2443">
        <v>0</v>
      </c>
      <c r="F21" s="2444">
        <v>19579782392</v>
      </c>
      <c r="G21" s="2445">
        <v>0</v>
      </c>
      <c r="H21" s="2446">
        <v>14851432560</v>
      </c>
      <c r="I21" s="2447">
        <v>306437989523</v>
      </c>
      <c r="J21" s="2448">
        <v>237625142284</v>
      </c>
      <c r="K21" s="1587" t="s">
        <v>746</v>
      </c>
    </row>
    <row r="22" spans="1:11" ht="33" x14ac:dyDescent="0.25">
      <c r="A22" s="1604" t="s">
        <v>759</v>
      </c>
      <c r="B22" s="1548"/>
      <c r="C22" s="2449">
        <v>-6461661745</v>
      </c>
      <c r="D22" s="2450">
        <v>78308715200</v>
      </c>
      <c r="E22" s="2451">
        <v>29953886974</v>
      </c>
      <c r="F22" s="2452">
        <v>0</v>
      </c>
      <c r="G22" s="2453">
        <v>0</v>
      </c>
      <c r="H22" s="2454">
        <v>142634617001</v>
      </c>
      <c r="I22" s="2455">
        <v>23492225229</v>
      </c>
      <c r="J22" s="2456">
        <v>-64325901801</v>
      </c>
      <c r="K22" s="1561" t="s">
        <v>729</v>
      </c>
    </row>
    <row r="23" spans="1:11" ht="33" x14ac:dyDescent="0.25">
      <c r="A23" s="1567" t="s">
        <v>735</v>
      </c>
      <c r="B23" s="1549"/>
      <c r="C23" s="2457">
        <v>1967562290170</v>
      </c>
      <c r="D23" s="2458">
        <v>1978791470044</v>
      </c>
      <c r="E23" s="2459">
        <v>29953886974</v>
      </c>
      <c r="F23" s="2460">
        <v>19579782392</v>
      </c>
      <c r="G23" s="2461">
        <v>0</v>
      </c>
      <c r="H23" s="2462">
        <v>157486049561</v>
      </c>
      <c r="I23" s="2463">
        <v>1977936394752</v>
      </c>
      <c r="J23" s="2464">
        <v>1821305420483</v>
      </c>
      <c r="K23" s="1588" t="s">
        <v>747</v>
      </c>
    </row>
    <row r="24" spans="1:11" ht="33" x14ac:dyDescent="0.25">
      <c r="A24" s="1608" t="s">
        <v>761</v>
      </c>
      <c r="B24" s="1550"/>
      <c r="C24" s="2465" t="s">
        <v>5</v>
      </c>
      <c r="D24" s="2466" t="s">
        <v>5</v>
      </c>
      <c r="E24" s="2467" t="s">
        <v>5</v>
      </c>
      <c r="F24" s="2468" t="s">
        <v>5</v>
      </c>
      <c r="G24" s="2469" t="s">
        <v>5</v>
      </c>
      <c r="H24" s="2470" t="s">
        <v>5</v>
      </c>
      <c r="I24" s="2471" t="s">
        <v>5</v>
      </c>
      <c r="J24" s="2472" t="s">
        <v>5</v>
      </c>
      <c r="K24" s="1539" t="s">
        <v>722</v>
      </c>
    </row>
    <row r="25" spans="1:11" ht="49.5" x14ac:dyDescent="0.25">
      <c r="A25" s="1609" t="s">
        <v>762</v>
      </c>
      <c r="B25" s="1551"/>
      <c r="C25" s="2473" t="s">
        <v>5</v>
      </c>
      <c r="D25" s="2474" t="s">
        <v>5</v>
      </c>
      <c r="E25" s="2475" t="s">
        <v>5</v>
      </c>
      <c r="F25" s="2476" t="s">
        <v>5</v>
      </c>
      <c r="G25" s="2477" t="s">
        <v>5</v>
      </c>
      <c r="H25" s="2478" t="s">
        <v>5</v>
      </c>
      <c r="I25" s="2479" t="s">
        <v>5</v>
      </c>
      <c r="J25" s="2480" t="s">
        <v>5</v>
      </c>
      <c r="K25" s="1589" t="s">
        <v>748</v>
      </c>
    </row>
    <row r="26" spans="1:11" ht="49.5" x14ac:dyDescent="0.25">
      <c r="A26" s="1596" t="s">
        <v>752</v>
      </c>
      <c r="B26" s="1552"/>
      <c r="C26" s="2481" t="s">
        <v>5</v>
      </c>
      <c r="D26" s="2482" t="s">
        <v>5</v>
      </c>
      <c r="E26" s="2483" t="s">
        <v>5</v>
      </c>
      <c r="F26" s="2484" t="s">
        <v>5</v>
      </c>
      <c r="G26" s="2485" t="s">
        <v>5</v>
      </c>
      <c r="H26" s="2486" t="s">
        <v>5</v>
      </c>
      <c r="I26" s="2487" t="s">
        <v>5</v>
      </c>
      <c r="J26" s="2488" t="s">
        <v>5</v>
      </c>
      <c r="K26" s="1562" t="s">
        <v>730</v>
      </c>
    </row>
    <row r="27" spans="1:11" ht="49.5" x14ac:dyDescent="0.25">
      <c r="A27" s="1597" t="s">
        <v>753</v>
      </c>
      <c r="B27" s="1553"/>
      <c r="C27" s="2489" t="s">
        <v>5</v>
      </c>
      <c r="D27" s="2490" t="s">
        <v>5</v>
      </c>
      <c r="E27" s="2491" t="s">
        <v>5</v>
      </c>
      <c r="F27" s="2492" t="s">
        <v>5</v>
      </c>
      <c r="G27" s="2493" t="s">
        <v>5</v>
      </c>
      <c r="H27" s="2494" t="s">
        <v>5</v>
      </c>
      <c r="I27" s="2495" t="s">
        <v>5</v>
      </c>
      <c r="J27" s="2496" t="s">
        <v>5</v>
      </c>
      <c r="K27" s="1590" t="s">
        <v>749</v>
      </c>
    </row>
    <row r="28" spans="1:11" ht="33" x14ac:dyDescent="0.25">
      <c r="A28" s="1569" t="s">
        <v>737</v>
      </c>
      <c r="B28" s="1554"/>
      <c r="C28" s="2497" t="s">
        <v>5</v>
      </c>
      <c r="D28" s="2498" t="s">
        <v>5</v>
      </c>
      <c r="E28" s="2499" t="s">
        <v>5</v>
      </c>
      <c r="F28" s="2500" t="s">
        <v>5</v>
      </c>
      <c r="G28" s="2501" t="s">
        <v>5</v>
      </c>
      <c r="H28" s="2502" t="s">
        <v>5</v>
      </c>
      <c r="I28" s="2503" t="s">
        <v>5</v>
      </c>
      <c r="J28" s="2504" t="s">
        <v>5</v>
      </c>
      <c r="K28" s="1540" t="s">
        <v>723</v>
      </c>
    </row>
    <row r="29" spans="1:11" ht="33" x14ac:dyDescent="0.25">
      <c r="A29" s="1598" t="s">
        <v>735</v>
      </c>
      <c r="B29" s="1612"/>
      <c r="C29" s="2505" t="s">
        <v>5</v>
      </c>
      <c r="D29" s="2506" t="s">
        <v>5</v>
      </c>
      <c r="E29" s="2507" t="s">
        <v>5</v>
      </c>
      <c r="F29" s="2508" t="s">
        <v>5</v>
      </c>
      <c r="G29" s="2509" t="s">
        <v>5</v>
      </c>
      <c r="H29" s="2510" t="s">
        <v>5</v>
      </c>
      <c r="I29" s="2511" t="s">
        <v>5</v>
      </c>
      <c r="J29" s="2512" t="s">
        <v>5</v>
      </c>
      <c r="K29" s="1591" t="s">
        <v>750</v>
      </c>
    </row>
  </sheetData>
  <mergeCells count="15">
    <mergeCell ref="B4:B6"/>
    <mergeCell ref="A4:A6"/>
    <mergeCell ref="A1:K1"/>
    <mergeCell ref="A2:K2"/>
    <mergeCell ref="A3:K3"/>
    <mergeCell ref="J5:J6"/>
    <mergeCell ref="E4:H4"/>
    <mergeCell ref="K4:K6"/>
    <mergeCell ref="I4:J4"/>
    <mergeCell ref="C4:D4"/>
    <mergeCell ref="I5:I6"/>
    <mergeCell ref="G5:H5"/>
    <mergeCell ref="D5:D6"/>
    <mergeCell ref="E5:F5"/>
    <mergeCell ref="C5:C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7:K29"/>
  <sheetViews>
    <sheetView workbookViewId="0"/>
  </sheetViews>
  <sheetFormatPr defaultRowHeight="15" x14ac:dyDescent="0.25"/>
  <cols>
    <col min="1" max="1" width="1" style="437" bestFit="1" customWidth="1"/>
    <col min="2" max="11" width="1" bestFit="1" customWidth="1"/>
  </cols>
  <sheetData>
    <row r="7" spans="1:11" x14ac:dyDescent="0.25">
      <c r="A7" t="str">
        <f>CONCATENATE(618422,",",ROW(BCTHBDVCSH_06615!A7),"|",COLUMN(BCTHBDVCSH_06615!A7),",0",",0")</f>
        <v>618422,7|1,0,0</v>
      </c>
      <c r="B7" t="str">
        <f>CONCATENATE(618443,",",ROW(BCTHBDVCSH_06615!B7),"|",COLUMN(BCTHBDVCSH_06615!B7),",0",",0")</f>
        <v>618443,7|2,0,0</v>
      </c>
      <c r="C7" t="str">
        <f>CONCATENATE(618229,",",ROW(BCTHBDVCSH_06615!C7),"|",COLUMN(BCTHBDVCSH_06615!C7),",0",",0")</f>
        <v>618229,7|3,0,0</v>
      </c>
      <c r="D7" t="str">
        <f>CONCATENATE(618234,",",ROW(BCTHBDVCSH_06615!D7),"|",COLUMN(BCTHBDVCSH_06615!D7),",0",",0")</f>
        <v>618234,7|4,0,0</v>
      </c>
      <c r="E7" t="str">
        <f>CONCATENATE(618267,",",ROW(BCTHBDVCSH_06615!E7),"|",COLUMN(BCTHBDVCSH_06615!E7),",0",",0")</f>
        <v>618267,7|5,0,0</v>
      </c>
      <c r="F7" t="str">
        <f>CONCATENATE(618347,",",ROW(BCTHBDVCSH_06615!F7),"|",COLUMN(BCTHBDVCSH_06615!F7),",0",",0")</f>
        <v>618347,7|6,0,0</v>
      </c>
      <c r="G7" t="str">
        <f>CONCATENATE(618324,",",ROW(BCTHBDVCSH_06615!G7),"|",COLUMN(BCTHBDVCSH_06615!G7),",0",",0")</f>
        <v>618324,7|7,0,0</v>
      </c>
      <c r="H7" t="str">
        <f>CONCATENATE(618436,",",ROW(BCTHBDVCSH_06615!H7),"|",COLUMN(BCTHBDVCSH_06615!H7),",0",",0")</f>
        <v>618436,7|8,0,0</v>
      </c>
      <c r="I7" t="str">
        <f>CONCATENATE(618295,",",ROW(BCTHBDVCSH_06615!I7),"|",COLUMN(BCTHBDVCSH_06615!I7),",0",",0")</f>
        <v>618295,7|9,0,0</v>
      </c>
      <c r="J7" t="str">
        <f>CONCATENATE(618386,",",ROW(BCTHBDVCSH_06615!J7),"|",COLUMN(BCTHBDVCSH_06615!J7),",0",",0")</f>
        <v>618386,7|10,0,0</v>
      </c>
      <c r="K7" t="str">
        <f>CONCATENATE(618220,",",ROW(BCTHBDVCSH_06615!K7),"|",COLUMN(BCTHBDVCSH_06615!K7),",0",",0")</f>
        <v>618220,7|11,0,0</v>
      </c>
    </row>
    <row r="8" spans="1:11" x14ac:dyDescent="0.25">
      <c r="A8" t="str">
        <f>CONCATENATE(618417,",",ROW(BCTHBDVCSH_06615!A8),"|",COLUMN(BCTHBDVCSH_06615!A8),",0",",0")</f>
        <v>618417,8|1,0,0</v>
      </c>
      <c r="B8" t="str">
        <f>CONCATENATE(618444,",",ROW(BCTHBDVCSH_06615!B8),"|",COLUMN(BCTHBDVCSH_06615!B8),",0",",0")</f>
        <v>618444,8|2,0,0</v>
      </c>
      <c r="C8" t="str">
        <f>CONCATENATE(618230,",",ROW(BCTHBDVCSH_06615!C8),"|",COLUMN(BCTHBDVCSH_06615!C8),",0",",0")</f>
        <v>618230,8|3,0,0</v>
      </c>
      <c r="D8" t="str">
        <f>CONCATENATE(618235,",",ROW(BCTHBDVCSH_06615!D8),"|",COLUMN(BCTHBDVCSH_06615!D8),",0",",0")</f>
        <v>618235,8|4,0,0</v>
      </c>
      <c r="E8" t="str">
        <f>CONCATENATE(618268,",",ROW(BCTHBDVCSH_06615!E8),"|",COLUMN(BCTHBDVCSH_06615!E8),",0",",0")</f>
        <v>618268,8|5,0,0</v>
      </c>
      <c r="F8" t="str">
        <f>CONCATENATE(618348,",",ROW(BCTHBDVCSH_06615!F8),"|",COLUMN(BCTHBDVCSH_06615!F8),",0",",0")</f>
        <v>618348,8|6,0,0</v>
      </c>
      <c r="G8" t="str">
        <f>CONCATENATE(618325,",",ROW(BCTHBDVCSH_06615!G8),"|",COLUMN(BCTHBDVCSH_06615!G8),",0",",0")</f>
        <v>618325,8|7,0,0</v>
      </c>
      <c r="H8" t="str">
        <f>CONCATENATE(618437,",",ROW(BCTHBDVCSH_06615!H8),"|",COLUMN(BCTHBDVCSH_06615!H8),",0",",0")</f>
        <v>618437,8|8,0,0</v>
      </c>
      <c r="I8" t="str">
        <f>CONCATENATE(618296,",",ROW(BCTHBDVCSH_06615!I8),"|",COLUMN(BCTHBDVCSH_06615!I8),",0",",0")</f>
        <v>618296,8|9,0,0</v>
      </c>
      <c r="J8" t="str">
        <f>CONCATENATE(618387,",",ROW(BCTHBDVCSH_06615!J8),"|",COLUMN(BCTHBDVCSH_06615!J8),",0",",0")</f>
        <v>618387,8|10,0,0</v>
      </c>
      <c r="K8" t="str">
        <f>CONCATENATE(618465,",",ROW(BCTHBDVCSH_06615!K8),"|",COLUMN(BCTHBDVCSH_06615!K8),",0",",0")</f>
        <v>618465,8|11,0,0</v>
      </c>
    </row>
    <row r="9" spans="1:11" x14ac:dyDescent="0.25">
      <c r="A9" t="str">
        <f>CONCATENATE(618341,",",ROW(BCTHBDVCSH_06615!A9),"|",COLUMN(BCTHBDVCSH_06615!A9),",0",",0")</f>
        <v>618341,9|1,0,0</v>
      </c>
      <c r="B9" t="str">
        <f>CONCATENATE(618445,",",ROW(BCTHBDVCSH_06615!B9),"|",COLUMN(BCTHBDVCSH_06615!B9),",0",",0")</f>
        <v>618445,9|2,0,0</v>
      </c>
      <c r="C9" t="str">
        <f>CONCATENATE(618231,",",ROW(BCTHBDVCSH_06615!C9),"|",COLUMN(BCTHBDVCSH_06615!C9),",0",",0")</f>
        <v>618231,9|3,0,0</v>
      </c>
      <c r="D9" t="str">
        <f>CONCATENATE(618237,",",ROW(BCTHBDVCSH_06615!D9),"|",COLUMN(BCTHBDVCSH_06615!D9),",0",",0")</f>
        <v>618237,9|4,0,0</v>
      </c>
      <c r="E9" t="str">
        <f>CONCATENATE(618269,",",ROW(BCTHBDVCSH_06615!E9),"|",COLUMN(BCTHBDVCSH_06615!E9),",0",",0")</f>
        <v>618269,9|5,0,0</v>
      </c>
      <c r="F9" t="str">
        <f>CONCATENATE(618369,",",ROW(BCTHBDVCSH_06615!F9),"|",COLUMN(BCTHBDVCSH_06615!F9),",0",",0")</f>
        <v>618369,9|6,0,0</v>
      </c>
      <c r="G9" t="str">
        <f>CONCATENATE(618326,",",ROW(BCTHBDVCSH_06615!G9),"|",COLUMN(BCTHBDVCSH_06615!G9),",0",",0")</f>
        <v>618326,9|7,0,0</v>
      </c>
      <c r="H9" t="str">
        <f>CONCATENATE(618438,",",ROW(BCTHBDVCSH_06615!H9),"|",COLUMN(BCTHBDVCSH_06615!H9),",0",",0")</f>
        <v>618438,9|8,0,0</v>
      </c>
      <c r="I9" t="str">
        <f>CONCATENATE(618297,",",ROW(BCTHBDVCSH_06615!I9),"|",COLUMN(BCTHBDVCSH_06615!I9),",0",",0")</f>
        <v>618297,9|9,0,0</v>
      </c>
      <c r="J9" t="str">
        <f>CONCATENATE(618388,",",ROW(BCTHBDVCSH_06615!J9),"|",COLUMN(BCTHBDVCSH_06615!J9),",0",",0")</f>
        <v>618388,9|10,0,0</v>
      </c>
      <c r="K9" t="str">
        <f>CONCATENATE(618466,",",ROW(BCTHBDVCSH_06615!K9),"|",COLUMN(BCTHBDVCSH_06615!K9),",0",",0")</f>
        <v>618466,9|11,0,0</v>
      </c>
    </row>
    <row r="10" spans="1:11" x14ac:dyDescent="0.25">
      <c r="A10" t="str">
        <f>CONCATENATE(618418,",",ROW(BCTHBDVCSH_06615!A10),"|",COLUMN(BCTHBDVCSH_06615!A10),",0",",0")</f>
        <v>618418,10|1,0,0</v>
      </c>
      <c r="B10" t="str">
        <f>CONCATENATE(618446,",",ROW(BCTHBDVCSH_06615!B10),"|",COLUMN(BCTHBDVCSH_06615!B10),",0",",0")</f>
        <v>618446,10|2,0,0</v>
      </c>
      <c r="C10" t="str">
        <f>CONCATENATE(618232,",",ROW(BCTHBDVCSH_06615!C10),"|",COLUMN(BCTHBDVCSH_06615!C10),",0",",0")</f>
        <v>618232,10|3,0,0</v>
      </c>
      <c r="D10" t="str">
        <f>CONCATENATE(618238,",",ROW(BCTHBDVCSH_06615!D10),"|",COLUMN(BCTHBDVCSH_06615!D10),",0",",0")</f>
        <v>618238,10|4,0,0</v>
      </c>
      <c r="E10" t="str">
        <f>CONCATENATE(618270,",",ROW(BCTHBDVCSH_06615!E10),"|",COLUMN(BCTHBDVCSH_06615!E10),",0",",0")</f>
        <v>618270,10|5,0,0</v>
      </c>
      <c r="F10" t="str">
        <f>CONCATENATE(618370,",",ROW(BCTHBDVCSH_06615!F10),"|",COLUMN(BCTHBDVCSH_06615!F10),",0",",0")</f>
        <v>618370,10|6,0,0</v>
      </c>
      <c r="G10" t="str">
        <f>CONCATENATE(618327,",",ROW(BCTHBDVCSH_06615!G10),"|",COLUMN(BCTHBDVCSH_06615!G10),",0",",0")</f>
        <v>618327,10|7,0,0</v>
      </c>
      <c r="H10" t="str">
        <f>CONCATENATE(618439,",",ROW(BCTHBDVCSH_06615!H10),"|",COLUMN(BCTHBDVCSH_06615!H10),",0",",0")</f>
        <v>618439,10|8,0,0</v>
      </c>
      <c r="I10" t="str">
        <f>CONCATENATE(618298,",",ROW(BCTHBDVCSH_06615!I10),"|",COLUMN(BCTHBDVCSH_06615!I10),",0",",0")</f>
        <v>618298,10|9,0,0</v>
      </c>
      <c r="J10" t="str">
        <f>CONCATENATE(618389,",",ROW(BCTHBDVCSH_06615!J10),"|",COLUMN(BCTHBDVCSH_06615!J10),",0",",0")</f>
        <v>618389,10|10,0,0</v>
      </c>
      <c r="K10" t="str">
        <f>CONCATENATE(618467,",",ROW(BCTHBDVCSH_06615!K10),"|",COLUMN(BCTHBDVCSH_06615!K10),",0",",0")</f>
        <v>618467,10|11,0,0</v>
      </c>
    </row>
    <row r="11" spans="1:11" x14ac:dyDescent="0.25">
      <c r="A11" t="str">
        <f>CONCATENATE(618282,",",ROW(BCTHBDVCSH_06615!A11),"|",COLUMN(BCTHBDVCSH_06615!A11),",0",",0")</f>
        <v>618282,11|1,0,0</v>
      </c>
      <c r="B11" t="str">
        <f>CONCATENATE(618447,",",ROW(BCTHBDVCSH_06615!B11),"|",COLUMN(BCTHBDVCSH_06615!B11),",0",",0")</f>
        <v>618447,11|2,0,0</v>
      </c>
      <c r="C11" t="str">
        <f>CONCATENATE(618233,",",ROW(BCTHBDVCSH_06615!C11),"|",COLUMN(BCTHBDVCSH_06615!C11),",0",",0")</f>
        <v>618233,11|3,0,0</v>
      </c>
      <c r="D11" t="str">
        <f>CONCATENATE(618239,",",ROW(BCTHBDVCSH_06615!D11),"|",COLUMN(BCTHBDVCSH_06615!D11),",0",",0")</f>
        <v>618239,11|4,0,0</v>
      </c>
      <c r="E11" t="str">
        <f>CONCATENATE(618271,",",ROW(BCTHBDVCSH_06615!E11),"|",COLUMN(BCTHBDVCSH_06615!E11),",0",",0")</f>
        <v>618271,11|5,0,0</v>
      </c>
      <c r="F11" t="str">
        <f>CONCATENATE(618379,",",ROW(BCTHBDVCSH_06615!F11),"|",COLUMN(BCTHBDVCSH_06615!F11),",0",",0")</f>
        <v>618379,11|6,0,0</v>
      </c>
      <c r="G11" t="str">
        <f>CONCATENATE(618330,",",ROW(BCTHBDVCSH_06615!G11),"|",COLUMN(BCTHBDVCSH_06615!G11),",0",",0")</f>
        <v>618330,11|7,0,0</v>
      </c>
      <c r="H11" t="str">
        <f>CONCATENATE(618440,",",ROW(BCTHBDVCSH_06615!H11),"|",COLUMN(BCTHBDVCSH_06615!H11),",0",",0")</f>
        <v>618440,11|8,0,0</v>
      </c>
      <c r="I11" t="str">
        <f>CONCATENATE(618299,",",ROW(BCTHBDVCSH_06615!I11),"|",COLUMN(BCTHBDVCSH_06615!I11),",0",",0")</f>
        <v>618299,11|9,0,0</v>
      </c>
      <c r="J11" t="str">
        <f>CONCATENATE(618390,",",ROW(BCTHBDVCSH_06615!J11),"|",COLUMN(BCTHBDVCSH_06615!J11),",0",",0")</f>
        <v>618390,11|10,0,0</v>
      </c>
      <c r="K11" t="str">
        <f>CONCATENATE(618410,",",ROW(BCTHBDVCSH_06615!K11),"|",COLUMN(BCTHBDVCSH_06615!K11),",0",",0")</f>
        <v>618410,11|11,0,0</v>
      </c>
    </row>
    <row r="12" spans="1:11" x14ac:dyDescent="0.25">
      <c r="A12" t="str">
        <f>CONCATENATE(618283,",",ROW(BCTHBDVCSH_06615!A12),"|",COLUMN(BCTHBDVCSH_06615!A12),",0",",0")</f>
        <v>618283,12|1,0,0</v>
      </c>
      <c r="B12" t="str">
        <f>CONCATENATE(618448,",",ROW(BCTHBDVCSH_06615!B12),"|",COLUMN(BCTHBDVCSH_06615!B12),",0",",0")</f>
        <v>618448,12|2,0,0</v>
      </c>
      <c r="C12" t="str">
        <f>CONCATENATE(618353,",",ROW(BCTHBDVCSH_06615!C12),"|",COLUMN(BCTHBDVCSH_06615!C12),",0",",0")</f>
        <v>618353,12|3,0,0</v>
      </c>
      <c r="D12" t="str">
        <f>CONCATENATE(618240,",",ROW(BCTHBDVCSH_06615!D12),"|",COLUMN(BCTHBDVCSH_06615!D12),",0",",0")</f>
        <v>618240,12|4,0,0</v>
      </c>
      <c r="E12" t="str">
        <f>CONCATENATE(618276,",",ROW(BCTHBDVCSH_06615!E12),"|",COLUMN(BCTHBDVCSH_06615!E12),",0",",0")</f>
        <v>618276,12|5,0,0</v>
      </c>
      <c r="F12" t="str">
        <f>CONCATENATE(618248,",",ROW(BCTHBDVCSH_06615!F12),"|",COLUMN(BCTHBDVCSH_06615!F12),",0",",0")</f>
        <v>618248,12|6,0,0</v>
      </c>
      <c r="G12" t="str">
        <f>CONCATENATE(618331,",",ROW(BCTHBDVCSH_06615!G12),"|",COLUMN(BCTHBDVCSH_06615!G12),",0",",0")</f>
        <v>618331,12|7,0,0</v>
      </c>
      <c r="H12" t="str">
        <f>CONCATENATE(618441,",",ROW(BCTHBDVCSH_06615!H12),"|",COLUMN(BCTHBDVCSH_06615!H12),",0",",0")</f>
        <v>618441,12|8,0,0</v>
      </c>
      <c r="I12" t="str">
        <f>CONCATENATE(618300,",",ROW(BCTHBDVCSH_06615!I12),"|",COLUMN(BCTHBDVCSH_06615!I12),",0",",0")</f>
        <v>618300,12|9,0,0</v>
      </c>
      <c r="J12" t="str">
        <f>CONCATENATE(618391,",",ROW(BCTHBDVCSH_06615!J12),"|",COLUMN(BCTHBDVCSH_06615!J12),",0",",0")</f>
        <v>618391,12|10,0,0</v>
      </c>
      <c r="K12" t="str">
        <f>CONCATENATE(618411,",",ROW(BCTHBDVCSH_06615!K12),"|",COLUMN(BCTHBDVCSH_06615!K12),",0",",0")</f>
        <v>618411,12|11,0,0</v>
      </c>
    </row>
    <row r="13" spans="1:11" x14ac:dyDescent="0.25">
      <c r="A13" t="str">
        <f>CONCATENATE(618284,",",ROW(BCTHBDVCSH_06615!A13),"|",COLUMN(BCTHBDVCSH_06615!A13),",0",",0")</f>
        <v>618284,13|1,0,0</v>
      </c>
      <c r="B13" t="str">
        <f>CONCATENATE(618449,",",ROW(BCTHBDVCSH_06615!B13),"|",COLUMN(BCTHBDVCSH_06615!B13),",0",",0")</f>
        <v>618449,13|2,0,0</v>
      </c>
      <c r="C13" t="str">
        <f>CONCATENATE(618354,",",ROW(BCTHBDVCSH_06615!C13),"|",COLUMN(BCTHBDVCSH_06615!C13),",0",",0")</f>
        <v>618354,13|3,0,0</v>
      </c>
      <c r="D13" t="str">
        <f>CONCATENATE(618241,",",ROW(BCTHBDVCSH_06615!D13),"|",COLUMN(BCTHBDVCSH_06615!D13),",0",",0")</f>
        <v>618241,13|4,0,0</v>
      </c>
      <c r="E13" t="str">
        <f>CONCATENATE(618375,",",ROW(BCTHBDVCSH_06615!E13),"|",COLUMN(BCTHBDVCSH_06615!E13),",0",",0")</f>
        <v>618375,13|5,0,0</v>
      </c>
      <c r="F13" t="str">
        <f>CONCATENATE(618249,",",ROW(BCTHBDVCSH_06615!F13),"|",COLUMN(BCTHBDVCSH_06615!F13),",0",",0")</f>
        <v>618249,13|6,0,0</v>
      </c>
      <c r="G13" t="str">
        <f>CONCATENATE(618332,",",ROW(BCTHBDVCSH_06615!G13),"|",COLUMN(BCTHBDVCSH_06615!G13),",0",",0")</f>
        <v>618332,13|7,0,0</v>
      </c>
      <c r="H13" t="str">
        <f>CONCATENATE(618442,",",ROW(BCTHBDVCSH_06615!H13),"|",COLUMN(BCTHBDVCSH_06615!H13),",0",",0")</f>
        <v>618442,13|8,0,0</v>
      </c>
      <c r="I13" t="str">
        <f>CONCATENATE(618301,",",ROW(BCTHBDVCSH_06615!I13),"|",COLUMN(BCTHBDVCSH_06615!I13),",0",",0")</f>
        <v>618301,13|9,0,0</v>
      </c>
      <c r="J13" t="str">
        <f>CONCATENATE(618392,",",ROW(BCTHBDVCSH_06615!J13),"|",COLUMN(BCTHBDVCSH_06615!J13),",0",",0")</f>
        <v>618392,13|10,0,0</v>
      </c>
      <c r="K13" t="str">
        <f>CONCATENATE(618221,",",ROW(BCTHBDVCSH_06615!K13),"|",COLUMN(BCTHBDVCSH_06615!K13),",0",",0")</f>
        <v>618221,13|11,0,0</v>
      </c>
    </row>
    <row r="14" spans="1:11" x14ac:dyDescent="0.25">
      <c r="A14" t="str">
        <f>CONCATENATE(618419,",",ROW(BCTHBDVCSH_06615!A14),"|",COLUMN(BCTHBDVCSH_06615!A14),",0",",0")</f>
        <v>618419,14|1,0,0</v>
      </c>
      <c r="B14" t="str">
        <f>CONCATENATE(618450,",",ROW(BCTHBDVCSH_06615!B14),"|",COLUMN(BCTHBDVCSH_06615!B14),",0",",0")</f>
        <v>618450,14|2,0,0</v>
      </c>
      <c r="C14" t="str">
        <f>CONCATENATE(618355,",",ROW(BCTHBDVCSH_06615!C14),"|",COLUMN(BCTHBDVCSH_06615!C14),",0",",0")</f>
        <v>618355,14|3,0,0</v>
      </c>
      <c r="D14" t="str">
        <f>CONCATENATE(618242,",",ROW(BCTHBDVCSH_06615!D14),"|",COLUMN(BCTHBDVCSH_06615!D14),",0",",0")</f>
        <v>618242,14|4,0,0</v>
      </c>
      <c r="E14" t="str">
        <f>CONCATENATE(618376,",",ROW(BCTHBDVCSH_06615!E14),"|",COLUMN(BCTHBDVCSH_06615!E14),",0",",0")</f>
        <v>618376,14|5,0,0</v>
      </c>
      <c r="F14" t="str">
        <f>CONCATENATE(618250,",",ROW(BCTHBDVCSH_06615!F14),"|",COLUMN(BCTHBDVCSH_06615!F14),",0",",0")</f>
        <v>618250,14|6,0,0</v>
      </c>
      <c r="G14" t="str">
        <f>CONCATENATE(618333,",",ROW(BCTHBDVCSH_06615!G14),"|",COLUMN(BCTHBDVCSH_06615!G14),",0",",0")</f>
        <v>618333,14|7,0,0</v>
      </c>
      <c r="H14" t="str">
        <f>CONCATENATE(618394,",",ROW(BCTHBDVCSH_06615!H14),"|",COLUMN(BCTHBDVCSH_06615!H14),",0",",0")</f>
        <v>618394,14|8,0,0</v>
      </c>
      <c r="I14" t="str">
        <f>CONCATENATE(618302,",",ROW(BCTHBDVCSH_06615!I14),"|",COLUMN(BCTHBDVCSH_06615!I14),",0",",0")</f>
        <v>618302,14|9,0,0</v>
      </c>
      <c r="J14" t="str">
        <f>CONCATENATE(618393,",",ROW(BCTHBDVCSH_06615!J14),"|",COLUMN(BCTHBDVCSH_06615!J14),",0",",0")</f>
        <v>618393,14|10,0,0</v>
      </c>
      <c r="K14" t="str">
        <f>CONCATENATE(618412,",",ROW(BCTHBDVCSH_06615!K14),"|",COLUMN(BCTHBDVCSH_06615!K14),",0",",0")</f>
        <v>618412,14|11,0,0</v>
      </c>
    </row>
    <row r="15" spans="1:11" x14ac:dyDescent="0.25">
      <c r="A15" t="str">
        <f>CONCATENATE(618424,",",ROW(BCTHBDVCSH_06615!A15),"|",COLUMN(BCTHBDVCSH_06615!A15),",0",",0")</f>
        <v>618424,15|1,0,0</v>
      </c>
      <c r="B15" t="str">
        <f>CONCATENATE(618359,",",ROW(BCTHBDVCSH_06615!B15),"|",COLUMN(BCTHBDVCSH_06615!B15),",0",",0")</f>
        <v>618359,15|2,0,0</v>
      </c>
      <c r="C15" t="str">
        <f>CONCATENATE(618356,",",ROW(BCTHBDVCSH_06615!C15),"|",COLUMN(BCTHBDVCSH_06615!C15),",0",",0")</f>
        <v>618356,15|3,0,0</v>
      </c>
      <c r="D15" t="str">
        <f>CONCATENATE(618243,",",ROW(BCTHBDVCSH_06615!D15),"|",COLUMN(BCTHBDVCSH_06615!D15),",0",",0")</f>
        <v>618243,15|4,0,0</v>
      </c>
      <c r="E15" t="str">
        <f>CONCATENATE(618377,",",ROW(BCTHBDVCSH_06615!E15),"|",COLUMN(BCTHBDVCSH_06615!E15),",0",",0")</f>
        <v>618377,15|5,0,0</v>
      </c>
      <c r="F15" t="str">
        <f>CONCATENATE(618251,",",ROW(BCTHBDVCSH_06615!F15),"|",COLUMN(BCTHBDVCSH_06615!F15),",0",",0")</f>
        <v>618251,15|6,0,0</v>
      </c>
      <c r="G15" t="str">
        <f>CONCATENATE(618334,",",ROW(BCTHBDVCSH_06615!G15),"|",COLUMN(BCTHBDVCSH_06615!G15),",0",",0")</f>
        <v>618334,15|7,0,0</v>
      </c>
      <c r="H15" t="str">
        <f>CONCATENATE(618395,",",ROW(BCTHBDVCSH_06615!H15),"|",COLUMN(BCTHBDVCSH_06615!H15),",0",",0")</f>
        <v>618395,15|8,0,0</v>
      </c>
      <c r="I15" t="str">
        <f>CONCATENATE(618303,",",ROW(BCTHBDVCSH_06615!I15),"|",COLUMN(BCTHBDVCSH_06615!I15),",0",",0")</f>
        <v>618303,15|9,0,0</v>
      </c>
      <c r="J15" t="str">
        <f>CONCATENATE(618277,",",ROW(BCTHBDVCSH_06615!J15),"|",COLUMN(BCTHBDVCSH_06615!J15),",0",",0")</f>
        <v>618277,15|10,0,0</v>
      </c>
      <c r="K15" t="str">
        <f>CONCATENATE(618222,",",ROW(BCTHBDVCSH_06615!K15),"|",COLUMN(BCTHBDVCSH_06615!K15),",0",",0")</f>
        <v>618222,15|11,0,0</v>
      </c>
    </row>
    <row r="16" spans="1:11" x14ac:dyDescent="0.25">
      <c r="A16" t="str">
        <f>CONCATENATE(618337,",",ROW(BCTHBDVCSH_06615!A16),"|",COLUMN(BCTHBDVCSH_06615!A16),",0",",0")</f>
        <v>618337,16|1,0,0</v>
      </c>
      <c r="B16" t="str">
        <f>CONCATENATE(618360,",",ROW(BCTHBDVCSH_06615!B16),"|",COLUMN(BCTHBDVCSH_06615!B16),",0",",0")</f>
        <v>618360,16|2,0,0</v>
      </c>
      <c r="C16" t="str">
        <f>CONCATENATE(618357,",",ROW(BCTHBDVCSH_06615!C16),"|",COLUMN(BCTHBDVCSH_06615!C16),",0",",0")</f>
        <v>618357,16|3,0,0</v>
      </c>
      <c r="D16" t="str">
        <f>CONCATENATE(618244,",",ROW(BCTHBDVCSH_06615!D16),"|",COLUMN(BCTHBDVCSH_06615!D16),",0",",0")</f>
        <v>618244,16|4,0,0</v>
      </c>
      <c r="E16" t="str">
        <f>CONCATENATE(618451,",",ROW(BCTHBDVCSH_06615!E16),"|",COLUMN(BCTHBDVCSH_06615!E16),",0",",0")</f>
        <v>618451,16|5,0,0</v>
      </c>
      <c r="F16" t="str">
        <f>CONCATENATE(618252,",",ROW(BCTHBDVCSH_06615!F16),"|",COLUMN(BCTHBDVCSH_06615!F16),",0",",0")</f>
        <v>618252,16|6,0,0</v>
      </c>
      <c r="G16" t="str">
        <f>CONCATENATE(618335,",",ROW(BCTHBDVCSH_06615!G16),"|",COLUMN(BCTHBDVCSH_06615!G16),",0",",0")</f>
        <v>618335,16|7,0,0</v>
      </c>
      <c r="H16" t="str">
        <f>CONCATENATE(618396,",",ROW(BCTHBDVCSH_06615!H16),"|",COLUMN(BCTHBDVCSH_06615!H16),",0",",0")</f>
        <v>618396,16|8,0,0</v>
      </c>
      <c r="I16" t="str">
        <f>CONCATENATE(618304,",",ROW(BCTHBDVCSH_06615!I16),"|",COLUMN(BCTHBDVCSH_06615!I16),",0",",0")</f>
        <v>618304,16|9,0,0</v>
      </c>
      <c r="J16" t="str">
        <f>CONCATENATE(618343,",",ROW(BCTHBDVCSH_06615!J16),"|",COLUMN(BCTHBDVCSH_06615!J16),",0",",0")</f>
        <v>618343,16|10,0,0</v>
      </c>
      <c r="K16" t="str">
        <f>CONCATENATE(618223,",",ROW(BCTHBDVCSH_06615!K16),"|",COLUMN(BCTHBDVCSH_06615!K16),",0",",0")</f>
        <v>618223,16|11,0,0</v>
      </c>
    </row>
    <row r="17" spans="1:11" x14ac:dyDescent="0.25">
      <c r="A17" t="str">
        <f>CONCATENATE(618285,",",ROW(BCTHBDVCSH_06615!A17),"|",COLUMN(BCTHBDVCSH_06615!A17),",0",",0")</f>
        <v>618285,17|1,0,0</v>
      </c>
      <c r="B17" t="str">
        <f>CONCATENATE(618361,",",ROW(BCTHBDVCSH_06615!B17),"|",COLUMN(BCTHBDVCSH_06615!B17),",0",",0")</f>
        <v>618361,17|2,0,0</v>
      </c>
      <c r="C17" t="str">
        <f>CONCATENATE(618358,",",ROW(BCTHBDVCSH_06615!C17),"|",COLUMN(BCTHBDVCSH_06615!C17),",0",",0")</f>
        <v>618358,17|3,0,0</v>
      </c>
      <c r="D17" t="str">
        <f>CONCATENATE(618245,",",ROW(BCTHBDVCSH_06615!D17),"|",COLUMN(BCTHBDVCSH_06615!D17),",0",",0")</f>
        <v>618245,17|4,0,0</v>
      </c>
      <c r="E17" t="str">
        <f>CONCATENATE(618452,",",ROW(BCTHBDVCSH_06615!E17),"|",COLUMN(BCTHBDVCSH_06615!E17),",0",",0")</f>
        <v>618452,17|5,0,0</v>
      </c>
      <c r="F17" t="str">
        <f>CONCATENATE(618253,",",ROW(BCTHBDVCSH_06615!F17),"|",COLUMN(BCTHBDVCSH_06615!F17),",0",",0")</f>
        <v>618253,17|6,0,0</v>
      </c>
      <c r="G17" t="str">
        <f>CONCATENATE(618336,",",ROW(BCTHBDVCSH_06615!G17),"|",COLUMN(BCTHBDVCSH_06615!G17),",0",",0")</f>
        <v>618336,17|7,0,0</v>
      </c>
      <c r="H17" t="str">
        <f>CONCATENATE(618397,",",ROW(BCTHBDVCSH_06615!H17),"|",COLUMN(BCTHBDVCSH_06615!H17),",0",",0")</f>
        <v>618397,17|8,0,0</v>
      </c>
      <c r="I17" t="str">
        <f>CONCATENATE(618305,",",ROW(BCTHBDVCSH_06615!I17),"|",COLUMN(BCTHBDVCSH_06615!I17),",0",",0")</f>
        <v>618305,17|9,0,0</v>
      </c>
      <c r="J17" t="str">
        <f>CONCATENATE(618344,",",ROW(BCTHBDVCSH_06615!J17),"|",COLUMN(BCTHBDVCSH_06615!J17),",0",",0")</f>
        <v>618344,17|10,0,0</v>
      </c>
      <c r="K17" t="str">
        <f>CONCATENATE(618349,",",ROW(BCTHBDVCSH_06615!K17),"|",COLUMN(BCTHBDVCSH_06615!K17),",0",",0")</f>
        <v>618349,17|11,0,0</v>
      </c>
    </row>
    <row r="18" spans="1:11" x14ac:dyDescent="0.25">
      <c r="A18" t="str">
        <f>CONCATENATE(618420,",",ROW(BCTHBDVCSH_06615!A18),"|",COLUMN(BCTHBDVCSH_06615!A18),",0",",0")</f>
        <v>618420,18|1,0,0</v>
      </c>
      <c r="B18" t="str">
        <f>CONCATENATE(618362,",",ROW(BCTHBDVCSH_06615!B18),"|",COLUMN(BCTHBDVCSH_06615!B18),",0",",0")</f>
        <v>618362,18|2,0,0</v>
      </c>
      <c r="C18" t="str">
        <f>CONCATENATE(618378,",",ROW(BCTHBDVCSH_06615!C18),"|",COLUMN(BCTHBDVCSH_06615!C18),",0",",0")</f>
        <v>618378,18|3,0,0</v>
      </c>
      <c r="D18" t="str">
        <f>CONCATENATE(618246,",",ROW(BCTHBDVCSH_06615!D18),"|",COLUMN(BCTHBDVCSH_06615!D18),",0",",0")</f>
        <v>618246,18|4,0,0</v>
      </c>
      <c r="E18" t="str">
        <f>CONCATENATE(618453,",",ROW(BCTHBDVCSH_06615!E18),"|",COLUMN(BCTHBDVCSH_06615!E18),",0",",0")</f>
        <v>618453,18|5,0,0</v>
      </c>
      <c r="F18" t="str">
        <f>CONCATENATE(618254,",",ROW(BCTHBDVCSH_06615!F18),"|",COLUMN(BCTHBDVCSH_06615!F18),",0",",0")</f>
        <v>618254,18|6,0,0</v>
      </c>
      <c r="G18" t="str">
        <f>CONCATENATE(618342,",",ROW(BCTHBDVCSH_06615!G18),"|",COLUMN(BCTHBDVCSH_06615!G18),",0",",0")</f>
        <v>618342,18|7,0,0</v>
      </c>
      <c r="H18" t="str">
        <f>CONCATENATE(618398,",",ROW(BCTHBDVCSH_06615!H18),"|",COLUMN(BCTHBDVCSH_06615!H18),",0",",0")</f>
        <v>618398,18|8,0,0</v>
      </c>
      <c r="I18" t="str">
        <f>CONCATENATE(618306,",",ROW(BCTHBDVCSH_06615!I18),"|",COLUMN(BCTHBDVCSH_06615!I18),",0",",0")</f>
        <v>618306,18|9,0,0</v>
      </c>
      <c r="J18" t="str">
        <f>CONCATENATE(618345,",",ROW(BCTHBDVCSH_06615!J18),"|",COLUMN(BCTHBDVCSH_06615!J18),",0",",0")</f>
        <v>618345,18|10,0,0</v>
      </c>
      <c r="K18" t="str">
        <f>CONCATENATE(618350,",",ROW(BCTHBDVCSH_06615!K18),"|",COLUMN(BCTHBDVCSH_06615!K18),",0",",0")</f>
        <v>618350,18|11,0,0</v>
      </c>
    </row>
    <row r="19" spans="1:11" x14ac:dyDescent="0.25">
      <c r="A19" t="str">
        <f>CONCATENATE(618340,",",ROW(BCTHBDVCSH_06615!A19),"|",COLUMN(BCTHBDVCSH_06615!A19),",0",",0")</f>
        <v>618340,19|1,0,0</v>
      </c>
      <c r="B19" t="str">
        <f>CONCATENATE(618363,",",ROW(BCTHBDVCSH_06615!B19),"|",COLUMN(BCTHBDVCSH_06615!B19),",0",",0")</f>
        <v>618363,19|2,0,0</v>
      </c>
      <c r="C19" t="str">
        <f>CONCATENATE(618313,",",ROW(BCTHBDVCSH_06615!C19),"|",COLUMN(BCTHBDVCSH_06615!C19),",0",",0")</f>
        <v>618313,19|3,0,0</v>
      </c>
      <c r="D19" t="str">
        <f>CONCATENATE(618247,",",ROW(BCTHBDVCSH_06615!D19),"|",COLUMN(BCTHBDVCSH_06615!D19),",0",",0")</f>
        <v>618247,19|4,0,0</v>
      </c>
      <c r="E19" t="str">
        <f>CONCATENATE(618454,",",ROW(BCTHBDVCSH_06615!E19),"|",COLUMN(BCTHBDVCSH_06615!E19),",0",",0")</f>
        <v>618454,19|5,0,0</v>
      </c>
      <c r="F19" t="str">
        <f>CONCATENATE(618255,",",ROW(BCTHBDVCSH_06615!F19),"|",COLUMN(BCTHBDVCSH_06615!F19),",0",",0")</f>
        <v>618255,19|6,0,0</v>
      </c>
      <c r="G19" t="str">
        <f>CONCATENATE(618425,",",ROW(BCTHBDVCSH_06615!G19),"|",COLUMN(BCTHBDVCSH_06615!G19),",0",",0")</f>
        <v>618425,19|7,0,0</v>
      </c>
      <c r="H19" t="str">
        <f>CONCATENATE(618399,",",ROW(BCTHBDVCSH_06615!H19),"|",COLUMN(BCTHBDVCSH_06615!H19),",0",",0")</f>
        <v>618399,19|8,0,0</v>
      </c>
      <c r="I19" t="str">
        <f>CONCATENATE(618307,",",ROW(BCTHBDVCSH_06615!I19),"|",COLUMN(BCTHBDVCSH_06615!I19),",0",",0")</f>
        <v>618307,19|9,0,0</v>
      </c>
      <c r="J19" t="str">
        <f>CONCATENATE(618236,",",ROW(BCTHBDVCSH_06615!J19),"|",COLUMN(BCTHBDVCSH_06615!J19),",0",",0")</f>
        <v>618236,19|10,0,0</v>
      </c>
      <c r="K19" t="str">
        <f>CONCATENATE(618413,",",ROW(BCTHBDVCSH_06615!K19),"|",COLUMN(BCTHBDVCSH_06615!K19),",0",",0")</f>
        <v>618413,19|11,0,0</v>
      </c>
    </row>
    <row r="20" spans="1:11" x14ac:dyDescent="0.25">
      <c r="A20" t="str">
        <f>CONCATENATE(618286,",",ROW(BCTHBDVCSH_06615!A20),"|",COLUMN(BCTHBDVCSH_06615!A20),",0",",0")</f>
        <v>618286,20|1,0,0</v>
      </c>
      <c r="B20" t="str">
        <f>CONCATENATE(618364,",",ROW(BCTHBDVCSH_06615!B20),"|",COLUMN(BCTHBDVCSH_06615!B20),",0",",0")</f>
        <v>618364,20|2,0,0</v>
      </c>
      <c r="C20" t="str">
        <f>CONCATENATE(618314,",",ROW(BCTHBDVCSH_06615!C20),"|",COLUMN(BCTHBDVCSH_06615!C20),",0",",0")</f>
        <v>618314,20|3,0,0</v>
      </c>
      <c r="D20" t="str">
        <f>CONCATENATE(618257,",",ROW(BCTHBDVCSH_06615!D20),"|",COLUMN(BCTHBDVCSH_06615!D20),",0",",0")</f>
        <v>618257,20|4,0,0</v>
      </c>
      <c r="E20" t="str">
        <f>CONCATENATE(618455,",",ROW(BCTHBDVCSH_06615!E20),"|",COLUMN(BCTHBDVCSH_06615!E20),",0",",0")</f>
        <v>618455,20|5,0,0</v>
      </c>
      <c r="F20" t="str">
        <f>CONCATENATE(618256,",",ROW(BCTHBDVCSH_06615!F20),"|",COLUMN(BCTHBDVCSH_06615!F20),",0",",0")</f>
        <v>618256,20|6,0,0</v>
      </c>
      <c r="G20" t="str">
        <f>CONCATENATE(618426,",",ROW(BCTHBDVCSH_06615!G20),"|",COLUMN(BCTHBDVCSH_06615!G20),",0",",0")</f>
        <v>618426,20|7,0,0</v>
      </c>
      <c r="H20" t="str">
        <f>CONCATENATE(618400,",",ROW(BCTHBDVCSH_06615!H20),"|",COLUMN(BCTHBDVCSH_06615!H20),",0",",0")</f>
        <v>618400,20|8,0,0</v>
      </c>
      <c r="I20" t="str">
        <f>CONCATENATE(618308,",",ROW(BCTHBDVCSH_06615!I20),"|",COLUMN(BCTHBDVCSH_06615!I20),",0",",0")</f>
        <v>618308,20|9,0,0</v>
      </c>
      <c r="J20" t="str">
        <f>CONCATENATE(618380,",",ROW(BCTHBDVCSH_06615!J20),"|",COLUMN(BCTHBDVCSH_06615!J20),",0",",0")</f>
        <v>618380,20|10,0,0</v>
      </c>
      <c r="K20" t="str">
        <f>CONCATENATE(618414,",",ROW(BCTHBDVCSH_06615!K20),"|",COLUMN(BCTHBDVCSH_06615!K20),",0",",0")</f>
        <v>618414,20|11,0,0</v>
      </c>
    </row>
    <row r="21" spans="1:11" x14ac:dyDescent="0.25">
      <c r="A21" t="str">
        <f>CONCATENATE(618278,",",ROW(BCTHBDVCSH_06615!A21),"|",COLUMN(BCTHBDVCSH_06615!A21),",0",",0")</f>
        <v>618278,21|1,0,0</v>
      </c>
      <c r="B21" t="str">
        <f>CONCATENATE(618365,",",ROW(BCTHBDVCSH_06615!B21),"|",COLUMN(BCTHBDVCSH_06615!B21),",0",",0")</f>
        <v>618365,21|2,0,0</v>
      </c>
      <c r="C21" t="str">
        <f>CONCATENATE(618315,",",ROW(BCTHBDVCSH_06615!C21),"|",COLUMN(BCTHBDVCSH_06615!C21),",0",",0")</f>
        <v>618315,21|3,0,0</v>
      </c>
      <c r="D21" t="str">
        <f>CONCATENATE(618258,",",ROW(BCTHBDVCSH_06615!D21),"|",COLUMN(BCTHBDVCSH_06615!D21),",0",",0")</f>
        <v>618258,21|4,0,0</v>
      </c>
      <c r="E21" t="str">
        <f>CONCATENATE(618456,",",ROW(BCTHBDVCSH_06615!E21),"|",COLUMN(BCTHBDVCSH_06615!E21),",0",",0")</f>
        <v>618456,21|5,0,0</v>
      </c>
      <c r="F21" t="str">
        <f>CONCATENATE(618272,",",ROW(BCTHBDVCSH_06615!F21),"|",COLUMN(BCTHBDVCSH_06615!F21),",0",",0")</f>
        <v>618272,21|6,0,0</v>
      </c>
      <c r="G21" t="str">
        <f>CONCATENATE(618427,",",ROW(BCTHBDVCSH_06615!G21),"|",COLUMN(BCTHBDVCSH_06615!G21),",0",",0")</f>
        <v>618427,21|7,0,0</v>
      </c>
      <c r="H21" t="str">
        <f>CONCATENATE(618401,",",ROW(BCTHBDVCSH_06615!H21),"|",COLUMN(BCTHBDVCSH_06615!H21),",0",",0")</f>
        <v>618401,21|8,0,0</v>
      </c>
      <c r="I21" t="str">
        <f>CONCATENATE(618309,",",ROW(BCTHBDVCSH_06615!I21),"|",COLUMN(BCTHBDVCSH_06615!I21),",0",",0")</f>
        <v>618309,21|9,0,0</v>
      </c>
      <c r="J21" t="str">
        <f>CONCATENATE(618381,",",ROW(BCTHBDVCSH_06615!J21),"|",COLUMN(BCTHBDVCSH_06615!J21),",0",",0")</f>
        <v>618381,21|10,0,0</v>
      </c>
      <c r="K21" t="str">
        <f>CONCATENATE(618224,",",ROW(BCTHBDVCSH_06615!K21),"|",COLUMN(BCTHBDVCSH_06615!K21),",0",",0")</f>
        <v>618224,21|11,0,0</v>
      </c>
    </row>
    <row r="22" spans="1:11" x14ac:dyDescent="0.25">
      <c r="A22" t="str">
        <f>CONCATENATE(618287,",",ROW(BCTHBDVCSH_06615!A22),"|",COLUMN(BCTHBDVCSH_06615!A22),",0",",0")</f>
        <v>618287,22|1,0,0</v>
      </c>
      <c r="B22" t="str">
        <f>CONCATENATE(618366,",",ROW(BCTHBDVCSH_06615!B22),"|",COLUMN(BCTHBDVCSH_06615!B22),",0",",0")</f>
        <v>618366,22|2,0,0</v>
      </c>
      <c r="C22" t="str">
        <f>CONCATENATE(618316,",",ROW(BCTHBDVCSH_06615!C22),"|",COLUMN(BCTHBDVCSH_06615!C22),",0",",0")</f>
        <v>618316,22|3,0,0</v>
      </c>
      <c r="D22" t="str">
        <f>CONCATENATE(618259,",",ROW(BCTHBDVCSH_06615!D22),"|",COLUMN(BCTHBDVCSH_06615!D22),",0",",0")</f>
        <v>618259,22|4,0,0</v>
      </c>
      <c r="E22" t="str">
        <f>CONCATENATE(618457,",",ROW(BCTHBDVCSH_06615!E22),"|",COLUMN(BCTHBDVCSH_06615!E22),",0",",0")</f>
        <v>618457,22|5,0,0</v>
      </c>
      <c r="F22" t="str">
        <f>CONCATENATE(618273,",",ROW(BCTHBDVCSH_06615!F22),"|",COLUMN(BCTHBDVCSH_06615!F22),",0",",0")</f>
        <v>618273,22|6,0,0</v>
      </c>
      <c r="G22" t="str">
        <f>CONCATENATE(618428,",",ROW(BCTHBDVCSH_06615!G22),"|",COLUMN(BCTHBDVCSH_06615!G22),",0",",0")</f>
        <v>618428,22|7,0,0</v>
      </c>
      <c r="H22" t="str">
        <f>CONCATENATE(618402,",",ROW(BCTHBDVCSH_06615!H22),"|",COLUMN(BCTHBDVCSH_06615!H22),",0",",0")</f>
        <v>618402,22|8,0,0</v>
      </c>
      <c r="I22" t="str">
        <f>CONCATENATE(618310,",",ROW(BCTHBDVCSH_06615!I22),"|",COLUMN(BCTHBDVCSH_06615!I22),",0",",0")</f>
        <v>618310,22|9,0,0</v>
      </c>
      <c r="J22" t="str">
        <f>CONCATENATE(618382,",",ROW(BCTHBDVCSH_06615!J22),"|",COLUMN(BCTHBDVCSH_06615!J22),",0",",0")</f>
        <v>618382,22|10,0,0</v>
      </c>
      <c r="K22" t="str">
        <f>CONCATENATE(618415,",",ROW(BCTHBDVCSH_06615!K22),"|",COLUMN(BCTHBDVCSH_06615!K22),",0",",0")</f>
        <v>618415,22|11,0,0</v>
      </c>
    </row>
    <row r="23" spans="1:11" x14ac:dyDescent="0.25">
      <c r="A23" t="str">
        <f>CONCATENATE(618421,",",ROW(BCTHBDVCSH_06615!A23),"|",COLUMN(BCTHBDVCSH_06615!A23),",0",",0")</f>
        <v>618421,23|1,0,0</v>
      </c>
      <c r="B23" t="str">
        <f>CONCATENATE(618367,",",ROW(BCTHBDVCSH_06615!B23),"|",COLUMN(BCTHBDVCSH_06615!B23),",0",",0")</f>
        <v>618367,23|2,0,0</v>
      </c>
      <c r="C23" t="str">
        <f>CONCATENATE(618317,",",ROW(BCTHBDVCSH_06615!C23),"|",COLUMN(BCTHBDVCSH_06615!C23),",0",",0")</f>
        <v>618317,23|3,0,0</v>
      </c>
      <c r="D23" t="str">
        <f>CONCATENATE(618260,",",ROW(BCTHBDVCSH_06615!D23),"|",COLUMN(BCTHBDVCSH_06615!D23),",0",",0")</f>
        <v>618260,23|4,0,0</v>
      </c>
      <c r="E23" t="str">
        <f>CONCATENATE(618458,",",ROW(BCTHBDVCSH_06615!E23),"|",COLUMN(BCTHBDVCSH_06615!E23),",0",",0")</f>
        <v>618458,23|5,0,0</v>
      </c>
      <c r="F23" t="str">
        <f>CONCATENATE(618274,",",ROW(BCTHBDVCSH_06615!F23),"|",COLUMN(BCTHBDVCSH_06615!F23),",0",",0")</f>
        <v>618274,23|6,0,0</v>
      </c>
      <c r="G23" t="str">
        <f>CONCATENATE(618429,",",ROW(BCTHBDVCSH_06615!G23),"|",COLUMN(BCTHBDVCSH_06615!G23),",0",",0")</f>
        <v>618429,23|7,0,0</v>
      </c>
      <c r="H23" t="str">
        <f>CONCATENATE(618403,",",ROW(BCTHBDVCSH_06615!H23),"|",COLUMN(BCTHBDVCSH_06615!H23),",0",",0")</f>
        <v>618403,23|8,0,0</v>
      </c>
      <c r="I23" t="str">
        <f>CONCATENATE(618311,",",ROW(BCTHBDVCSH_06615!I23),"|",COLUMN(BCTHBDVCSH_06615!I23),",0",",0")</f>
        <v>618311,23|9,0,0</v>
      </c>
      <c r="J23" t="str">
        <f>CONCATENATE(618383,",",ROW(BCTHBDVCSH_06615!J23),"|",COLUMN(BCTHBDVCSH_06615!J23),",0",",0")</f>
        <v>618383,23|10,0,0</v>
      </c>
      <c r="K23" t="str">
        <f>CONCATENATE(618225,",",ROW(BCTHBDVCSH_06615!K23),"|",COLUMN(BCTHBDVCSH_06615!K23),",0",",0")</f>
        <v>618225,23|11,0,0</v>
      </c>
    </row>
    <row r="24" spans="1:11" x14ac:dyDescent="0.25">
      <c r="A24" t="str">
        <f>CONCATENATE(618338,",",ROW(BCTHBDVCSH_06615!A24),"|",COLUMN(BCTHBDVCSH_06615!A24),",0",",0")</f>
        <v>618338,24|1,0,0</v>
      </c>
      <c r="B24" t="str">
        <f>CONCATENATE(618368,",",ROW(BCTHBDVCSH_06615!B24),"|",COLUMN(BCTHBDVCSH_06615!B24),",0",",0")</f>
        <v>618368,24|2,0,0</v>
      </c>
      <c r="C24" t="str">
        <f>CONCATENATE(618318,",",ROW(BCTHBDVCSH_06615!C24),"|",COLUMN(BCTHBDVCSH_06615!C24),",0",",0")</f>
        <v>618318,24|3,0,0</v>
      </c>
      <c r="D24" t="str">
        <f>CONCATENATE(618261,",",ROW(BCTHBDVCSH_06615!D24),"|",COLUMN(BCTHBDVCSH_06615!D24),",0",",0")</f>
        <v>618261,24|4,0,0</v>
      </c>
      <c r="E24" t="str">
        <f>CONCATENATE(618459,",",ROW(BCTHBDVCSH_06615!E24),"|",COLUMN(BCTHBDVCSH_06615!E24),",0",",0")</f>
        <v>618459,24|5,0,0</v>
      </c>
      <c r="F24" t="str">
        <f>CONCATENATE(618275,",",ROW(BCTHBDVCSH_06615!F24),"|",COLUMN(BCTHBDVCSH_06615!F24),",0",",0")</f>
        <v>618275,24|6,0,0</v>
      </c>
      <c r="G24" t="str">
        <f>CONCATENATE(618430,",",ROW(BCTHBDVCSH_06615!G24),"|",COLUMN(BCTHBDVCSH_06615!G24),",0",",0")</f>
        <v>618430,24|7,0,0</v>
      </c>
      <c r="H24" t="str">
        <f>CONCATENATE(618404,",",ROW(BCTHBDVCSH_06615!H24),"|",COLUMN(BCTHBDVCSH_06615!H24),",0",",0")</f>
        <v>618404,24|8,0,0</v>
      </c>
      <c r="I24" t="str">
        <f>CONCATENATE(618312,",",ROW(BCTHBDVCSH_06615!I24),"|",COLUMN(BCTHBDVCSH_06615!I24),",0",",0")</f>
        <v>618312,24|9,0,0</v>
      </c>
      <c r="J24" t="str">
        <f>CONCATENATE(618384,",",ROW(BCTHBDVCSH_06615!J24),"|",COLUMN(BCTHBDVCSH_06615!J24),",0",",0")</f>
        <v>618384,24|10,0,0</v>
      </c>
      <c r="K24" t="str">
        <f>CONCATENATE(618351,",",ROW(BCTHBDVCSH_06615!K24),"|",COLUMN(BCTHBDVCSH_06615!K24),",0",",0")</f>
        <v>618351,24|11,0,0</v>
      </c>
    </row>
    <row r="25" spans="1:11" x14ac:dyDescent="0.25">
      <c r="A25" t="str">
        <f>CONCATENATE(618339,",",ROW(BCTHBDVCSH_06615!A25),"|",COLUMN(BCTHBDVCSH_06615!A25),",0",",0")</f>
        <v>618339,25|1,0,0</v>
      </c>
      <c r="B25" t="str">
        <f>CONCATENATE(618371,",",ROW(BCTHBDVCSH_06615!B25),"|",COLUMN(BCTHBDVCSH_06615!B25),",0",",0")</f>
        <v>618371,25|2,0,0</v>
      </c>
      <c r="C25" t="str">
        <f>CONCATENATE(618319,",",ROW(BCTHBDVCSH_06615!C25),"|",COLUMN(BCTHBDVCSH_06615!C25),",0",",0")</f>
        <v>618319,25|3,0,0</v>
      </c>
      <c r="D25" t="str">
        <f>CONCATENATE(618262,",",ROW(BCTHBDVCSH_06615!D25),"|",COLUMN(BCTHBDVCSH_06615!D25),",0",",0")</f>
        <v>618262,25|4,0,0</v>
      </c>
      <c r="E25" t="str">
        <f>CONCATENATE(618460,",",ROW(BCTHBDVCSH_06615!E25),"|",COLUMN(BCTHBDVCSH_06615!E25),",0",",0")</f>
        <v>618460,25|5,0,0</v>
      </c>
      <c r="F25" t="str">
        <f>CONCATENATE(618290,",",ROW(BCTHBDVCSH_06615!F25),"|",COLUMN(BCTHBDVCSH_06615!F25),",0",",0")</f>
        <v>618290,25|6,0,0</v>
      </c>
      <c r="G25" t="str">
        <f>CONCATENATE(618431,",",ROW(BCTHBDVCSH_06615!G25),"|",COLUMN(BCTHBDVCSH_06615!G25),",0",",0")</f>
        <v>618431,25|7,0,0</v>
      </c>
      <c r="H25" t="str">
        <f>CONCATENATE(618405,",",ROW(BCTHBDVCSH_06615!H25),"|",COLUMN(BCTHBDVCSH_06615!H25),",0",",0")</f>
        <v>618405,25|8,0,0</v>
      </c>
      <c r="I25" t="str">
        <f>CONCATENATE(618288,",",ROW(BCTHBDVCSH_06615!I25),"|",COLUMN(BCTHBDVCSH_06615!I25),",0",",0")</f>
        <v>618288,25|9,0,0</v>
      </c>
      <c r="J25" t="str">
        <f>CONCATENATE(618215,",",ROW(BCTHBDVCSH_06615!J25),"|",COLUMN(BCTHBDVCSH_06615!J25),",0",",0")</f>
        <v>618215,25|10,0,0</v>
      </c>
      <c r="K25" t="str">
        <f>CONCATENATE(618226,",",ROW(BCTHBDVCSH_06615!K25),"|",COLUMN(BCTHBDVCSH_06615!K25),",0",",0")</f>
        <v>618226,25|11,0,0</v>
      </c>
    </row>
    <row r="26" spans="1:11" x14ac:dyDescent="0.25">
      <c r="A26" t="str">
        <f>CONCATENATE(618279,",",ROW(BCTHBDVCSH_06615!A26),"|",COLUMN(BCTHBDVCSH_06615!A26),",0",",0")</f>
        <v>618279,26|1,0,0</v>
      </c>
      <c r="B26" t="str">
        <f>CONCATENATE(618372,",",ROW(BCTHBDVCSH_06615!B26),"|",COLUMN(BCTHBDVCSH_06615!B26),",0",",0")</f>
        <v>618372,26|2,0,0</v>
      </c>
      <c r="C26" t="str">
        <f>CONCATENATE(618320,",",ROW(BCTHBDVCSH_06615!C26),"|",COLUMN(BCTHBDVCSH_06615!C26),",0",",0")</f>
        <v>618320,26|3,0,0</v>
      </c>
      <c r="D26" t="str">
        <f>CONCATENATE(618263,",",ROW(BCTHBDVCSH_06615!D26),"|",COLUMN(BCTHBDVCSH_06615!D26),",0",",0")</f>
        <v>618263,26|4,0,0</v>
      </c>
      <c r="E26" t="str">
        <f>CONCATENATE(618461,",",ROW(BCTHBDVCSH_06615!E26),"|",COLUMN(BCTHBDVCSH_06615!E26),",0",",0")</f>
        <v>618461,26|5,0,0</v>
      </c>
      <c r="F26" t="str">
        <f>CONCATENATE(618291,",",ROW(BCTHBDVCSH_06615!F26),"|",COLUMN(BCTHBDVCSH_06615!F26),",0",",0")</f>
        <v>618291,26|6,0,0</v>
      </c>
      <c r="G26" t="str">
        <f>CONCATENATE(618432,",",ROW(BCTHBDVCSH_06615!G26),"|",COLUMN(BCTHBDVCSH_06615!G26),",0",",0")</f>
        <v>618432,26|7,0,0</v>
      </c>
      <c r="H26" t="str">
        <f>CONCATENATE(618406,",",ROW(BCTHBDVCSH_06615!H26),"|",COLUMN(BCTHBDVCSH_06615!H26),",0",",0")</f>
        <v>618406,26|8,0,0</v>
      </c>
      <c r="I26" t="str">
        <f>CONCATENATE(618289,",",ROW(BCTHBDVCSH_06615!I26),"|",COLUMN(BCTHBDVCSH_06615!I26),",0",",0")</f>
        <v>618289,26|9,0,0</v>
      </c>
      <c r="J26" t="str">
        <f>CONCATENATE(618216,",",ROW(BCTHBDVCSH_06615!J26),"|",COLUMN(BCTHBDVCSH_06615!J26),",0",",0")</f>
        <v>618216,26|10,0,0</v>
      </c>
      <c r="K26" t="str">
        <f>CONCATENATE(618416,",",ROW(BCTHBDVCSH_06615!K26),"|",COLUMN(BCTHBDVCSH_06615!K26),",0",",0")</f>
        <v>618416,26|11,0,0</v>
      </c>
    </row>
    <row r="27" spans="1:11" x14ac:dyDescent="0.25">
      <c r="A27" t="str">
        <f>CONCATENATE(618280,",",ROW(BCTHBDVCSH_06615!A27),"|",COLUMN(BCTHBDVCSH_06615!A27),",0",",0")</f>
        <v>618280,27|1,0,0</v>
      </c>
      <c r="B27" t="str">
        <f>CONCATENATE(618373,",",ROW(BCTHBDVCSH_06615!B27),"|",COLUMN(BCTHBDVCSH_06615!B27),",0",",0")</f>
        <v>618373,27|2,0,0</v>
      </c>
      <c r="C27" t="str">
        <f>CONCATENATE(618321,",",ROW(BCTHBDVCSH_06615!C27),"|",COLUMN(BCTHBDVCSH_06615!C27),",0",",0")</f>
        <v>618321,27|3,0,0</v>
      </c>
      <c r="D27" t="str">
        <f>CONCATENATE(618264,",",ROW(BCTHBDVCSH_06615!D27),"|",COLUMN(BCTHBDVCSH_06615!D27),",0",",0")</f>
        <v>618264,27|4,0,0</v>
      </c>
      <c r="E27" t="str">
        <f>CONCATENATE(618462,",",ROW(BCTHBDVCSH_06615!E27),"|",COLUMN(BCTHBDVCSH_06615!E27),",0",",0")</f>
        <v>618462,27|5,0,0</v>
      </c>
      <c r="F27" t="str">
        <f>CONCATENATE(618292,",",ROW(BCTHBDVCSH_06615!F27),"|",COLUMN(BCTHBDVCSH_06615!F27),",0",",0")</f>
        <v>618292,27|6,0,0</v>
      </c>
      <c r="G27" t="str">
        <f>CONCATENATE(618433,",",ROW(BCTHBDVCSH_06615!G27),"|",COLUMN(BCTHBDVCSH_06615!G27),",0",",0")</f>
        <v>618433,27|7,0,0</v>
      </c>
      <c r="H27" t="str">
        <f>CONCATENATE(618407,",",ROW(BCTHBDVCSH_06615!H27),"|",COLUMN(BCTHBDVCSH_06615!H27),",0",",0")</f>
        <v>618407,27|8,0,0</v>
      </c>
      <c r="I27" t="str">
        <f>CONCATENATE(618328,",",ROW(BCTHBDVCSH_06615!I27),"|",COLUMN(BCTHBDVCSH_06615!I27),",0",",0")</f>
        <v>618328,27|9,0,0</v>
      </c>
      <c r="J27" t="str">
        <f>CONCATENATE(618217,",",ROW(BCTHBDVCSH_06615!J27),"|",COLUMN(BCTHBDVCSH_06615!J27),",0",",0")</f>
        <v>618217,27|10,0,0</v>
      </c>
      <c r="K27" t="str">
        <f>CONCATENATE(618227,",",ROW(BCTHBDVCSH_06615!K27),"|",COLUMN(BCTHBDVCSH_06615!K27),",0",",0")</f>
        <v>618227,27|11,0,0</v>
      </c>
    </row>
    <row r="28" spans="1:11" x14ac:dyDescent="0.25">
      <c r="A28" t="str">
        <f>CONCATENATE(618423,",",ROW(BCTHBDVCSH_06615!A28),"|",COLUMN(BCTHBDVCSH_06615!A28),",0",",0")</f>
        <v>618423,28|1,0,0</v>
      </c>
      <c r="B28" t="str">
        <f>CONCATENATE(618374,",",ROW(BCTHBDVCSH_06615!B28),"|",COLUMN(BCTHBDVCSH_06615!B28),",0",",0")</f>
        <v>618374,28|2,0,0</v>
      </c>
      <c r="C28" t="str">
        <f>CONCATENATE(618322,",",ROW(BCTHBDVCSH_06615!C28),"|",COLUMN(BCTHBDVCSH_06615!C28),",0",",0")</f>
        <v>618322,28|3,0,0</v>
      </c>
      <c r="D28" t="str">
        <f>CONCATENATE(618265,",",ROW(BCTHBDVCSH_06615!D28),"|",COLUMN(BCTHBDVCSH_06615!D28),",0",",0")</f>
        <v>618265,28|4,0,0</v>
      </c>
      <c r="E28" t="str">
        <f>CONCATENATE(618463,",",ROW(BCTHBDVCSH_06615!E28),"|",COLUMN(BCTHBDVCSH_06615!E28),",0",",0")</f>
        <v>618463,28|5,0,0</v>
      </c>
      <c r="F28" t="str">
        <f>CONCATENATE(618293,",",ROW(BCTHBDVCSH_06615!F28),"|",COLUMN(BCTHBDVCSH_06615!F28),",0",",0")</f>
        <v>618293,28|6,0,0</v>
      </c>
      <c r="G28" t="str">
        <f>CONCATENATE(618434,",",ROW(BCTHBDVCSH_06615!G28),"|",COLUMN(BCTHBDVCSH_06615!G28),",0",",0")</f>
        <v>618434,28|7,0,0</v>
      </c>
      <c r="H28" t="str">
        <f>CONCATENATE(618408,",",ROW(BCTHBDVCSH_06615!H28),"|",COLUMN(BCTHBDVCSH_06615!H28),",0",",0")</f>
        <v>618408,28|8,0,0</v>
      </c>
      <c r="I28" t="str">
        <f>CONCATENATE(618329,",",ROW(BCTHBDVCSH_06615!I28),"|",COLUMN(BCTHBDVCSH_06615!I28),",0",",0")</f>
        <v>618329,28|9,0,0</v>
      </c>
      <c r="J28" t="str">
        <f>CONCATENATE(618218,",",ROW(BCTHBDVCSH_06615!J28),"|",COLUMN(BCTHBDVCSH_06615!J28),",0",",0")</f>
        <v>618218,28|10,0,0</v>
      </c>
      <c r="K28" t="str">
        <f>CONCATENATE(618352,",",ROW(BCTHBDVCSH_06615!K28),"|",COLUMN(BCTHBDVCSH_06615!K28),",0",",0")</f>
        <v>618352,28|11,0,0</v>
      </c>
    </row>
    <row r="29" spans="1:11" x14ac:dyDescent="0.25">
      <c r="A29" t="str">
        <f>CONCATENATE(618281,",",ROW(BCTHBDVCSH_06615!A29),"|",COLUMN(BCTHBDVCSH_06615!A29),",0",",0")</f>
        <v>618281,29|1,0,0</v>
      </c>
      <c r="B29" t="str">
        <f>CONCATENATE(618346,",",ROW(BCTHBDVCSH_06615!B29),"|",COLUMN(BCTHBDVCSH_06615!B29),",0",",0")</f>
        <v>618346,29|2,0,0</v>
      </c>
      <c r="C29" t="str">
        <f>CONCATENATE(618323,",",ROW(BCTHBDVCSH_06615!C29),"|",COLUMN(BCTHBDVCSH_06615!C29),",0",",0")</f>
        <v>618323,29|3,0,0</v>
      </c>
      <c r="D29" t="str">
        <f>CONCATENATE(618266,",",ROW(BCTHBDVCSH_06615!D29),"|",COLUMN(BCTHBDVCSH_06615!D29),",0",",0")</f>
        <v>618266,29|4,0,0</v>
      </c>
      <c r="E29" t="str">
        <f>CONCATENATE(618464,",",ROW(BCTHBDVCSH_06615!E29),"|",COLUMN(BCTHBDVCSH_06615!E29),",0",",0")</f>
        <v>618464,29|5,0,0</v>
      </c>
      <c r="F29" t="str">
        <f>CONCATENATE(618294,",",ROW(BCTHBDVCSH_06615!F29),"|",COLUMN(BCTHBDVCSH_06615!F29),",0",",0")</f>
        <v>618294,29|6,0,0</v>
      </c>
      <c r="G29" t="str">
        <f>CONCATENATE(618435,",",ROW(BCTHBDVCSH_06615!G29),"|",COLUMN(BCTHBDVCSH_06615!G29),",0",",0")</f>
        <v>618435,29|7,0,0</v>
      </c>
      <c r="H29" t="str">
        <f>CONCATENATE(618409,",",ROW(BCTHBDVCSH_06615!H29),"|",COLUMN(BCTHBDVCSH_06615!H29),",0",",0")</f>
        <v>618409,29|8,0,0</v>
      </c>
      <c r="I29" t="str">
        <f>CONCATENATE(618385,",",ROW(BCTHBDVCSH_06615!I29),"|",COLUMN(BCTHBDVCSH_06615!I29),",0",",0")</f>
        <v>618385,29|9,0,0</v>
      </c>
      <c r="J29" t="str">
        <f>CONCATENATE(618219,",",ROW(BCTHBDVCSH_06615!J29),"|",COLUMN(BCTHBDVCSH_06615!J29),",0",",0")</f>
        <v>618219,29|10,0,0</v>
      </c>
      <c r="K29" t="str">
        <f>CONCATENATE(618228,",",ROW(BCTHBDVCSH_06615!K29),"|",COLUMN(BCTHBDVCSH_06615!K29),",0",",0")</f>
        <v>618228,29|11,0,0</v>
      </c>
    </row>
  </sheetData>
  <sheetProtection password="CB7D"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Trang bìa</vt:lpstr>
      <vt:lpstr>Setting</vt:lpstr>
      <vt:lpstr>BCTCR_06608</vt:lpstr>
      <vt:lpstr>7713_hidden</vt:lpstr>
      <vt:lpstr>CCTTCR_06609</vt:lpstr>
      <vt:lpstr>7709_hidden</vt:lpstr>
      <vt:lpstr>BCKQHDR_06610</vt:lpstr>
      <vt:lpstr>7706_hidden</vt:lpstr>
      <vt:lpstr>BCLCTTRTT_06611</vt:lpstr>
      <vt:lpstr>7710_hidden</vt:lpstr>
      <vt:lpstr>PLCTTHDMGUTCKHTT_06612</vt:lpstr>
      <vt:lpstr>7707_hidden</vt:lpstr>
      <vt:lpstr>BCLCTTRGT_06613</vt:lpstr>
      <vt:lpstr>7712_hidden</vt:lpstr>
      <vt:lpstr>PLCTTHDMGUTCKHGT_06614</vt:lpstr>
      <vt:lpstr>7708_hidden</vt:lpstr>
      <vt:lpstr>BCTHBDVCSH_06615</vt:lpstr>
      <vt:lpstr>7711_hidden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Do Thi Diem Quynh</cp:lastModifiedBy>
  <dcterms:created xsi:type="dcterms:W3CDTF">2020-06-04T03:29:47Z</dcterms:created>
  <dcterms:modified xsi:type="dcterms:W3CDTF">2026-04-15T08:09:11Z</dcterms:modified>
</cp:coreProperties>
</file>

<file path=package/services/digital-signature/_rels/origin.psdsor.rels>&#65279;<?xml version="1.0" encoding="utf-8"?><Relationships xmlns="http://schemas.openxmlformats.org/package/2006/relationships"><Relationship Type="http://schemas.openxmlformats.org/package/2006/relationships/digital-signature/signature" Target="/package/services/digital-signature/xml-signature/b1083d80f03a46b8b14d503400279bca.psdsxs" Id="Ra9c34cd64ce84c4e" /></Relationships>
</file>